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2019WA/Compliance filing/Work Papers_Filed/"/>
    </mc:Choice>
  </mc:AlternateContent>
  <workbookProtection workbookAlgorithmName="SHA-512" workbookHashValue="BthvRlVU7CV65/wO9vTo+Hzq/fY9Z9XnMGjN9UtdsJPDNgazdf/g8vU5kEu3zqLANOmsAHJspLITrW5NEASLOA==" workbookSaltValue="xnXpk/2miZ7tnk342saEjA==" workbookSpinCount="100000" lockStructure="1"/>
  <bookViews>
    <workbookView xWindow="0" yWindow="0" windowWidth="20160" windowHeight="8460" tabRatio="590"/>
  </bookViews>
  <sheets>
    <sheet name="EE Compliance Filing Amort" sheetId="14" r:id="rId1"/>
    <sheet name="EE Compliance Filing Amort Old" sheetId="15" state="hidden" r:id="rId2"/>
    <sheet name="EE Compliance Filing" sheetId="13" state="hidden" r:id="rId3"/>
    <sheet name="186310 Energy Eff General" sheetId="1" r:id="rId4"/>
    <sheet name="186312 Energy Eff Res &amp; Comm" sheetId="2" r:id="rId5"/>
    <sheet name="186316 DSM Amort" sheetId="3" state="hidden" r:id="rId6"/>
    <sheet name="2018-19 Amort Detail" sheetId="4" state="hidden" r:id="rId7"/>
    <sheet name="Test Year Volumes" sheetId="5" state="hidden" r:id="rId8"/>
    <sheet name="2017-18 Amort Detail" sheetId="7" state="hidden" r:id="rId9"/>
    <sheet name="2016-17 Amort Detail" sheetId="8" state="hidden" r:id="rId10"/>
    <sheet name="2015-16 Amort Detail" sheetId="9" state="hidden" r:id="rId11"/>
    <sheet name="2014-15 Amort Detail" sheetId="10" state="hidden" r:id="rId12"/>
    <sheet name="2013-14 Amort Detail" sheetId="11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0" localSheetId="12">#REF!</definedName>
    <definedName name="\0" localSheetId="11">#REF!</definedName>
    <definedName name="\0" localSheetId="10">#REF!</definedName>
    <definedName name="\0" localSheetId="9">#REF!</definedName>
    <definedName name="\0" localSheetId="8">#REF!</definedName>
    <definedName name="\0" localSheetId="6">#REF!</definedName>
    <definedName name="\0" localSheetId="2">#REF!</definedName>
    <definedName name="\0" localSheetId="0">#REF!</definedName>
    <definedName name="\0" localSheetId="1">#REF!</definedName>
    <definedName name="\0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" localSheetId="3">[1]DEPR!#REF!</definedName>
    <definedName name="A" localSheetId="4">[1]DEPR!#REF!</definedName>
    <definedName name="A" localSheetId="5">[1]DEPR!#REF!</definedName>
    <definedName name="A" localSheetId="12">[1]DEPR!#REF!</definedName>
    <definedName name="A" localSheetId="11">[1]DEPR!#REF!</definedName>
    <definedName name="A" localSheetId="10">[1]DEPR!#REF!</definedName>
    <definedName name="A" localSheetId="9">[1]DEPR!#REF!</definedName>
    <definedName name="A" localSheetId="8">[1]DEPR!#REF!</definedName>
    <definedName name="A" localSheetId="2">[1]DEPR!#REF!</definedName>
    <definedName name="A" localSheetId="0">[1]DEPR!#REF!</definedName>
    <definedName name="A" localSheetId="1">[1]DEPR!#REF!</definedName>
    <definedName name="A">[1]DEPR!#REF!</definedName>
    <definedName name="ALLOCATION" localSheetId="12">#REF!</definedName>
    <definedName name="ALLOCATION" localSheetId="11">#REF!</definedName>
    <definedName name="ALLOCATION" localSheetId="10">#REF!</definedName>
    <definedName name="ALLOCATION" localSheetId="9">#REF!</definedName>
    <definedName name="ALLOCATION" localSheetId="8">#REF!</definedName>
    <definedName name="ALLOCATION" localSheetId="6">#REF!</definedName>
    <definedName name="ALLOCATION" localSheetId="2">#REF!</definedName>
    <definedName name="ALLOCATION" localSheetId="0">#REF!</definedName>
    <definedName name="ALLOCATION" localSheetId="1">#REF!</definedName>
    <definedName name="ALLOCATION">#REF!</definedName>
    <definedName name="calcsheet1">#N/A</definedName>
    <definedName name="calcsheet2">#N/A</definedName>
    <definedName name="calcsheet3">#N/A</definedName>
    <definedName name="CMonth" localSheetId="12">#REF!</definedName>
    <definedName name="CMonth" localSheetId="11">#REF!</definedName>
    <definedName name="CMonth" localSheetId="10">#REF!</definedName>
    <definedName name="CMonth" localSheetId="9">#REF!</definedName>
    <definedName name="CMonth" localSheetId="8">#REF!</definedName>
    <definedName name="CMonth" localSheetId="6">#REF!</definedName>
    <definedName name="CMonth" localSheetId="2">#REF!</definedName>
    <definedName name="CMonth" localSheetId="0">#REF!</definedName>
    <definedName name="CMonth" localSheetId="1">#REF!</definedName>
    <definedName name="CMonth" localSheetId="7">#REF!</definedName>
    <definedName name="CMonth">#REF!</definedName>
    <definedName name="COMMBALCFSTART" localSheetId="12">#REF!</definedName>
    <definedName name="COMMBALCFSTART" localSheetId="11">#REF!</definedName>
    <definedName name="COMMBALCFSTART" localSheetId="10">#REF!</definedName>
    <definedName name="COMMBALCFSTART" localSheetId="9">#REF!</definedName>
    <definedName name="COMMBALCFSTART" localSheetId="8">#REF!</definedName>
    <definedName name="COMMBALCFSTART" localSheetId="6">#REF!</definedName>
    <definedName name="COMMBALCFSTART" localSheetId="2">#REF!</definedName>
    <definedName name="COMMBALCFSTART" localSheetId="0">#REF!</definedName>
    <definedName name="COMMBALCFSTART" localSheetId="1">#REF!</definedName>
    <definedName name="COMMBALCFSTART">#REF!</definedName>
    <definedName name="COMMSHCF" localSheetId="12">#REF!</definedName>
    <definedName name="COMMSHCF" localSheetId="11">#REF!</definedName>
    <definedName name="COMMSHCF" localSheetId="10">#REF!</definedName>
    <definedName name="COMMSHCF" localSheetId="9">#REF!</definedName>
    <definedName name="COMMSHCF" localSheetId="8">#REF!</definedName>
    <definedName name="COMMSHCF" localSheetId="6">#REF!</definedName>
    <definedName name="COMMSHCF" localSheetId="2">#REF!</definedName>
    <definedName name="COMMSHCF" localSheetId="0">#REF!</definedName>
    <definedName name="COMMSHCF" localSheetId="1">#REF!</definedName>
    <definedName name="COMMSHCF">#REF!</definedName>
    <definedName name="COMMSHCFSTART" localSheetId="12">#REF!</definedName>
    <definedName name="COMMSHCFSTART" localSheetId="11">#REF!</definedName>
    <definedName name="COMMSHCFSTART" localSheetId="10">#REF!</definedName>
    <definedName name="COMMSHCFSTART" localSheetId="9">#REF!</definedName>
    <definedName name="COMMSHCFSTART" localSheetId="8">#REF!</definedName>
    <definedName name="COMMSHCFSTART" localSheetId="6">#REF!</definedName>
    <definedName name="COMMSHCFSTART" localSheetId="2">#REF!</definedName>
    <definedName name="COMMSHCFSTART" localSheetId="0">#REF!</definedName>
    <definedName name="COMMSHCFSTART" localSheetId="1">#REF!</definedName>
    <definedName name="COMMSHCFSTART">#REF!</definedName>
    <definedName name="costgas" localSheetId="12">#REF!</definedName>
    <definedName name="costgas" localSheetId="11">#REF!</definedName>
    <definedName name="costgas" localSheetId="10">#REF!</definedName>
    <definedName name="costgas" localSheetId="9">#REF!</definedName>
    <definedName name="costgas" localSheetId="8">#REF!</definedName>
    <definedName name="costgas" localSheetId="6">#REF!</definedName>
    <definedName name="costgas" localSheetId="2">#REF!</definedName>
    <definedName name="costgas" localSheetId="0">#REF!</definedName>
    <definedName name="costgas" localSheetId="1">#REF!</definedName>
    <definedName name="costgas">#REF!</definedName>
    <definedName name="CUSTADJYR3" localSheetId="12">#REF!</definedName>
    <definedName name="CUSTADJYR3" localSheetId="11">#REF!</definedName>
    <definedName name="CUSTADJYR3" localSheetId="10">#REF!</definedName>
    <definedName name="CUSTADJYR3" localSheetId="9">#REF!</definedName>
    <definedName name="CUSTADJYR3" localSheetId="8">#REF!</definedName>
    <definedName name="CUSTADJYR3" localSheetId="6">#REF!</definedName>
    <definedName name="CUSTADJYR3" localSheetId="2">#REF!</definedName>
    <definedName name="CUSTADJYR3" localSheetId="0">#REF!</definedName>
    <definedName name="CUSTADJYR3" localSheetId="1">#REF!</definedName>
    <definedName name="CUSTADJYR3">#REF!</definedName>
    <definedName name="CUSTADJYR5" localSheetId="12">#REF!</definedName>
    <definedName name="CUSTADJYR5" localSheetId="11">#REF!</definedName>
    <definedName name="CUSTADJYR5" localSheetId="10">#REF!</definedName>
    <definedName name="CUSTADJYR5" localSheetId="9">#REF!</definedName>
    <definedName name="CUSTADJYR5" localSheetId="8">#REF!</definedName>
    <definedName name="CUSTADJYR5" localSheetId="6">#REF!</definedName>
    <definedName name="CUSTADJYR5" localSheetId="2">#REF!</definedName>
    <definedName name="CUSTADJYR5" localSheetId="0">#REF!</definedName>
    <definedName name="CUSTADJYR5" localSheetId="1">#REF!</definedName>
    <definedName name="CUSTADJYR5">#REF!</definedName>
    <definedName name="CYTD" localSheetId="12">#REF!</definedName>
    <definedName name="CYTD" localSheetId="11">#REF!</definedName>
    <definedName name="CYTD" localSheetId="10">#REF!</definedName>
    <definedName name="CYTD" localSheetId="9">#REF!</definedName>
    <definedName name="CYTD" localSheetId="8">#REF!</definedName>
    <definedName name="CYTD" localSheetId="6">#REF!</definedName>
    <definedName name="CYTD" localSheetId="2">#REF!</definedName>
    <definedName name="CYTD" localSheetId="0">#REF!</definedName>
    <definedName name="CYTD" localSheetId="1">#REF!</definedName>
    <definedName name="CYTD" localSheetId="7">#REF!</definedName>
    <definedName name="CYTD">#REF!</definedName>
    <definedName name="DATA" localSheetId="12">#REF!</definedName>
    <definedName name="DATA" localSheetId="11">#REF!</definedName>
    <definedName name="DATA" localSheetId="10">#REF!</definedName>
    <definedName name="DATA" localSheetId="9">#REF!</definedName>
    <definedName name="DATA" localSheetId="8">#REF!</definedName>
    <definedName name="DATA" localSheetId="6">#REF!</definedName>
    <definedName name="DATA" localSheetId="2">#REF!</definedName>
    <definedName name="DATA" localSheetId="0">#REF!</definedName>
    <definedName name="DATA" localSheetId="1">#REF!</definedName>
    <definedName name="DATA">#REF!</definedName>
    <definedName name="DEMANDADJYR2" localSheetId="12">#REF!</definedName>
    <definedName name="DEMANDADJYR2" localSheetId="11">#REF!</definedName>
    <definedName name="DEMANDADJYR2" localSheetId="10">#REF!</definedName>
    <definedName name="DEMANDADJYR2" localSheetId="9">#REF!</definedName>
    <definedName name="DEMANDADJYR2" localSheetId="8">#REF!</definedName>
    <definedName name="DEMANDADJYR2" localSheetId="6">#REF!</definedName>
    <definedName name="DEMANDADJYR2" localSheetId="2">#REF!</definedName>
    <definedName name="DEMANDADJYR2" localSheetId="0">#REF!</definedName>
    <definedName name="DEMANDADJYR2" localSheetId="1">#REF!</definedName>
    <definedName name="DEMANDADJYR2">#REF!</definedName>
    <definedName name="DEMANDADJYR4" localSheetId="12">#REF!</definedName>
    <definedName name="DEMANDADJYR4" localSheetId="11">#REF!</definedName>
    <definedName name="DEMANDADJYR4" localSheetId="10">#REF!</definedName>
    <definedName name="DEMANDADJYR4" localSheetId="9">#REF!</definedName>
    <definedName name="DEMANDADJYR4" localSheetId="8">#REF!</definedName>
    <definedName name="DEMANDADJYR4" localSheetId="6">#REF!</definedName>
    <definedName name="DEMANDADJYR4" localSheetId="2">#REF!</definedName>
    <definedName name="DEMANDADJYR4" localSheetId="0">#REF!</definedName>
    <definedName name="DEMANDADJYR4" localSheetId="1">#REF!</definedName>
    <definedName name="DEMANDADJYR4">#REF!</definedName>
    <definedName name="DEMANDADJYR5" localSheetId="12">#REF!</definedName>
    <definedName name="DEMANDADJYR5" localSheetId="11">#REF!</definedName>
    <definedName name="DEMANDADJYR5" localSheetId="10">#REF!</definedName>
    <definedName name="DEMANDADJYR5" localSheetId="9">#REF!</definedName>
    <definedName name="DEMANDADJYR5" localSheetId="8">#REF!</definedName>
    <definedName name="DEMANDADJYR5" localSheetId="6">#REF!</definedName>
    <definedName name="DEMANDADJYR5" localSheetId="2">#REF!</definedName>
    <definedName name="DEMANDADJYR5" localSheetId="0">#REF!</definedName>
    <definedName name="DEMANDADJYR5" localSheetId="1">#REF!</definedName>
    <definedName name="DEMANDADJYR5">#REF!</definedName>
    <definedName name="Differences" localSheetId="12">#REF!</definedName>
    <definedName name="Differences" localSheetId="11">#REF!</definedName>
    <definedName name="Differences" localSheetId="10">#REF!</definedName>
    <definedName name="Differences" localSheetId="9">#REF!</definedName>
    <definedName name="Differences" localSheetId="8">#REF!</definedName>
    <definedName name="Differences" localSheetId="6">#REF!</definedName>
    <definedName name="Differences" localSheetId="2">#REF!</definedName>
    <definedName name="Differences" localSheetId="0">#REF!</definedName>
    <definedName name="Differences" localSheetId="1">#REF!</definedName>
    <definedName name="Differences" localSheetId="7">#REF!</definedName>
    <definedName name="Differences">#REF!</definedName>
    <definedName name="DIVCF" localSheetId="12">#REF!</definedName>
    <definedName name="DIVCF" localSheetId="11">#REF!</definedName>
    <definedName name="DIVCF" localSheetId="10">#REF!</definedName>
    <definedName name="DIVCF" localSheetId="9">#REF!</definedName>
    <definedName name="DIVCF" localSheetId="8">#REF!</definedName>
    <definedName name="DIVCF" localSheetId="6">#REF!</definedName>
    <definedName name="DIVCF" localSheetId="2">#REF!</definedName>
    <definedName name="DIVCF" localSheetId="0">#REF!</definedName>
    <definedName name="DIVCF" localSheetId="1">#REF!</definedName>
    <definedName name="DIVCF">#REF!</definedName>
    <definedName name="DIVCFSTART" localSheetId="12">#REF!</definedName>
    <definedName name="DIVCFSTART" localSheetId="11">#REF!</definedName>
    <definedName name="DIVCFSTART" localSheetId="10">#REF!</definedName>
    <definedName name="DIVCFSTART" localSheetId="9">#REF!</definedName>
    <definedName name="DIVCFSTART" localSheetId="8">#REF!</definedName>
    <definedName name="DIVCFSTART" localSheetId="6">#REF!</definedName>
    <definedName name="DIVCFSTART" localSheetId="2">#REF!</definedName>
    <definedName name="DIVCFSTART" localSheetId="0">#REF!</definedName>
    <definedName name="DIVCFSTART" localSheetId="1">#REF!</definedName>
    <definedName name="DIVCFSTART">#REF!</definedName>
    <definedName name="DivM" localSheetId="12">#REF!</definedName>
    <definedName name="DivM" localSheetId="11">#REF!</definedName>
    <definedName name="DivM" localSheetId="10">#REF!</definedName>
    <definedName name="DivM" localSheetId="9">#REF!</definedName>
    <definedName name="DivM" localSheetId="8">#REF!</definedName>
    <definedName name="DivM" localSheetId="6">#REF!</definedName>
    <definedName name="DivM" localSheetId="2">#REF!</definedName>
    <definedName name="DivM" localSheetId="0">#REF!</definedName>
    <definedName name="DivM" localSheetId="1">#REF!</definedName>
    <definedName name="DivM" localSheetId="7">#REF!</definedName>
    <definedName name="DivM">#REF!</definedName>
    <definedName name="DivY" localSheetId="12">#REF!</definedName>
    <definedName name="DivY" localSheetId="11">#REF!</definedName>
    <definedName name="DivY" localSheetId="10">#REF!</definedName>
    <definedName name="DivY" localSheetId="9">#REF!</definedName>
    <definedName name="DivY" localSheetId="8">#REF!</definedName>
    <definedName name="DivY" localSheetId="6">#REF!</definedName>
    <definedName name="DivY" localSheetId="2">#REF!</definedName>
    <definedName name="DivY" localSheetId="0">#REF!</definedName>
    <definedName name="DivY" localSheetId="1">#REF!</definedName>
    <definedName name="DivY" localSheetId="7">#REF!</definedName>
    <definedName name="DivY">#REF!</definedName>
    <definedName name="dots" localSheetId="12">#REF!</definedName>
    <definedName name="dots" localSheetId="11">#REF!</definedName>
    <definedName name="dots" localSheetId="10">#REF!</definedName>
    <definedName name="dots" localSheetId="9">#REF!</definedName>
    <definedName name="dots" localSheetId="8">#REF!</definedName>
    <definedName name="dots" localSheetId="6">#REF!</definedName>
    <definedName name="dots" localSheetId="2">#REF!</definedName>
    <definedName name="dots" localSheetId="0">#REF!</definedName>
    <definedName name="dots" localSheetId="1">#REF!</definedName>
    <definedName name="dots">#REF!</definedName>
    <definedName name="EFFDATE">[2]Inputs!$B$82</definedName>
    <definedName name="EMonth" localSheetId="12">[3]Data!$G$4:$G$4,[3]Data!#REF!</definedName>
    <definedName name="EMonth" localSheetId="11">[3]Data!$G$4:$G$4,[3]Data!#REF!</definedName>
    <definedName name="EMonth" localSheetId="10">[3]Data!$G$4:$G$4,[3]Data!#REF!</definedName>
    <definedName name="EMonth" localSheetId="9">[3]Data!$G$4:$G$4,[3]Data!#REF!</definedName>
    <definedName name="EMonth" localSheetId="8">[3]Data!$G$4:$G$4,[3]Data!#REF!</definedName>
    <definedName name="EMonth" localSheetId="6">[3]Data!$G$4:$G$4,[3]Data!#REF!</definedName>
    <definedName name="EMonth" localSheetId="2">[4]Data!$G$4:$G$4,[4]Data!#REF!</definedName>
    <definedName name="EMonth" localSheetId="0">[4]Data!$G$4:$G$4,[4]Data!#REF!</definedName>
    <definedName name="EMonth" localSheetId="1">[4]Data!$G$4:$G$4,[4]Data!#REF!</definedName>
    <definedName name="EMonth" localSheetId="7">[3]Data!$G$4:$G$4,[3]Data!#REF!</definedName>
    <definedName name="EMonth">[4]Data!$G$4:$G$4,[4]Data!#REF!</definedName>
    <definedName name="EQUITYCF" localSheetId="12">#REF!</definedName>
    <definedName name="EQUITYCF" localSheetId="11">#REF!</definedName>
    <definedName name="EQUITYCF" localSheetId="10">#REF!</definedName>
    <definedName name="EQUITYCF" localSheetId="9">#REF!</definedName>
    <definedName name="EQUITYCF" localSheetId="8">#REF!</definedName>
    <definedName name="EQUITYCF" localSheetId="6">#REF!</definedName>
    <definedName name="EQUITYCF" localSheetId="2">#REF!</definedName>
    <definedName name="EQUITYCF" localSheetId="0">#REF!</definedName>
    <definedName name="EQUITYCF" localSheetId="1">#REF!</definedName>
    <definedName name="EQUITYCF">#REF!</definedName>
    <definedName name="EssLatest">"Beg Bal"</definedName>
    <definedName name="EssOptions">"A3100000000111000000011100010_01000"</definedName>
    <definedName name="ExpM" localSheetId="12">#REF!</definedName>
    <definedName name="ExpM" localSheetId="11">#REF!</definedName>
    <definedName name="ExpM" localSheetId="10">#REF!</definedName>
    <definedName name="ExpM" localSheetId="9">#REF!</definedName>
    <definedName name="ExpM" localSheetId="8">#REF!</definedName>
    <definedName name="ExpM" localSheetId="6">#REF!</definedName>
    <definedName name="ExpM" localSheetId="2">#REF!</definedName>
    <definedName name="ExpM" localSheetId="0">#REF!</definedName>
    <definedName name="ExpM" localSheetId="1">#REF!</definedName>
    <definedName name="ExpM" localSheetId="7">#REF!</definedName>
    <definedName name="ExpM">#REF!</definedName>
    <definedName name="ExpY" localSheetId="12">#REF!</definedName>
    <definedName name="ExpY" localSheetId="11">#REF!</definedName>
    <definedName name="ExpY" localSheetId="10">#REF!</definedName>
    <definedName name="ExpY" localSheetId="9">#REF!</definedName>
    <definedName name="ExpY" localSheetId="8">#REF!</definedName>
    <definedName name="ExpY" localSheetId="6">#REF!</definedName>
    <definedName name="ExpY" localSheetId="2">#REF!</definedName>
    <definedName name="ExpY" localSheetId="0">#REF!</definedName>
    <definedName name="ExpY" localSheetId="1">#REF!</definedName>
    <definedName name="ExpY" localSheetId="7">#REF!</definedName>
    <definedName name="ExpY">#REF!</definedName>
    <definedName name="EYTD" localSheetId="12">[3]Data!#REF!,[3]Data!#REF!</definedName>
    <definedName name="EYTD" localSheetId="11">[3]Data!#REF!,[3]Data!#REF!</definedName>
    <definedName name="EYTD" localSheetId="10">[3]Data!#REF!,[3]Data!#REF!</definedName>
    <definedName name="EYTD" localSheetId="9">[3]Data!#REF!,[3]Data!#REF!</definedName>
    <definedName name="EYTD" localSheetId="8">[3]Data!#REF!,[3]Data!#REF!</definedName>
    <definedName name="EYTD" localSheetId="6">[3]Data!#REF!,[3]Data!#REF!</definedName>
    <definedName name="EYTD" localSheetId="2">[4]Data!#REF!,[4]Data!#REF!</definedName>
    <definedName name="EYTD" localSheetId="0">[4]Data!#REF!,[4]Data!#REF!</definedName>
    <definedName name="EYTD" localSheetId="1">[4]Data!#REF!,[4]Data!#REF!</definedName>
    <definedName name="EYTD" localSheetId="7">[3]Data!#REF!,[3]Data!#REF!</definedName>
    <definedName name="EYTD">[4]Data!#REF!,[4]Data!#REF!</definedName>
    <definedName name="FCINT" localSheetId="12">#REF!</definedName>
    <definedName name="FCINT" localSheetId="11">#REF!</definedName>
    <definedName name="FCINT" localSheetId="10">#REF!</definedName>
    <definedName name="FCINT" localSheetId="9">#REF!</definedName>
    <definedName name="FCINT" localSheetId="8">#REF!</definedName>
    <definedName name="FCINT" localSheetId="6">#REF!</definedName>
    <definedName name="FCINT" localSheetId="2">#REF!</definedName>
    <definedName name="FCINT" localSheetId="0">#REF!</definedName>
    <definedName name="FCINT" localSheetId="1">#REF!</definedName>
    <definedName name="FCINT">#REF!</definedName>
    <definedName name="FIRSTYEAR" localSheetId="12">#REF!</definedName>
    <definedName name="FIRSTYEAR" localSheetId="11">#REF!</definedName>
    <definedName name="FIRSTYEAR" localSheetId="10">#REF!</definedName>
    <definedName name="FIRSTYEAR" localSheetId="9">#REF!</definedName>
    <definedName name="FIRSTYEAR" localSheetId="8">#REF!</definedName>
    <definedName name="FIRSTYEAR" localSheetId="6">#REF!</definedName>
    <definedName name="FIRSTYEAR" localSheetId="2">#REF!</definedName>
    <definedName name="FIRSTYEAR" localSheetId="0">#REF!</definedName>
    <definedName name="FIRSTYEAR" localSheetId="1">#REF!</definedName>
    <definedName name="FIRSTYEAR">#REF!</definedName>
    <definedName name="FORMULA" localSheetId="12">#REF!</definedName>
    <definedName name="FORMULA" localSheetId="11">#REF!</definedName>
    <definedName name="FORMULA" localSheetId="10">#REF!</definedName>
    <definedName name="FORMULA" localSheetId="9">#REF!</definedName>
    <definedName name="FORMULA" localSheetId="8">#REF!</definedName>
    <definedName name="FORMULA" localSheetId="6">#REF!</definedName>
    <definedName name="FORMULA" localSheetId="2">#REF!</definedName>
    <definedName name="FORMULA" localSheetId="0">#REF!</definedName>
    <definedName name="FORMULA" localSheetId="1">#REF!</definedName>
    <definedName name="FORMULA">#REF!</definedName>
    <definedName name="GITTY" localSheetId="12">#REF!</definedName>
    <definedName name="GITTY" localSheetId="11">#REF!</definedName>
    <definedName name="GITTY" localSheetId="10">#REF!</definedName>
    <definedName name="GITTY" localSheetId="9">#REF!</definedName>
    <definedName name="GITTY" localSheetId="8">#REF!</definedName>
    <definedName name="GITTY" localSheetId="6">#REF!</definedName>
    <definedName name="GITTY" localSheetId="2">#REF!</definedName>
    <definedName name="GITTY" localSheetId="0">#REF!</definedName>
    <definedName name="GITTY" localSheetId="1">#REF!</definedName>
    <definedName name="GITTY">#REF!</definedName>
    <definedName name="INCIMPACT" localSheetId="12">#REF!</definedName>
    <definedName name="INCIMPACT" localSheetId="11">#REF!</definedName>
    <definedName name="INCIMPACT" localSheetId="10">#REF!</definedName>
    <definedName name="INCIMPACT" localSheetId="9">#REF!</definedName>
    <definedName name="INCIMPACT" localSheetId="8">#REF!</definedName>
    <definedName name="INCIMPACT" localSheetId="6">#REF!</definedName>
    <definedName name="INCIMPACT" localSheetId="2">#REF!</definedName>
    <definedName name="INCIMPACT" localSheetId="0">#REF!</definedName>
    <definedName name="INCIMPACT" localSheetId="1">#REF!</definedName>
    <definedName name="INCIMPACT">#REF!</definedName>
    <definedName name="JANYEAR3START" localSheetId="12">#REF!</definedName>
    <definedName name="JANYEAR3START" localSheetId="11">#REF!</definedName>
    <definedName name="JANYEAR3START" localSheetId="10">#REF!</definedName>
    <definedName name="JANYEAR3START" localSheetId="9">#REF!</definedName>
    <definedName name="JANYEAR3START" localSheetId="8">#REF!</definedName>
    <definedName name="JANYEAR3START" localSheetId="6">#REF!</definedName>
    <definedName name="JANYEAR3START" localSheetId="2">#REF!</definedName>
    <definedName name="JANYEAR3START" localSheetId="0">#REF!</definedName>
    <definedName name="JANYEAR3START" localSheetId="1">#REF!</definedName>
    <definedName name="JANYEAR3START">#REF!</definedName>
    <definedName name="july_int_rate">'[5]July Int Rate for Amort'!$B$17</definedName>
    <definedName name="LINE_LOSS" localSheetId="12">#REF!</definedName>
    <definedName name="LINE_LOSS" localSheetId="11">#REF!</definedName>
    <definedName name="LINE_LOSS" localSheetId="10">#REF!</definedName>
    <definedName name="LINE_LOSS" localSheetId="9">#REF!</definedName>
    <definedName name="LINE_LOSS" localSheetId="8">#REF!</definedName>
    <definedName name="LINE_LOSS" localSheetId="6">#REF!</definedName>
    <definedName name="LINE_LOSS" localSheetId="2">#REF!</definedName>
    <definedName name="LINE_LOSS" localSheetId="0">#REF!</definedName>
    <definedName name="LINE_LOSS" localSheetId="1">#REF!</definedName>
    <definedName name="Line_Loss" localSheetId="7">#REF!</definedName>
    <definedName name="LINE_LOSS">#REF!</definedName>
    <definedName name="MACRO" localSheetId="12">#REF!</definedName>
    <definedName name="MACRO" localSheetId="11">#REF!</definedName>
    <definedName name="MACRO" localSheetId="10">#REF!</definedName>
    <definedName name="MACRO" localSheetId="9">#REF!</definedName>
    <definedName name="MACRO" localSheetId="8">#REF!</definedName>
    <definedName name="MACRO" localSheetId="6">#REF!</definedName>
    <definedName name="MACRO" localSheetId="2">#REF!</definedName>
    <definedName name="MACRO" localSheetId="0">#REF!</definedName>
    <definedName name="MACRO" localSheetId="1">#REF!</definedName>
    <definedName name="MACRO">#REF!</definedName>
    <definedName name="MIN_CASH" localSheetId="12">#REF!</definedName>
    <definedName name="MIN_CASH" localSheetId="11">#REF!</definedName>
    <definedName name="MIN_CASH" localSheetId="10">#REF!</definedName>
    <definedName name="MIN_CASH" localSheetId="9">#REF!</definedName>
    <definedName name="MIN_CASH" localSheetId="8">#REF!</definedName>
    <definedName name="MIN_CASH" localSheetId="6">#REF!</definedName>
    <definedName name="MIN_CASH" localSheetId="2">#REF!</definedName>
    <definedName name="MIN_CASH" localSheetId="0">#REF!</definedName>
    <definedName name="MIN_CASH" localSheetId="1">#REF!</definedName>
    <definedName name="MIN_CASH">#REF!</definedName>
    <definedName name="Month" localSheetId="12">'[6]Old Journal Page'!$D$6</definedName>
    <definedName name="Month" localSheetId="11">'[6]Old Journal Page'!$D$6</definedName>
    <definedName name="Month" localSheetId="10">'[6]Old Journal Page'!$D$6</definedName>
    <definedName name="Month" localSheetId="9">'[6]Old Journal Page'!$D$6</definedName>
    <definedName name="Month" localSheetId="8">'[6]Old Journal Page'!$D$6</definedName>
    <definedName name="Month" localSheetId="6">'[6]Old Journal Page'!$D$6</definedName>
    <definedName name="Month" localSheetId="2">#REF!</definedName>
    <definedName name="Month" localSheetId="0">#REF!</definedName>
    <definedName name="Month" localSheetId="1">#REF!</definedName>
    <definedName name="Month" localSheetId="7">#REF!</definedName>
    <definedName name="Month">#REF!</definedName>
    <definedName name="NAME" localSheetId="12">#REF!</definedName>
    <definedName name="NAME" localSheetId="11">#REF!</definedName>
    <definedName name="NAME" localSheetId="10">#REF!</definedName>
    <definedName name="NAME" localSheetId="9">#REF!</definedName>
    <definedName name="NAME" localSheetId="8">#REF!</definedName>
    <definedName name="NAME" localSheetId="2">#REF!</definedName>
    <definedName name="NAME" localSheetId="0">#REF!</definedName>
    <definedName name="NAME" localSheetId="1">#REF!</definedName>
    <definedName name="NAME">#REF!</definedName>
    <definedName name="NAME1" localSheetId="12">#REF!</definedName>
    <definedName name="NAME1" localSheetId="11">#REF!</definedName>
    <definedName name="NAME1" localSheetId="10">#REF!</definedName>
    <definedName name="NAME1" localSheetId="9">#REF!</definedName>
    <definedName name="NAME1" localSheetId="8">#REF!</definedName>
    <definedName name="NAME1" localSheetId="6">#REF!</definedName>
    <definedName name="NAME1" localSheetId="2">#REF!</definedName>
    <definedName name="NAME1" localSheetId="0">#REF!</definedName>
    <definedName name="NAME1" localSheetId="1">#REF!</definedName>
    <definedName name="NAME1">#REF!</definedName>
    <definedName name="new_int" localSheetId="12">'[7]for PGA'!$I$11</definedName>
    <definedName name="new_int" localSheetId="11">'[7]for PGA'!$I$11</definedName>
    <definedName name="new_int" localSheetId="10">'[7]for PGA'!$I$11</definedName>
    <definedName name="new_int" localSheetId="9">'[7]for PGA'!$I$11</definedName>
    <definedName name="new_int" localSheetId="8">'[7]for PGA'!$I$11</definedName>
    <definedName name="new_int" localSheetId="6">'[7]for PGA'!$I$11</definedName>
    <definedName name="new_int">'[8]for PGA'!$I$11</definedName>
    <definedName name="NIYR1" localSheetId="12">#REF!</definedName>
    <definedName name="NIYR1" localSheetId="11">#REF!</definedName>
    <definedName name="NIYR1" localSheetId="10">#REF!</definedName>
    <definedName name="NIYR1" localSheetId="9">#REF!</definedName>
    <definedName name="NIYR1" localSheetId="8">#REF!</definedName>
    <definedName name="NIYR1" localSheetId="6">#REF!</definedName>
    <definedName name="NIYR1" localSheetId="2">#REF!</definedName>
    <definedName name="NIYR1" localSheetId="0">#REF!</definedName>
    <definedName name="NIYR1" localSheetId="1">#REF!</definedName>
    <definedName name="NIYR1">#REF!</definedName>
    <definedName name="O_MCF" localSheetId="12">#REF!</definedName>
    <definedName name="O_MCF" localSheetId="11">#REF!</definedName>
    <definedName name="O_MCF" localSheetId="10">#REF!</definedName>
    <definedName name="O_MCF" localSheetId="9">#REF!</definedName>
    <definedName name="O_MCF" localSheetId="8">#REF!</definedName>
    <definedName name="O_MCF" localSheetId="6">#REF!</definedName>
    <definedName name="O_MCF" localSheetId="2">#REF!</definedName>
    <definedName name="O_MCF" localSheetId="0">#REF!</definedName>
    <definedName name="O_MCF" localSheetId="1">#REF!</definedName>
    <definedName name="O_MCF">#REF!</definedName>
    <definedName name="O_MCFSTART" localSheetId="12">#REF!</definedName>
    <definedName name="O_MCFSTART" localSheetId="11">#REF!</definedName>
    <definedName name="O_MCFSTART" localSheetId="10">#REF!</definedName>
    <definedName name="O_MCFSTART" localSheetId="9">#REF!</definedName>
    <definedName name="O_MCFSTART" localSheetId="8">#REF!</definedName>
    <definedName name="O_MCFSTART" localSheetId="6">#REF!</definedName>
    <definedName name="O_MCFSTART" localSheetId="2">#REF!</definedName>
    <definedName name="O_MCFSTART" localSheetId="0">#REF!</definedName>
    <definedName name="O_MCFSTART" localSheetId="1">#REF!</definedName>
    <definedName name="O_MCFSTART">#REF!</definedName>
    <definedName name="O_MINFLATION" localSheetId="12">#REF!</definedName>
    <definedName name="O_MINFLATION" localSheetId="11">#REF!</definedName>
    <definedName name="O_MINFLATION" localSheetId="10">#REF!</definedName>
    <definedName name="O_MINFLATION" localSheetId="9">#REF!</definedName>
    <definedName name="O_MINFLATION" localSheetId="8">#REF!</definedName>
    <definedName name="O_MINFLATION" localSheetId="6">#REF!</definedName>
    <definedName name="O_MINFLATION" localSheetId="2">#REF!</definedName>
    <definedName name="O_MINFLATION" localSheetId="0">#REF!</definedName>
    <definedName name="O_MINFLATION" localSheetId="1">#REF!</definedName>
    <definedName name="O_MINFLATION">#REF!</definedName>
    <definedName name="OH_HOME" localSheetId="3">[1]DEPR!#REF!</definedName>
    <definedName name="OH_HOME" localSheetId="4">[1]DEPR!#REF!</definedName>
    <definedName name="OH_HOME" localSheetId="5">[1]DEPR!#REF!</definedName>
    <definedName name="OH_HOME" localSheetId="12">[1]DEPR!#REF!</definedName>
    <definedName name="OH_HOME" localSheetId="11">[1]DEPR!#REF!</definedName>
    <definedName name="OH_HOME" localSheetId="10">[1]DEPR!#REF!</definedName>
    <definedName name="OH_HOME" localSheetId="9">[1]DEPR!#REF!</definedName>
    <definedName name="OH_HOME" localSheetId="8">[1]DEPR!#REF!</definedName>
    <definedName name="OH_HOME" localSheetId="2">[1]DEPR!#REF!</definedName>
    <definedName name="OH_HOME" localSheetId="0">[1]DEPR!#REF!</definedName>
    <definedName name="OH_HOME" localSheetId="1">[1]DEPR!#REF!</definedName>
    <definedName name="OH_HOME">[1]DEPR!#REF!</definedName>
    <definedName name="ORCOMM" localSheetId="12">#REF!</definedName>
    <definedName name="ORCOMM" localSheetId="11">#REF!</definedName>
    <definedName name="ORCOMM" localSheetId="10">#REF!</definedName>
    <definedName name="ORCOMM" localSheetId="9">#REF!</definedName>
    <definedName name="ORCOMM" localSheetId="8">#REF!</definedName>
    <definedName name="ORCOMM" localSheetId="6">#REF!</definedName>
    <definedName name="ORCOMM" localSheetId="2">#REF!</definedName>
    <definedName name="ORCOMM" localSheetId="0">#REF!</definedName>
    <definedName name="ORCOMM" localSheetId="1">#REF!</definedName>
    <definedName name="ORCOMM">#REF!</definedName>
    <definedName name="ORINTNEW" localSheetId="12">[9]Interest!$E$3</definedName>
    <definedName name="ORINTNEW" localSheetId="11">[9]Interest!$E$3</definedName>
    <definedName name="ORINTNEW" localSheetId="10">[9]Interest!$E$3</definedName>
    <definedName name="ORINTNEW" localSheetId="9">[9]Interest!$E$3</definedName>
    <definedName name="ORINTNEW" localSheetId="8">[9]Interest!$E$3</definedName>
    <definedName name="ORINTNEW" localSheetId="6">[9]Interest!$E$3</definedName>
    <definedName name="ORINTNEW">[10]Interest!$E$3</definedName>
    <definedName name="ORRES" localSheetId="12">#REF!</definedName>
    <definedName name="ORRES" localSheetId="11">#REF!</definedName>
    <definedName name="ORRES" localSheetId="10">#REF!</definedName>
    <definedName name="ORRES" localSheetId="9">#REF!</definedName>
    <definedName name="ORRES" localSheetId="8">#REF!</definedName>
    <definedName name="ORRES" localSheetId="6">#REF!</definedName>
    <definedName name="ORRES" localSheetId="2">#REF!</definedName>
    <definedName name="ORRES" localSheetId="0">#REF!</definedName>
    <definedName name="ORRES" localSheetId="1">#REF!</definedName>
    <definedName name="ORRES">#REF!</definedName>
    <definedName name="OUT" localSheetId="12">'[11]Pipeline Charges:Summary'!$C$5:$AU$599</definedName>
    <definedName name="OUT" localSheetId="11">'[11]Pipeline Charges:Summary'!$C$5:$AU$599</definedName>
    <definedName name="OUT" localSheetId="10">'[11]Pipeline Charges:Summary'!$C$5:$AU$599</definedName>
    <definedName name="OUT" localSheetId="9">'[11]Pipeline Charges:Summary'!$C$5:$AU$599</definedName>
    <definedName name="OUT" localSheetId="8">'[11]Pipeline Charges:Summary'!$C$5:$AU$599</definedName>
    <definedName name="OUT" localSheetId="6">'[11]Pipeline Charges:Summary'!$C$5:$AU$599</definedName>
    <definedName name="OUT">'[12]Pipeline Charges:Summary'!$C$5:$AU$599</definedName>
    <definedName name="page1">#N/A</definedName>
    <definedName name="page2">#N/A</definedName>
    <definedName name="page3">#N/A</definedName>
    <definedName name="page4">#N/A</definedName>
    <definedName name="Pal_Workbook_GUID" hidden="1">"VX3CWJGNQX2CCGI81U4N2V76"</definedName>
    <definedName name="PGA">#N/A</definedName>
    <definedName name="PGB">#N/A</definedName>
    <definedName name="PGC">#N/A</definedName>
    <definedName name="PGD">#N/A</definedName>
    <definedName name="PGE">#N/A</definedName>
    <definedName name="PGF">#N/A</definedName>
    <definedName name="PGG">#N/A</definedName>
    <definedName name="PREFBALCFSTART" localSheetId="12">#REF!</definedName>
    <definedName name="PREFBALCFSTART" localSheetId="11">#REF!</definedName>
    <definedName name="PREFBALCFSTART" localSheetId="10">#REF!</definedName>
    <definedName name="PREFBALCFSTART" localSheetId="9">#REF!</definedName>
    <definedName name="PREFBALCFSTART" localSheetId="8">#REF!</definedName>
    <definedName name="PREFBALCFSTART" localSheetId="6">#REF!</definedName>
    <definedName name="PREFBALCFSTART" localSheetId="2">#REF!</definedName>
    <definedName name="PREFBALCFSTART" localSheetId="0">#REF!</definedName>
    <definedName name="PREFBALCFSTART" localSheetId="1">#REF!</definedName>
    <definedName name="PREFBALCFSTART">#REF!</definedName>
    <definedName name="_xlnm.Print_Area" localSheetId="3">'186310 Energy Eff General'!$A$1:$Y$115</definedName>
    <definedName name="_xlnm.Print_Area" localSheetId="4">'186312 Energy Eff Res &amp; Comm'!$A$1:$X$111</definedName>
    <definedName name="_xlnm.Print_Area" localSheetId="5">'186316 DSM Amort'!$A$1:$I$95</definedName>
    <definedName name="_xlnm.Print_Area" localSheetId="12">'2013-14 Amort Detail'!$A$1:$V$83</definedName>
    <definedName name="_xlnm.Print_Area" localSheetId="11">'2014-15 Amort Detail'!$A$1:$V$83</definedName>
    <definedName name="_xlnm.Print_Area" localSheetId="10">'2015-16 Amort Detail'!$A$1:$V$83</definedName>
    <definedName name="_xlnm.Print_Area" localSheetId="9">'2016-17 Amort Detail'!$A$1:$V$83</definedName>
    <definedName name="_xlnm.Print_Area" localSheetId="8">'2017-18 Amort Detail'!$A$1:$V$83</definedName>
    <definedName name="_xlnm.Print_Area" localSheetId="6">'2018-19 Amort Detail'!$A$1:$V$83</definedName>
    <definedName name="_xlnm.Print_Area" localSheetId="2">'EE Compliance Filing'!$A$1:$P$65</definedName>
    <definedName name="_xlnm.Print_Area" localSheetId="0">'EE Compliance Filing Amort'!$A$1:$J$65</definedName>
    <definedName name="_xlnm.Print_Area" localSheetId="1">'EE Compliance Filing Amort Old'!$A$1:$I$65</definedName>
    <definedName name="_xlnm.Print_Area" localSheetId="7">'Test Year Volumes'!#REF!</definedName>
    <definedName name="_xlnm.Print_Titles" localSheetId="12">'2013-14 Amort Detail'!$B:$E,'2013-14 Amort Detail'!$1:$3</definedName>
    <definedName name="_xlnm.Print_Titles" localSheetId="11">'2014-15 Amort Detail'!$B:$E,'2014-15 Amort Detail'!$1:$3</definedName>
    <definedName name="_xlnm.Print_Titles" localSheetId="10">'2015-16 Amort Detail'!$B:$E,'2015-16 Amort Detail'!$1:$3</definedName>
    <definedName name="_xlnm.Print_Titles" localSheetId="9">'2016-17 Amort Detail'!$B:$E,'2016-17 Amort Detail'!$1:$3</definedName>
    <definedName name="_xlnm.Print_Titles" localSheetId="8">'2017-18 Amort Detail'!$B:$E,'2017-18 Amort Detail'!$1:$3</definedName>
    <definedName name="_xlnm.Print_Titles" localSheetId="6">'2018-19 Amort Detail'!$B:$E,'2018-19 Amort Detail'!$1:$3</definedName>
    <definedName name="_xlnm.Print_Titles" localSheetId="0">#REF!</definedName>
    <definedName name="_xlnm.Print_Titles" localSheetId="1">#REF!</definedName>
    <definedName name="_xlnm.Print_Titles" localSheetId="7">'Test Year Volumes'!$A:$C,'Test Year Volumes'!$1:$4</definedName>
    <definedName name="_xlnm.Print_Titles">#REF!</definedName>
    <definedName name="print55" localSheetId="12">#REF!</definedName>
    <definedName name="print55" localSheetId="11">#REF!</definedName>
    <definedName name="print55" localSheetId="10">#REF!</definedName>
    <definedName name="print55" localSheetId="9">#REF!</definedName>
    <definedName name="print55" localSheetId="8">#REF!</definedName>
    <definedName name="print55" localSheetId="6">#REF!</definedName>
    <definedName name="print55" localSheetId="2">#REF!</definedName>
    <definedName name="print55" localSheetId="0">#REF!</definedName>
    <definedName name="print55" localSheetId="1">#REF!</definedName>
    <definedName name="print55" localSheetId="7">#REF!</definedName>
    <definedName name="print55">#REF!</definedName>
    <definedName name="RESERVE_REPORT" localSheetId="3">[13]UTILPLNT!#REF!</definedName>
    <definedName name="RESERVE_REPORT" localSheetId="4">[13]UTILPLNT!#REF!</definedName>
    <definedName name="RESERVE_REPORT" localSheetId="5">[13]UTILPLNT!#REF!</definedName>
    <definedName name="RESERVE_REPORT" localSheetId="12">[14]UTILPLNT!#REF!</definedName>
    <definedName name="RESERVE_REPORT" localSheetId="11">[14]UTILPLNT!#REF!</definedName>
    <definedName name="RESERVE_REPORT" localSheetId="10">[14]UTILPLNT!#REF!</definedName>
    <definedName name="RESERVE_REPORT" localSheetId="9">[14]UTILPLNT!#REF!</definedName>
    <definedName name="RESERVE_REPORT" localSheetId="8">[14]UTILPLNT!#REF!</definedName>
    <definedName name="RESERVE_REPORT" localSheetId="6">[14]UTILPLNT!#REF!</definedName>
    <definedName name="RESERVE_REPORT" localSheetId="2">[13]UTILPLNT!#REF!</definedName>
    <definedName name="RESERVE_REPORT" localSheetId="0">[13]UTILPLNT!#REF!</definedName>
    <definedName name="RESERVE_REPORT" localSheetId="1">[13]UTILPLNT!#REF!</definedName>
    <definedName name="RESERVE_REPORT">[13]UTILPLNT!#REF!</definedName>
    <definedName name="REV_PC_OR" localSheetId="12">#REF!</definedName>
    <definedName name="REV_PC_OR" localSheetId="11">#REF!</definedName>
    <definedName name="REV_PC_OR" localSheetId="10">#REF!</definedName>
    <definedName name="REV_PC_OR" localSheetId="9">#REF!</definedName>
    <definedName name="REV_PC_OR" localSheetId="8">#REF!</definedName>
    <definedName name="REV_PC_OR" localSheetId="6">#REF!</definedName>
    <definedName name="REV_PC_OR" localSheetId="2">#REF!</definedName>
    <definedName name="REV_PC_OR" localSheetId="0">#REF!</definedName>
    <definedName name="REV_PC_OR" localSheetId="1">#REF!</definedName>
    <definedName name="REV_PC_OR">#REF!</definedName>
    <definedName name="REV_PC_SYS" localSheetId="12">#REF!</definedName>
    <definedName name="REV_PC_SYS" localSheetId="11">#REF!</definedName>
    <definedName name="REV_PC_SYS" localSheetId="10">#REF!</definedName>
    <definedName name="REV_PC_SYS" localSheetId="9">#REF!</definedName>
    <definedName name="REV_PC_SYS" localSheetId="8">#REF!</definedName>
    <definedName name="REV_PC_SYS" localSheetId="6">#REF!</definedName>
    <definedName name="REV_PC_SYS" localSheetId="2">#REF!</definedName>
    <definedName name="REV_PC_SYS" localSheetId="0">#REF!</definedName>
    <definedName name="REV_PC_SYS" localSheetId="1">#REF!</definedName>
    <definedName name="REV_PC_SYS">#REF!</definedName>
    <definedName name="REV_PC_WA" localSheetId="12">#REF!</definedName>
    <definedName name="REV_PC_WA" localSheetId="11">#REF!</definedName>
    <definedName name="REV_PC_WA" localSheetId="10">#REF!</definedName>
    <definedName name="REV_PC_WA" localSheetId="9">#REF!</definedName>
    <definedName name="REV_PC_WA" localSheetId="8">#REF!</definedName>
    <definedName name="REV_PC_WA" localSheetId="6">#REF!</definedName>
    <definedName name="REV_PC_WA" localSheetId="2">#REF!</definedName>
    <definedName name="REV_PC_WA" localSheetId="0">#REF!</definedName>
    <definedName name="REV_PC_WA" localSheetId="1">#REF!</definedName>
    <definedName name="REV_PC_WA">#REF!</definedName>
    <definedName name="RevM" localSheetId="12">#REF!</definedName>
    <definedName name="RevM" localSheetId="11">#REF!</definedName>
    <definedName name="RevM" localSheetId="10">#REF!</definedName>
    <definedName name="RevM" localSheetId="9">#REF!</definedName>
    <definedName name="RevM" localSheetId="8">#REF!</definedName>
    <definedName name="RevM" localSheetId="6">#REF!</definedName>
    <definedName name="RevM" localSheetId="2">#REF!</definedName>
    <definedName name="RevM" localSheetId="0">#REF!</definedName>
    <definedName name="RevM" localSheetId="1">#REF!</definedName>
    <definedName name="RevM" localSheetId="7">#REF!</definedName>
    <definedName name="RevM">#REF!</definedName>
    <definedName name="revrate" localSheetId="12">#REF!</definedName>
    <definedName name="revrate" localSheetId="11">#REF!</definedName>
    <definedName name="revrate" localSheetId="10">#REF!</definedName>
    <definedName name="revrate" localSheetId="9">#REF!</definedName>
    <definedName name="revrate" localSheetId="8">#REF!</definedName>
    <definedName name="revrate" localSheetId="6">#REF!</definedName>
    <definedName name="revrate" localSheetId="2">#REF!</definedName>
    <definedName name="revrate" localSheetId="0">#REF!</definedName>
    <definedName name="revrate" localSheetId="1">#REF!</definedName>
    <definedName name="revrate">#REF!</definedName>
    <definedName name="REVREL" localSheetId="12">#REF!</definedName>
    <definedName name="REVREL" localSheetId="11">#REF!</definedName>
    <definedName name="REVREL" localSheetId="10">#REF!</definedName>
    <definedName name="REVREL" localSheetId="9">#REF!</definedName>
    <definedName name="REVREL" localSheetId="8">#REF!</definedName>
    <definedName name="REVREL" localSheetId="6">#REF!</definedName>
    <definedName name="REVREL" localSheetId="2">#REF!</definedName>
    <definedName name="REVREL" localSheetId="0">#REF!</definedName>
    <definedName name="REVREL" localSheetId="1">#REF!</definedName>
    <definedName name="REVREL">#REF!</definedName>
    <definedName name="revsens" localSheetId="12">[15]Inputs!$B$24</definedName>
    <definedName name="revsens" localSheetId="11">[15]Inputs!$B$24</definedName>
    <definedName name="revsens" localSheetId="10">[15]Inputs!$B$24</definedName>
    <definedName name="revsens" localSheetId="9">[15]Inputs!$B$24</definedName>
    <definedName name="revsens" localSheetId="8">[15]Inputs!$B$24</definedName>
    <definedName name="revsens" localSheetId="6">[15]Inputs!$B$24</definedName>
    <definedName name="revsens" localSheetId="7">[2]Inputs!$B$30</definedName>
    <definedName name="revsens">[16]Inputs!$B$24</definedName>
    <definedName name="RevY" localSheetId="12">#REF!</definedName>
    <definedName name="RevY" localSheetId="11">#REF!</definedName>
    <definedName name="RevY" localSheetId="10">#REF!</definedName>
    <definedName name="RevY" localSheetId="9">#REF!</definedName>
    <definedName name="RevY" localSheetId="8">#REF!</definedName>
    <definedName name="RevY" localSheetId="6">#REF!</definedName>
    <definedName name="RevY" localSheetId="2">#REF!</definedName>
    <definedName name="RevY" localSheetId="0">#REF!</definedName>
    <definedName name="RevY" localSheetId="1">#REF!</definedName>
    <definedName name="RevY" localSheetId="7">#REF!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tDate" localSheetId="12">#REF!</definedName>
    <definedName name="RptDate" localSheetId="11">#REF!</definedName>
    <definedName name="RptDate" localSheetId="10">#REF!</definedName>
    <definedName name="RptDate" localSheetId="9">#REF!</definedName>
    <definedName name="RptDate" localSheetId="8">#REF!</definedName>
    <definedName name="RptDate" localSheetId="6">#REF!</definedName>
    <definedName name="RptDate" localSheetId="2">#REF!</definedName>
    <definedName name="RptDate" localSheetId="0">#REF!</definedName>
    <definedName name="RptDate" localSheetId="1">#REF!</definedName>
    <definedName name="RptDate" localSheetId="7">#REF!</definedName>
    <definedName name="RptDate">#REF!</definedName>
    <definedName name="SECACCUMCOMPRINCOME">'[17]LAW RETAIN EARN'!$B$23</definedName>
    <definedName name="SECAIRCRAFT">'[17]LAW OTHER INV'!$B$45</definedName>
    <definedName name="SECARTRADE1">'[17]LAW CASH'!$B$96</definedName>
    <definedName name="SECARTRADE2">'[17]LAW ACCT REC'!$B$42</definedName>
    <definedName name="SECCUSTADV">'[17]LAW OTHER LIABILITIES'!$B$76</definedName>
    <definedName name="SECDEFINCTAXLIAB">'[17]LAW DEF TAXES INV CREDIT'!$B$34</definedName>
    <definedName name="SECINCTAXASSET">'[17]LAW DEF REG AND OTHER'!$B$159</definedName>
    <definedName name="SECINTRECNNGFC">'[17]LAW INV IN SUBS'!$B$26</definedName>
    <definedName name="SECINTRECNWENERGY">'[17]LAW INV IN SUBS'!$B$24</definedName>
    <definedName name="SECINVESTLIFEINS">'[17]LAW DEF REG AND OTHER'!$B$165</definedName>
    <definedName name="SECLOSSDERIV">'[17]LAW DEF REG AND OTHER'!$B$161</definedName>
    <definedName name="SECNNGFC">'[17]LAW INV IN SUBS'!$B$22</definedName>
    <definedName name="SECNONUTDEPR">'[17]LAW NON UTIL PROP'!$B$44</definedName>
    <definedName name="SECNONUTILPROP">'[17]LAW NON UTIL PROP'!$B$42</definedName>
    <definedName name="SECNWENERGY">'[17]LAW INV IN SUBS'!$B$20</definedName>
    <definedName name="SECONDYEAR" localSheetId="12">#REF!</definedName>
    <definedName name="SECONDYEAR" localSheetId="11">#REF!</definedName>
    <definedName name="SECONDYEAR" localSheetId="10">#REF!</definedName>
    <definedName name="SECONDYEAR" localSheetId="9">#REF!</definedName>
    <definedName name="SECONDYEAR" localSheetId="8">#REF!</definedName>
    <definedName name="SECONDYEAR" localSheetId="6">#REF!</definedName>
    <definedName name="SECONDYEAR" localSheetId="2">#REF!</definedName>
    <definedName name="SECONDYEAR" localSheetId="0">#REF!</definedName>
    <definedName name="SECONDYEAR" localSheetId="1">#REF!</definedName>
    <definedName name="SECONDYEAR">#REF!</definedName>
    <definedName name="SECOTHCURRLIAB">'[17]LAW CUST DEPOS'!$B$17</definedName>
    <definedName name="SECOTHCURRLIAB2">'[17]LAW DIVIDENDS DECLARED'!$B$15</definedName>
    <definedName name="SECOTHERASSETS">'[17]LAW DEF REG AND OTHER'!$B$167</definedName>
    <definedName name="SECOTHERASSETS1">'[17]LAW UNAMT DEBT DISC'!$B$46</definedName>
    <definedName name="SECOTHERINV">'[17]LAW OTHER INV'!$B$47</definedName>
    <definedName name="SECUNAMORTLOSSDEBTRED">'[17]LAW DEF REG AND OTHER'!$B$163</definedName>
    <definedName name="SECUNEARNEDCOMP">'[17]LAW RETAIN EARN'!$B$25</definedName>
    <definedName name="SECUTILPLANT">'[17]LAW GAS STORED'!$B$23</definedName>
    <definedName name="shitodear">#N/A</definedName>
    <definedName name="shitodear2">#N/A</definedName>
    <definedName name="shitodear3">#N/A</definedName>
    <definedName name="SHORTBALCF" localSheetId="12">#REF!</definedName>
    <definedName name="SHORTBALCF" localSheetId="11">#REF!</definedName>
    <definedName name="SHORTBALCF" localSheetId="10">#REF!</definedName>
    <definedName name="SHORTBALCF" localSheetId="9">#REF!</definedName>
    <definedName name="SHORTBALCF" localSheetId="8">#REF!</definedName>
    <definedName name="SHORTBALCF" localSheetId="6">#REF!</definedName>
    <definedName name="SHORTBALCF" localSheetId="2">#REF!</definedName>
    <definedName name="SHORTBALCF" localSheetId="0">#REF!</definedName>
    <definedName name="SHORTBALCF" localSheetId="1">#REF!</definedName>
    <definedName name="SHORTBALCF">#REF!</definedName>
    <definedName name="SHORTBALCFSTART" localSheetId="12">#REF!</definedName>
    <definedName name="SHORTBALCFSTART" localSheetId="11">#REF!</definedName>
    <definedName name="SHORTBALCFSTART" localSheetId="10">#REF!</definedName>
    <definedName name="SHORTBALCFSTART" localSheetId="9">#REF!</definedName>
    <definedName name="SHORTBALCFSTART" localSheetId="8">#REF!</definedName>
    <definedName name="SHORTBALCFSTART" localSheetId="6">#REF!</definedName>
    <definedName name="SHORTBALCFSTART" localSheetId="2">#REF!</definedName>
    <definedName name="SHORTBALCFSTART" localSheetId="0">#REF!</definedName>
    <definedName name="SHORTBALCFSTART" localSheetId="1">#REF!</definedName>
    <definedName name="SHORTBALCFSTART">#REF!</definedName>
    <definedName name="START" localSheetId="12">#REF!</definedName>
    <definedName name="START" localSheetId="11">#REF!</definedName>
    <definedName name="START" localSheetId="10">#REF!</definedName>
    <definedName name="START" localSheetId="9">#REF!</definedName>
    <definedName name="START" localSheetId="8">#REF!</definedName>
    <definedName name="START" localSheetId="6">#REF!</definedName>
    <definedName name="START" localSheetId="2">#REF!</definedName>
    <definedName name="START" localSheetId="0">#REF!</definedName>
    <definedName name="START" localSheetId="1">#REF!</definedName>
    <definedName name="START">#REF!</definedName>
    <definedName name="SUBDATA" localSheetId="12">'[18]page1:CLP with elas'!$A$7:$K$51</definedName>
    <definedName name="SUBDATA" localSheetId="11">'[18]page1:CLP with elas'!$A$7:$K$51</definedName>
    <definedName name="SUBDATA" localSheetId="10">'[18]page1:CLP with elas'!$A$7:$K$51</definedName>
    <definedName name="SUBDATA" localSheetId="9">'[18]page1:CLP with elas'!$A$7:$K$51</definedName>
    <definedName name="SUBDATA" localSheetId="8">'[18]page1:CLP with elas'!$A$7:$K$51</definedName>
    <definedName name="SUBDATA" localSheetId="6">'[18]page1:CLP with elas'!$A$7:$K$51</definedName>
    <definedName name="SUBDATA">'[19]page1:CLP with elas'!$A$7:$K$51</definedName>
    <definedName name="SUMMARY" localSheetId="12">#REF!</definedName>
    <definedName name="SUMMARY" localSheetId="11">#REF!</definedName>
    <definedName name="SUMMARY" localSheetId="10">#REF!</definedName>
    <definedName name="SUMMARY" localSheetId="9">#REF!</definedName>
    <definedName name="SUMMARY" localSheetId="8">#REF!</definedName>
    <definedName name="SUMMARY" localSheetId="6">#REF!</definedName>
    <definedName name="SUMMARY" localSheetId="2">#REF!</definedName>
    <definedName name="SUMMARY" localSheetId="0">#REF!</definedName>
    <definedName name="SUMMARY" localSheetId="1">#REF!</definedName>
    <definedName name="SUMMARY">#REF!</definedName>
    <definedName name="SUMRY1" localSheetId="12">'[18]New SMPE:Proposed Temps'!$A$1:$L$61</definedName>
    <definedName name="SUMRY1" localSheetId="11">'[18]New SMPE:Proposed Temps'!$A$1:$L$61</definedName>
    <definedName name="SUMRY1" localSheetId="10">'[18]New SMPE:Proposed Temps'!$A$1:$L$61</definedName>
    <definedName name="SUMRY1" localSheetId="9">'[18]New SMPE:Proposed Temps'!$A$1:$L$61</definedName>
    <definedName name="SUMRY1" localSheetId="8">'[18]New SMPE:Proposed Temps'!$A$1:$L$61</definedName>
    <definedName name="SUMRY1" localSheetId="6">'[18]New SMPE:Proposed Temps'!$A$1:$L$61</definedName>
    <definedName name="SUMRY1">'[19]New SMPE:Proposed Temps'!$A$1:$L$61</definedName>
    <definedName name="SUPPLY" localSheetId="12">'[11]Pipeline Charges:Flowing Dispatch'!$Q$97:$Q$379</definedName>
    <definedName name="SUPPLY" localSheetId="11">'[11]Pipeline Charges:Flowing Dispatch'!$Q$97:$Q$379</definedName>
    <definedName name="SUPPLY" localSheetId="10">'[11]Pipeline Charges:Flowing Dispatch'!$Q$97:$Q$379</definedName>
    <definedName name="SUPPLY" localSheetId="9">'[11]Pipeline Charges:Flowing Dispatch'!$Q$97:$Q$379</definedName>
    <definedName name="SUPPLY" localSheetId="8">'[11]Pipeline Charges:Flowing Dispatch'!$Q$97:$Q$379</definedName>
    <definedName name="SUPPLY" localSheetId="6">'[11]Pipeline Charges:Flowing Dispatch'!$Q$97:$Q$379</definedName>
    <definedName name="SUPPLY">'[12]Pipeline Charges:Flowing Dispatch'!$Q$97:$Q$379</definedName>
    <definedName name="TAX" localSheetId="12">#REF!</definedName>
    <definedName name="TAX" localSheetId="11">#REF!</definedName>
    <definedName name="TAX" localSheetId="10">#REF!</definedName>
    <definedName name="TAX" localSheetId="9">#REF!</definedName>
    <definedName name="TAX" localSheetId="8">#REF!</definedName>
    <definedName name="TAX" localSheetId="6">#REF!</definedName>
    <definedName name="TAX" localSheetId="2">#REF!</definedName>
    <definedName name="TAX" localSheetId="0">#REF!</definedName>
    <definedName name="TAX" localSheetId="1">#REF!</definedName>
    <definedName name="TAX">#REF!</definedName>
    <definedName name="TAXIMPACT" localSheetId="12">#REF!</definedName>
    <definedName name="TAXIMPACT" localSheetId="11">#REF!</definedName>
    <definedName name="TAXIMPACT" localSheetId="10">#REF!</definedName>
    <definedName name="TAXIMPACT" localSheetId="9">#REF!</definedName>
    <definedName name="TAXIMPACT" localSheetId="8">#REF!</definedName>
    <definedName name="TAXIMPACT" localSheetId="6">#REF!</definedName>
    <definedName name="TAXIMPACT" localSheetId="2">#REF!</definedName>
    <definedName name="TAXIMPACT" localSheetId="0">#REF!</definedName>
    <definedName name="TAXIMPACT" localSheetId="1">#REF!</definedName>
    <definedName name="TAXIMPACT">#REF!</definedName>
    <definedName name="TEMP" localSheetId="12">#REF!</definedName>
    <definedName name="TEMP" localSheetId="11">#REF!</definedName>
    <definedName name="TEMP" localSheetId="10">#REF!</definedName>
    <definedName name="TEMP" localSheetId="9">#REF!</definedName>
    <definedName name="TEMP" localSheetId="8">#REF!</definedName>
    <definedName name="TEMP" localSheetId="6">#REF!</definedName>
    <definedName name="TEMP" localSheetId="2">#REF!</definedName>
    <definedName name="TEMP" localSheetId="0">#REF!</definedName>
    <definedName name="TEMP" localSheetId="1">#REF!</definedName>
    <definedName name="TEMP">#REF!</definedName>
    <definedName name="TEMP_DIFF" localSheetId="12">#REF!</definedName>
    <definedName name="TEMP_DIFF" localSheetId="11">#REF!</definedName>
    <definedName name="TEMP_DIFF" localSheetId="10">#REF!</definedName>
    <definedName name="TEMP_DIFF" localSheetId="9">#REF!</definedName>
    <definedName name="TEMP_DIFF" localSheetId="8">#REF!</definedName>
    <definedName name="TEMP_DIFF" localSheetId="6">#REF!</definedName>
    <definedName name="TEMP_DIFF" localSheetId="2">#REF!</definedName>
    <definedName name="TEMP_DIFF" localSheetId="0">#REF!</definedName>
    <definedName name="TEMP_DIFF" localSheetId="1">#REF!</definedName>
    <definedName name="TEMP_DIFF">#REF!</definedName>
    <definedName name="UNBILLED_Bths" localSheetId="12">#REF!</definedName>
    <definedName name="UNBILLED_Bths" localSheetId="11">#REF!</definedName>
    <definedName name="UNBILLED_Bths" localSheetId="10">#REF!</definedName>
    <definedName name="UNBILLED_Bths" localSheetId="9">#REF!</definedName>
    <definedName name="UNBILLED_Bths" localSheetId="8">#REF!</definedName>
    <definedName name="UNBILLED_Bths" localSheetId="6">#REF!</definedName>
    <definedName name="UNBILLED_Bths" localSheetId="2">#REF!</definedName>
    <definedName name="UNBILLED_Bths" localSheetId="0">#REF!</definedName>
    <definedName name="UNBILLED_Bths" localSheetId="1">#REF!</definedName>
    <definedName name="UNBILLED_Bths">#REF!</definedName>
    <definedName name="UNBILLED_Busd" localSheetId="12">#REF!</definedName>
    <definedName name="UNBILLED_Busd" localSheetId="11">#REF!</definedName>
    <definedName name="UNBILLED_Busd" localSheetId="10">#REF!</definedName>
    <definedName name="UNBILLED_Busd" localSheetId="9">#REF!</definedName>
    <definedName name="UNBILLED_Busd" localSheetId="8">#REF!</definedName>
    <definedName name="UNBILLED_Busd" localSheetId="6">#REF!</definedName>
    <definedName name="UNBILLED_Busd" localSheetId="2">#REF!</definedName>
    <definedName name="UNBILLED_Busd" localSheetId="0">#REF!</definedName>
    <definedName name="UNBILLED_Busd" localSheetId="1">#REF!</definedName>
    <definedName name="UNBILLED_Busd">#REF!</definedName>
    <definedName name="Version" localSheetId="12">#REF!</definedName>
    <definedName name="Version" localSheetId="11">#REF!</definedName>
    <definedName name="Version" localSheetId="10">#REF!</definedName>
    <definedName name="Version" localSheetId="9">#REF!</definedName>
    <definedName name="Version" localSheetId="8">#REF!</definedName>
    <definedName name="Version" localSheetId="6">#REF!</definedName>
    <definedName name="Version" localSheetId="2">#REF!</definedName>
    <definedName name="Version" localSheetId="0">#REF!</definedName>
    <definedName name="Version" localSheetId="1">#REF!</definedName>
    <definedName name="Version" localSheetId="7">#REF!</definedName>
    <definedName name="Version">#REF!</definedName>
    <definedName name="VOL_S_OR" localSheetId="3">#REF!</definedName>
    <definedName name="VOL_S_OR" localSheetId="4">#REF!</definedName>
    <definedName name="VOL_S_OR" localSheetId="5">#REF!</definedName>
    <definedName name="VOL_S_OR" localSheetId="12">#REF!</definedName>
    <definedName name="VOL_S_OR" localSheetId="11">#REF!</definedName>
    <definedName name="VOL_S_OR" localSheetId="10">#REF!</definedName>
    <definedName name="VOL_S_OR" localSheetId="9">#REF!</definedName>
    <definedName name="VOL_S_OR" localSheetId="8">#REF!</definedName>
    <definedName name="VOL_S_OR" localSheetId="6">#REF!</definedName>
    <definedName name="VOL_S_OR" localSheetId="2">#REF!</definedName>
    <definedName name="VOL_S_OR" localSheetId="0">#REF!</definedName>
    <definedName name="VOL_S_OR" localSheetId="1">#REF!</definedName>
    <definedName name="VOL_S_OR">[20]VOL_S!#REF!</definedName>
    <definedName name="VOL_S_SYS" localSheetId="3">#REF!</definedName>
    <definedName name="VOL_S_SYS" localSheetId="4">#REF!</definedName>
    <definedName name="VOL_S_SYS" localSheetId="5">#REF!</definedName>
    <definedName name="VOL_S_SYS" localSheetId="12">#REF!</definedName>
    <definedName name="VOL_S_SYS" localSheetId="11">#REF!</definedName>
    <definedName name="VOL_S_SYS" localSheetId="10">#REF!</definedName>
    <definedName name="VOL_S_SYS" localSheetId="9">#REF!</definedName>
    <definedName name="VOL_S_SYS" localSheetId="8">#REF!</definedName>
    <definedName name="VOL_S_SYS" localSheetId="6">#REF!</definedName>
    <definedName name="VOL_S_SYS" localSheetId="2">#REF!</definedName>
    <definedName name="VOL_S_SYS" localSheetId="0">#REF!</definedName>
    <definedName name="VOL_S_SYS" localSheetId="1">#REF!</definedName>
    <definedName name="VOL_S_SYS">[20]VOL_S!#REF!</definedName>
    <definedName name="VOL_S_WA" localSheetId="3">#REF!</definedName>
    <definedName name="VOL_S_WA" localSheetId="4">#REF!</definedName>
    <definedName name="VOL_S_WA" localSheetId="5">#REF!</definedName>
    <definedName name="VOL_S_WA" localSheetId="12">#REF!</definedName>
    <definedName name="VOL_S_WA" localSheetId="11">#REF!</definedName>
    <definedName name="VOL_S_WA" localSheetId="10">#REF!</definedName>
    <definedName name="VOL_S_WA" localSheetId="9">#REF!</definedName>
    <definedName name="VOL_S_WA" localSheetId="8">#REF!</definedName>
    <definedName name="VOL_S_WA" localSheetId="6">#REF!</definedName>
    <definedName name="VOL_S_WA" localSheetId="2">#REF!</definedName>
    <definedName name="VOL_S_WA" localSheetId="0">#REF!</definedName>
    <definedName name="VOL_S_WA" localSheetId="1">#REF!</definedName>
    <definedName name="VOL_S_WA">[20]VOL_S!#REF!</definedName>
    <definedName name="WA_INTRATE" localSheetId="12">'[21]191420'!$F$1</definedName>
    <definedName name="WA_INTRATE" localSheetId="11">'[21]191420'!$F$1</definedName>
    <definedName name="WA_INTRATE" localSheetId="10">'[21]191420'!$F$1</definedName>
    <definedName name="WA_INTRATE" localSheetId="9">'[21]191420'!$F$1</definedName>
    <definedName name="WA_INTRATE" localSheetId="8">'[21]191420'!$F$1</definedName>
    <definedName name="WA_INTRATE" localSheetId="6">'[21]191420'!$F$1</definedName>
    <definedName name="WA_INTRATE">[22]Interest!$E$4</definedName>
    <definedName name="WACWVOL" localSheetId="12">'[11]Pipeline Charges:Wacog'!$B$38:$E$605</definedName>
    <definedName name="WACWVOL" localSheetId="11">'[11]Pipeline Charges:Wacog'!$B$38:$E$605</definedName>
    <definedName name="WACWVOL" localSheetId="10">'[11]Pipeline Charges:Wacog'!$B$38:$E$605</definedName>
    <definedName name="WACWVOL" localSheetId="9">'[11]Pipeline Charges:Wacog'!$B$38:$E$605</definedName>
    <definedName name="WACWVOL" localSheetId="8">'[11]Pipeline Charges:Wacog'!$B$38:$E$605</definedName>
    <definedName name="WACWVOL" localSheetId="6">'[11]Pipeline Charges:Wacog'!$B$38:$E$605</definedName>
    <definedName name="WACWVOL">'[12]Pipeline Charges:Wacog'!$B$38:$E$605</definedName>
    <definedName name="WFACTORYR3" localSheetId="12">#REF!</definedName>
    <definedName name="WFACTORYR3" localSheetId="11">#REF!</definedName>
    <definedName name="WFACTORYR3" localSheetId="10">#REF!</definedName>
    <definedName name="WFACTORYR3" localSheetId="9">#REF!</definedName>
    <definedName name="WFACTORYR3" localSheetId="8">#REF!</definedName>
    <definedName name="WFACTORYR3" localSheetId="6">#REF!</definedName>
    <definedName name="WFACTORYR3" localSheetId="2">#REF!</definedName>
    <definedName name="WFACTORYR3" localSheetId="0">#REF!</definedName>
    <definedName name="WFACTORYR3" localSheetId="1">#REF!</definedName>
    <definedName name="WFACTORYR3">#REF!</definedName>
    <definedName name="WFACTORYR4" localSheetId="12">#REF!</definedName>
    <definedName name="WFACTORYR4" localSheetId="11">#REF!</definedName>
    <definedName name="WFACTORYR4" localSheetId="10">#REF!</definedName>
    <definedName name="WFACTORYR4" localSheetId="9">#REF!</definedName>
    <definedName name="WFACTORYR4" localSheetId="8">#REF!</definedName>
    <definedName name="WFACTORYR4" localSheetId="6">#REF!</definedName>
    <definedName name="WFACTORYR4" localSheetId="2">#REF!</definedName>
    <definedName name="WFACTORYR4" localSheetId="0">#REF!</definedName>
    <definedName name="WFACTORYR4" localSheetId="1">#REF!</definedName>
    <definedName name="WFACTORYR4">#REF!</definedName>
    <definedName name="Year">[17]CONTROL!$F$7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 s="1"/>
  <c r="N28" i="15" l="1"/>
  <c r="N27" i="15"/>
  <c r="N26" i="15"/>
  <c r="N25" i="15"/>
  <c r="N24" i="15"/>
  <c r="N23" i="15"/>
  <c r="N22" i="15"/>
  <c r="N21" i="15"/>
  <c r="N20" i="15"/>
  <c r="N19" i="15"/>
  <c r="N18" i="15"/>
  <c r="N17" i="15"/>
  <c r="B16" i="15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F16" i="15" l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F55" i="15" s="1"/>
  <c r="F56" i="15" s="1"/>
  <c r="F57" i="15" s="1"/>
  <c r="F58" i="15" s="1"/>
  <c r="F59" i="15" s="1"/>
  <c r="F60" i="15" s="1"/>
  <c r="F61" i="15" s="1"/>
  <c r="F62" i="15" s="1"/>
  <c r="N29" i="15"/>
  <c r="O20" i="15" s="1"/>
  <c r="O28" i="14"/>
  <c r="O27" i="14"/>
  <c r="O26" i="14"/>
  <c r="O25" i="14"/>
  <c r="O24" i="14"/>
  <c r="O23" i="14"/>
  <c r="O22" i="14"/>
  <c r="O21" i="14"/>
  <c r="O20" i="14"/>
  <c r="O19" i="14"/>
  <c r="O18" i="14"/>
  <c r="O17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B16" i="14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O25" i="15" l="1"/>
  <c r="O27" i="15"/>
  <c r="O26" i="15"/>
  <c r="O21" i="15"/>
  <c r="O23" i="15"/>
  <c r="O22" i="15"/>
  <c r="O28" i="15"/>
  <c r="O24" i="15"/>
  <c r="O17" i="15"/>
  <c r="O18" i="15"/>
  <c r="O19" i="15"/>
  <c r="O29" i="14"/>
  <c r="P22" i="14" s="1"/>
  <c r="B51" i="14"/>
  <c r="B52" i="14" s="1"/>
  <c r="B53" i="14" s="1"/>
  <c r="P29" i="13"/>
  <c r="P17" i="13"/>
  <c r="P26" i="14" l="1"/>
  <c r="P18" i="14"/>
  <c r="P27" i="14"/>
  <c r="P25" i="14"/>
  <c r="P21" i="14"/>
  <c r="B54" i="14"/>
  <c r="B55" i="14" s="1"/>
  <c r="B56" i="14" s="1"/>
  <c r="B57" i="14" s="1"/>
  <c r="B58" i="14" s="1"/>
  <c r="B59" i="14" s="1"/>
  <c r="B60" i="14" s="1"/>
  <c r="B61" i="14" s="1"/>
  <c r="B62" i="14" s="1"/>
  <c r="P20" i="14"/>
  <c r="P28" i="14"/>
  <c r="P17" i="14"/>
  <c r="P23" i="14"/>
  <c r="P24" i="14"/>
  <c r="P19" i="14"/>
  <c r="P27" i="13"/>
  <c r="P28" i="13"/>
  <c r="P26" i="13" l="1"/>
  <c r="P25" i="13"/>
  <c r="P24" i="13"/>
  <c r="P23" i="13"/>
  <c r="P22" i="13"/>
  <c r="P21" i="13"/>
  <c r="P20" i="13"/>
  <c r="P19" i="13"/>
  <c r="P18" i="13"/>
  <c r="G15" i="13"/>
  <c r="Q18" i="13" l="1"/>
  <c r="Q27" i="13" l="1"/>
  <c r="C25" i="13" s="1"/>
  <c r="Q28" i="13"/>
  <c r="C26" i="13" s="1"/>
  <c r="Q26" i="13"/>
  <c r="C24" i="13" s="1"/>
  <c r="Q24" i="13"/>
  <c r="C22" i="13" s="1"/>
  <c r="Q19" i="13"/>
  <c r="C17" i="13" s="1"/>
  <c r="Q22" i="13"/>
  <c r="C20" i="13" s="1"/>
  <c r="Q21" i="13"/>
  <c r="C19" i="13" s="1"/>
  <c r="Q17" i="13"/>
  <c r="C15" i="13" s="1"/>
  <c r="Q23" i="13"/>
  <c r="C21" i="13" s="1"/>
  <c r="Q25" i="13"/>
  <c r="C23" i="13" s="1"/>
  <c r="Q20" i="13"/>
  <c r="C18" i="13" s="1"/>
  <c r="C16" i="13"/>
  <c r="B16" i="13" l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G16" i="13" l="1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14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14" i="4"/>
  <c r="AI56" i="4"/>
  <c r="G17" i="13" l="1"/>
  <c r="G18" i="13" l="1"/>
  <c r="G19" i="13" l="1"/>
  <c r="G20" i="13" l="1"/>
  <c r="AK92" i="11"/>
  <c r="AK89" i="11"/>
  <c r="AK88" i="11"/>
  <c r="AK86" i="11"/>
  <c r="AK85" i="11"/>
  <c r="AK84" i="11"/>
  <c r="AK79" i="11"/>
  <c r="AK78" i="11"/>
  <c r="AK77" i="11"/>
  <c r="AK76" i="11"/>
  <c r="AK75" i="11"/>
  <c r="AK74" i="11"/>
  <c r="AK73" i="11"/>
  <c r="AK72" i="11"/>
  <c r="AK71" i="11"/>
  <c r="AK70" i="11"/>
  <c r="AK69" i="11"/>
  <c r="AK68" i="11"/>
  <c r="AK67" i="11"/>
  <c r="AK66" i="11"/>
  <c r="AK65" i="11"/>
  <c r="AK64" i="11"/>
  <c r="AK63" i="11"/>
  <c r="AK62" i="11"/>
  <c r="AK61" i="11"/>
  <c r="AK60" i="11"/>
  <c r="AK59" i="11"/>
  <c r="AK58" i="11"/>
  <c r="AK57" i="11"/>
  <c r="AK94" i="11" s="1"/>
  <c r="AK56" i="11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93" i="11" s="1"/>
  <c r="AK32" i="11"/>
  <c r="AK31" i="11"/>
  <c r="AK30" i="11"/>
  <c r="AK29" i="11"/>
  <c r="AK28" i="11"/>
  <c r="AK27" i="11"/>
  <c r="AK26" i="11"/>
  <c r="AK25" i="11"/>
  <c r="AK24" i="11"/>
  <c r="AK23" i="11"/>
  <c r="AK22" i="11"/>
  <c r="AK91" i="11" s="1"/>
  <c r="AK21" i="11"/>
  <c r="AK90" i="11" s="1"/>
  <c r="AK20" i="11"/>
  <c r="AK19" i="11"/>
  <c r="AK18" i="11"/>
  <c r="AK17" i="11"/>
  <c r="AK87" i="11" s="1"/>
  <c r="AK16" i="11"/>
  <c r="AK15" i="11"/>
  <c r="AK14" i="11"/>
  <c r="AK80" i="11" s="1"/>
  <c r="AK88" i="10"/>
  <c r="AK87" i="10"/>
  <c r="AK84" i="10"/>
  <c r="AK79" i="10"/>
  <c r="AK78" i="10"/>
  <c r="AK77" i="10"/>
  <c r="AK76" i="10"/>
  <c r="AK75" i="10"/>
  <c r="AK74" i="10"/>
  <c r="AK73" i="10"/>
  <c r="AK72" i="10"/>
  <c r="AK71" i="10"/>
  <c r="AK70" i="10"/>
  <c r="AK69" i="10"/>
  <c r="AK68" i="10"/>
  <c r="AK67" i="10"/>
  <c r="AK66" i="10"/>
  <c r="AK65" i="10"/>
  <c r="AK64" i="10"/>
  <c r="AK63" i="10"/>
  <c r="AK62" i="10"/>
  <c r="AK61" i="10"/>
  <c r="AK60" i="10"/>
  <c r="AK59" i="10"/>
  <c r="AK58" i="10"/>
  <c r="AK57" i="10"/>
  <c r="AK56" i="10"/>
  <c r="AK94" i="10" s="1"/>
  <c r="AK55" i="10"/>
  <c r="AK54" i="10"/>
  <c r="AK53" i="10"/>
  <c r="AK52" i="10"/>
  <c r="AK51" i="10"/>
  <c r="AK50" i="10"/>
  <c r="AK49" i="10"/>
  <c r="AK48" i="10"/>
  <c r="AK47" i="10"/>
  <c r="AK46" i="10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3" i="10"/>
  <c r="AK32" i="10"/>
  <c r="AK93" i="10" s="1"/>
  <c r="AK31" i="10"/>
  <c r="AK30" i="10"/>
  <c r="AK29" i="10"/>
  <c r="AK28" i="10"/>
  <c r="AK27" i="10"/>
  <c r="AK92" i="10" s="1"/>
  <c r="AK26" i="10"/>
  <c r="AK25" i="10"/>
  <c r="AK24" i="10"/>
  <c r="AK23" i="10"/>
  <c r="AK91" i="10" s="1"/>
  <c r="AK22" i="10"/>
  <c r="AK21" i="10"/>
  <c r="AK20" i="10"/>
  <c r="AK90" i="10" s="1"/>
  <c r="AK19" i="10"/>
  <c r="AK89" i="10" s="1"/>
  <c r="AK18" i="10"/>
  <c r="AK17" i="10"/>
  <c r="AK16" i="10"/>
  <c r="AK86" i="10" s="1"/>
  <c r="AK15" i="10"/>
  <c r="AK85" i="10" s="1"/>
  <c r="AK95" i="10" s="1"/>
  <c r="AK14" i="10"/>
  <c r="AK92" i="9"/>
  <c r="AK89" i="9"/>
  <c r="AK88" i="9"/>
  <c r="AK86" i="9"/>
  <c r="AK85" i="9"/>
  <c r="AK84" i="9"/>
  <c r="AK79" i="9"/>
  <c r="AK78" i="9"/>
  <c r="AK77" i="9"/>
  <c r="AK76" i="9"/>
  <c r="AK75" i="9"/>
  <c r="AK74" i="9"/>
  <c r="AK73" i="9"/>
  <c r="AK72" i="9"/>
  <c r="AK71" i="9"/>
  <c r="AK70" i="9"/>
  <c r="AK69" i="9"/>
  <c r="AK68" i="9"/>
  <c r="AK67" i="9"/>
  <c r="AK66" i="9"/>
  <c r="AK65" i="9"/>
  <c r="AK64" i="9"/>
  <c r="AK63" i="9"/>
  <c r="AK62" i="9"/>
  <c r="AK61" i="9"/>
  <c r="AK60" i="9"/>
  <c r="AK59" i="9"/>
  <c r="AK58" i="9"/>
  <c r="AK57" i="9"/>
  <c r="AK94" i="9" s="1"/>
  <c r="AK56" i="9"/>
  <c r="AK55" i="9"/>
  <c r="AK54" i="9"/>
  <c r="AK53" i="9"/>
  <c r="AK52" i="9"/>
  <c r="AK51" i="9"/>
  <c r="AK50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93" i="9" s="1"/>
  <c r="AK32" i="9"/>
  <c r="AK31" i="9"/>
  <c r="AK30" i="9"/>
  <c r="AK29" i="9"/>
  <c r="AK28" i="9"/>
  <c r="AK27" i="9"/>
  <c r="AK26" i="9"/>
  <c r="AK25" i="9"/>
  <c r="AK24" i="9"/>
  <c r="AK23" i="9"/>
  <c r="AK22" i="9"/>
  <c r="AK91" i="9" s="1"/>
  <c r="AK21" i="9"/>
  <c r="AK90" i="9" s="1"/>
  <c r="AK20" i="9"/>
  <c r="AK19" i="9"/>
  <c r="AK18" i="9"/>
  <c r="AK17" i="9"/>
  <c r="AK87" i="9" s="1"/>
  <c r="AK16" i="9"/>
  <c r="AK15" i="9"/>
  <c r="AK14" i="9"/>
  <c r="AK80" i="9" s="1"/>
  <c r="AK92" i="8"/>
  <c r="AK88" i="8"/>
  <c r="AK84" i="8"/>
  <c r="AK79" i="8"/>
  <c r="AK78" i="8"/>
  <c r="AK77" i="8"/>
  <c r="AK76" i="8"/>
  <c r="AK75" i="8"/>
  <c r="AK74" i="8"/>
  <c r="AK73" i="8"/>
  <c r="AK72" i="8"/>
  <c r="AK71" i="8"/>
  <c r="AK70" i="8"/>
  <c r="AK69" i="8"/>
  <c r="AK68" i="8"/>
  <c r="AK67" i="8"/>
  <c r="AK66" i="8"/>
  <c r="AK65" i="8"/>
  <c r="AK64" i="8"/>
  <c r="AK63" i="8"/>
  <c r="AK62" i="8"/>
  <c r="AK61" i="8"/>
  <c r="AK60" i="8"/>
  <c r="AK59" i="8"/>
  <c r="AK58" i="8"/>
  <c r="AK57" i="8"/>
  <c r="AK56" i="8"/>
  <c r="AK94" i="8" s="1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93" i="8" s="1"/>
  <c r="AK31" i="8"/>
  <c r="AK30" i="8"/>
  <c r="AK29" i="8"/>
  <c r="AK28" i="8"/>
  <c r="AK27" i="8"/>
  <c r="AK26" i="8"/>
  <c r="AK25" i="8"/>
  <c r="AK24" i="8"/>
  <c r="AK23" i="8"/>
  <c r="AK22" i="8"/>
  <c r="AK91" i="8" s="1"/>
  <c r="AK21" i="8"/>
  <c r="AK20" i="8"/>
  <c r="AK90" i="8" s="1"/>
  <c r="AK19" i="8"/>
  <c r="AK89" i="8" s="1"/>
  <c r="AK18" i="8"/>
  <c r="AK17" i="8"/>
  <c r="AK87" i="8" s="1"/>
  <c r="AK16" i="8"/>
  <c r="AK86" i="8" s="1"/>
  <c r="AK15" i="8"/>
  <c r="AK85" i="8" s="1"/>
  <c r="AK14" i="8"/>
  <c r="AK80" i="8" s="1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93" i="7" s="1"/>
  <c r="AK31" i="7"/>
  <c r="AK30" i="7"/>
  <c r="AK29" i="7"/>
  <c r="AK28" i="7"/>
  <c r="AK27" i="7"/>
  <c r="AK26" i="7"/>
  <c r="AK25" i="7"/>
  <c r="AK24" i="7"/>
  <c r="AK23" i="7"/>
  <c r="AK22" i="7"/>
  <c r="AK21" i="7"/>
  <c r="AK20" i="7"/>
  <c r="AK90" i="7" s="1"/>
  <c r="AK19" i="7"/>
  <c r="AK18" i="7"/>
  <c r="AK88" i="7" s="1"/>
  <c r="AK17" i="7"/>
  <c r="AK16" i="7"/>
  <c r="AK86" i="7" s="1"/>
  <c r="AK15" i="7"/>
  <c r="AK14" i="7"/>
  <c r="AK92" i="7"/>
  <c r="AK89" i="7"/>
  <c r="AK85" i="7"/>
  <c r="AK84" i="7"/>
  <c r="AK94" i="7"/>
  <c r="AK91" i="7"/>
  <c r="AK87" i="7"/>
  <c r="AL94" i="4"/>
  <c r="AL93" i="4"/>
  <c r="AL92" i="4"/>
  <c r="AL91" i="4"/>
  <c r="AL90" i="4"/>
  <c r="AL89" i="4"/>
  <c r="AL88" i="4"/>
  <c r="AL87" i="4"/>
  <c r="AL86" i="4"/>
  <c r="AL85" i="4"/>
  <c r="AL84" i="4"/>
  <c r="AL95" i="4" s="1"/>
  <c r="AK94" i="4"/>
  <c r="AK93" i="4"/>
  <c r="AK92" i="4"/>
  <c r="AK91" i="4"/>
  <c r="AK90" i="4"/>
  <c r="AK89" i="4"/>
  <c r="AK88" i="4"/>
  <c r="AK87" i="4"/>
  <c r="AK86" i="4"/>
  <c r="AK85" i="4"/>
  <c r="AK84" i="4"/>
  <c r="AK95" i="4" s="1"/>
  <c r="G21" i="13" l="1"/>
  <c r="AK95" i="11"/>
  <c r="AK80" i="10"/>
  <c r="AK95" i="9"/>
  <c r="AK95" i="8"/>
  <c r="AK80" i="7"/>
  <c r="AK95" i="7"/>
  <c r="AK79" i="4"/>
  <c r="AK78" i="4"/>
  <c r="AK77" i="4"/>
  <c r="AK76" i="4"/>
  <c r="AK75" i="4"/>
  <c r="AK74" i="4"/>
  <c r="AK73" i="4"/>
  <c r="AK72" i="4"/>
  <c r="AK71" i="4"/>
  <c r="AK70" i="4"/>
  <c r="AK69" i="4"/>
  <c r="AK68" i="4"/>
  <c r="AK67" i="4"/>
  <c r="AK66" i="4"/>
  <c r="AK65" i="4"/>
  <c r="AK64" i="4"/>
  <c r="AK63" i="4"/>
  <c r="AK62" i="4"/>
  <c r="AK61" i="4"/>
  <c r="AK60" i="4"/>
  <c r="AK59" i="4"/>
  <c r="AK58" i="4"/>
  <c r="AK57" i="4"/>
  <c r="AK56" i="4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G22" i="13" l="1"/>
  <c r="AL80" i="4"/>
  <c r="G23" i="13" l="1"/>
  <c r="AK80" i="4"/>
  <c r="G24" i="13" l="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AH56" i="11"/>
  <c r="AG56" i="11"/>
  <c r="AF56" i="11"/>
  <c r="AF94" i="11" s="1"/>
  <c r="AE56" i="11"/>
  <c r="AD56" i="11"/>
  <c r="AC56" i="11"/>
  <c r="AB56" i="11"/>
  <c r="AB94" i="11" s="1"/>
  <c r="AA56" i="11"/>
  <c r="Z56" i="11"/>
  <c r="Y56" i="11"/>
  <c r="X56" i="11"/>
  <c r="W56" i="11"/>
  <c r="V56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AH32" i="11"/>
  <c r="AG32" i="11"/>
  <c r="AF32" i="11"/>
  <c r="AF93" i="11" s="1"/>
  <c r="AE32" i="11"/>
  <c r="AD32" i="11"/>
  <c r="AC32" i="11"/>
  <c r="AB32" i="11"/>
  <c r="AB93" i="11" s="1"/>
  <c r="AA32" i="11"/>
  <c r="Z32" i="11"/>
  <c r="Y32" i="11"/>
  <c r="X32" i="11"/>
  <c r="W32" i="11"/>
  <c r="V32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AH26" i="11"/>
  <c r="AH92" i="11" s="1"/>
  <c r="AG26" i="11"/>
  <c r="AF26" i="11"/>
  <c r="AF92" i="11" s="1"/>
  <c r="AE26" i="11"/>
  <c r="AD26" i="11"/>
  <c r="AD92" i="11" s="1"/>
  <c r="AC26" i="11"/>
  <c r="AB26" i="11"/>
  <c r="AB92" i="11" s="1"/>
  <c r="AA26" i="11"/>
  <c r="Z26" i="11"/>
  <c r="Z92" i="11" s="1"/>
  <c r="Y26" i="11"/>
  <c r="X26" i="11"/>
  <c r="X92" i="11" s="1"/>
  <c r="W26" i="11"/>
  <c r="V26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AH23" i="11"/>
  <c r="AG23" i="11"/>
  <c r="AG91" i="11" s="1"/>
  <c r="AF23" i="11"/>
  <c r="AE23" i="11"/>
  <c r="AD23" i="11"/>
  <c r="AC23" i="11"/>
  <c r="AB23" i="11"/>
  <c r="AA23" i="11"/>
  <c r="Z23" i="11"/>
  <c r="Y23" i="11"/>
  <c r="X23" i="11"/>
  <c r="W23" i="11"/>
  <c r="V23" i="11"/>
  <c r="AH22" i="11"/>
  <c r="AH91" i="11" s="1"/>
  <c r="AG22" i="11"/>
  <c r="AF22" i="11"/>
  <c r="AE22" i="11"/>
  <c r="AD22" i="11"/>
  <c r="AD91" i="11" s="1"/>
  <c r="AC22" i="11"/>
  <c r="AB22" i="11"/>
  <c r="AB91" i="11" s="1"/>
  <c r="AA22" i="11"/>
  <c r="Z22" i="11"/>
  <c r="Z91" i="11" s="1"/>
  <c r="Y22" i="11"/>
  <c r="X22" i="11"/>
  <c r="W22" i="11"/>
  <c r="V22" i="11"/>
  <c r="V91" i="11" s="1"/>
  <c r="AH21" i="11"/>
  <c r="AG21" i="11"/>
  <c r="AF21" i="11"/>
  <c r="AE21" i="11"/>
  <c r="AE90" i="11" s="1"/>
  <c r="AD21" i="11"/>
  <c r="AC21" i="11"/>
  <c r="AB21" i="11"/>
  <c r="AA21" i="11"/>
  <c r="AA90" i="11" s="1"/>
  <c r="Z21" i="11"/>
  <c r="Y21" i="11"/>
  <c r="X21" i="11"/>
  <c r="W21" i="11"/>
  <c r="V21" i="11"/>
  <c r="AH20" i="11"/>
  <c r="AG20" i="11"/>
  <c r="AF20" i="11"/>
  <c r="AF90" i="11" s="1"/>
  <c r="AE20" i="11"/>
  <c r="AD20" i="11"/>
  <c r="AC20" i="11"/>
  <c r="AB20" i="11"/>
  <c r="AB90" i="11" s="1"/>
  <c r="AA20" i="11"/>
  <c r="Z20" i="11"/>
  <c r="Y20" i="11"/>
  <c r="X20" i="11"/>
  <c r="W20" i="11"/>
  <c r="V20" i="11"/>
  <c r="AH19" i="11"/>
  <c r="AH89" i="11" s="1"/>
  <c r="AG19" i="11"/>
  <c r="AG89" i="11" s="1"/>
  <c r="AF19" i="11"/>
  <c r="AF89" i="11" s="1"/>
  <c r="AE19" i="11"/>
  <c r="AE89" i="11" s="1"/>
  <c r="AD19" i="11"/>
  <c r="AD89" i="11" s="1"/>
  <c r="AC19" i="11"/>
  <c r="AC89" i="11" s="1"/>
  <c r="AB19" i="11"/>
  <c r="AB89" i="11" s="1"/>
  <c r="AA19" i="11"/>
  <c r="AA89" i="11" s="1"/>
  <c r="Z19" i="11"/>
  <c r="Z89" i="11" s="1"/>
  <c r="Y19" i="11"/>
  <c r="Y89" i="11" s="1"/>
  <c r="X19" i="11"/>
  <c r="X89" i="11" s="1"/>
  <c r="W19" i="11"/>
  <c r="W89" i="11" s="1"/>
  <c r="V19" i="11"/>
  <c r="V89" i="11" s="1"/>
  <c r="AH18" i="11"/>
  <c r="AH88" i="11" s="1"/>
  <c r="AG18" i="11"/>
  <c r="AG88" i="11" s="1"/>
  <c r="AF18" i="11"/>
  <c r="AF88" i="11" s="1"/>
  <c r="AE18" i="11"/>
  <c r="AE88" i="11" s="1"/>
  <c r="AD18" i="11"/>
  <c r="AD88" i="11" s="1"/>
  <c r="AC18" i="11"/>
  <c r="AC88" i="11" s="1"/>
  <c r="AB18" i="11"/>
  <c r="AB88" i="11" s="1"/>
  <c r="AA18" i="11"/>
  <c r="AA88" i="11" s="1"/>
  <c r="Z18" i="11"/>
  <c r="Z88" i="11" s="1"/>
  <c r="Y18" i="11"/>
  <c r="Y88" i="11" s="1"/>
  <c r="X18" i="11"/>
  <c r="X88" i="11" s="1"/>
  <c r="W18" i="11"/>
  <c r="W88" i="11" s="1"/>
  <c r="V18" i="11"/>
  <c r="V88" i="11" s="1"/>
  <c r="AH17" i="11"/>
  <c r="AH87" i="11" s="1"/>
  <c r="AG17" i="11"/>
  <c r="AG87" i="11" s="1"/>
  <c r="AF17" i="11"/>
  <c r="AF87" i="11" s="1"/>
  <c r="AE17" i="11"/>
  <c r="AE87" i="11" s="1"/>
  <c r="AD17" i="11"/>
  <c r="AD87" i="11" s="1"/>
  <c r="AC17" i="11"/>
  <c r="AC87" i="11" s="1"/>
  <c r="AB17" i="11"/>
  <c r="AB87" i="11" s="1"/>
  <c r="AA17" i="11"/>
  <c r="AA87" i="11" s="1"/>
  <c r="Z17" i="11"/>
  <c r="Z87" i="11" s="1"/>
  <c r="Y17" i="11"/>
  <c r="Y87" i="11" s="1"/>
  <c r="X17" i="11"/>
  <c r="X87" i="11" s="1"/>
  <c r="W17" i="11"/>
  <c r="W87" i="11" s="1"/>
  <c r="V17" i="11"/>
  <c r="AH16" i="11"/>
  <c r="AH86" i="11" s="1"/>
  <c r="AG16" i="11"/>
  <c r="AG86" i="11" s="1"/>
  <c r="AF16" i="11"/>
  <c r="AE16" i="11"/>
  <c r="AE86" i="11" s="1"/>
  <c r="AD16" i="11"/>
  <c r="AD86" i="11" s="1"/>
  <c r="AC16" i="11"/>
  <c r="AC86" i="11" s="1"/>
  <c r="AB16" i="11"/>
  <c r="AB86" i="11" s="1"/>
  <c r="AA16" i="11"/>
  <c r="AA86" i="11" s="1"/>
  <c r="Z16" i="11"/>
  <c r="Z86" i="11" s="1"/>
  <c r="Y16" i="11"/>
  <c r="Y86" i="11" s="1"/>
  <c r="X16" i="11"/>
  <c r="W16" i="11"/>
  <c r="W86" i="11" s="1"/>
  <c r="V16" i="11"/>
  <c r="V86" i="11" s="1"/>
  <c r="AH15" i="11"/>
  <c r="AH85" i="11" s="1"/>
  <c r="AG15" i="11"/>
  <c r="AG85" i="11" s="1"/>
  <c r="AF15" i="11"/>
  <c r="AF85" i="11" s="1"/>
  <c r="AE15" i="11"/>
  <c r="AE85" i="11" s="1"/>
  <c r="AD15" i="11"/>
  <c r="AD85" i="11" s="1"/>
  <c r="AC15" i="11"/>
  <c r="AC85" i="11" s="1"/>
  <c r="AB15" i="11"/>
  <c r="AB85" i="11" s="1"/>
  <c r="AA15" i="11"/>
  <c r="AA85" i="11" s="1"/>
  <c r="Z15" i="11"/>
  <c r="Z85" i="11" s="1"/>
  <c r="Y15" i="11"/>
  <c r="Y85" i="11" s="1"/>
  <c r="X15" i="11"/>
  <c r="X85" i="11" s="1"/>
  <c r="W15" i="11"/>
  <c r="W85" i="11" s="1"/>
  <c r="V15" i="11"/>
  <c r="V85" i="11" s="1"/>
  <c r="AH14" i="11"/>
  <c r="AG14" i="11"/>
  <c r="AG84" i="11" s="1"/>
  <c r="AF14" i="11"/>
  <c r="AF84" i="11" s="1"/>
  <c r="AE14" i="11"/>
  <c r="AE84" i="11" s="1"/>
  <c r="AD14" i="11"/>
  <c r="AD84" i="11" s="1"/>
  <c r="AC14" i="11"/>
  <c r="AC84" i="11" s="1"/>
  <c r="AB14" i="11"/>
  <c r="AB84" i="11" s="1"/>
  <c r="AA14" i="11"/>
  <c r="AA84" i="11" s="1"/>
  <c r="Z14" i="11"/>
  <c r="Y14" i="11"/>
  <c r="Y84" i="11" s="1"/>
  <c r="X14" i="11"/>
  <c r="X84" i="11" s="1"/>
  <c r="W14" i="11"/>
  <c r="W84" i="11" s="1"/>
  <c r="V14" i="11"/>
  <c r="V84" i="11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8" i="11"/>
  <c r="A9" i="11" s="1"/>
  <c r="A10" i="11" s="1"/>
  <c r="G25" i="13" l="1"/>
  <c r="X90" i="11"/>
  <c r="X93" i="11"/>
  <c r="X94" i="11"/>
  <c r="AC91" i="11"/>
  <c r="AC92" i="11"/>
  <c r="AI30" i="11"/>
  <c r="AI34" i="11"/>
  <c r="AI38" i="11"/>
  <c r="AI42" i="11"/>
  <c r="AI46" i="11"/>
  <c r="AI50" i="11"/>
  <c r="AI54" i="11"/>
  <c r="AI62" i="11"/>
  <c r="AI66" i="11"/>
  <c r="AI70" i="11"/>
  <c r="AI26" i="11"/>
  <c r="AI58" i="11"/>
  <c r="AI74" i="11"/>
  <c r="AI78" i="11"/>
  <c r="W90" i="11"/>
  <c r="Y91" i="11"/>
  <c r="Y92" i="11"/>
  <c r="AG92" i="11"/>
  <c r="W94" i="11"/>
  <c r="AA94" i="11"/>
  <c r="W93" i="11"/>
  <c r="AE93" i="11"/>
  <c r="AI39" i="11"/>
  <c r="AI43" i="11"/>
  <c r="AI47" i="11"/>
  <c r="AI51" i="11"/>
  <c r="AI55" i="11"/>
  <c r="AI59" i="11"/>
  <c r="AE94" i="11"/>
  <c r="AI63" i="11"/>
  <c r="AI67" i="11"/>
  <c r="AI71" i="11"/>
  <c r="AI75" i="11"/>
  <c r="AI79" i="11"/>
  <c r="V92" i="11"/>
  <c r="AA93" i="11"/>
  <c r="AI23" i="11"/>
  <c r="AI27" i="11"/>
  <c r="AI31" i="11"/>
  <c r="X91" i="11"/>
  <c r="AF91" i="11"/>
  <c r="AI25" i="11"/>
  <c r="AI33" i="11"/>
  <c r="Z93" i="11"/>
  <c r="AD93" i="11"/>
  <c r="AH93" i="11"/>
  <c r="AI36" i="11"/>
  <c r="AI41" i="11"/>
  <c r="AI44" i="11"/>
  <c r="AI49" i="11"/>
  <c r="AI52" i="11"/>
  <c r="AI57" i="11"/>
  <c r="AI65" i="11"/>
  <c r="X86" i="11"/>
  <c r="X80" i="11"/>
  <c r="AB95" i="11"/>
  <c r="AI15" i="11"/>
  <c r="AI85" i="11" s="1"/>
  <c r="Y80" i="11"/>
  <c r="AC80" i="11"/>
  <c r="AG80" i="11"/>
  <c r="AI21" i="11"/>
  <c r="AI29" i="11"/>
  <c r="AI37" i="11"/>
  <c r="AI45" i="11"/>
  <c r="AI53" i="11"/>
  <c r="AI61" i="11"/>
  <c r="AI19" i="11"/>
  <c r="AI89" i="11" s="1"/>
  <c r="AI35" i="11"/>
  <c r="AI40" i="11"/>
  <c r="AI48" i="11"/>
  <c r="W80" i="11"/>
  <c r="AF86" i="11"/>
  <c r="AF95" i="11" s="1"/>
  <c r="AF80" i="11"/>
  <c r="V87" i="11"/>
  <c r="AI17" i="11"/>
  <c r="AI87" i="11" s="1"/>
  <c r="AE80" i="11"/>
  <c r="V93" i="11"/>
  <c r="AI77" i="11"/>
  <c r="Z80" i="11"/>
  <c r="AH80" i="11"/>
  <c r="Y90" i="11"/>
  <c r="AG90" i="11"/>
  <c r="AC93" i="11"/>
  <c r="Y94" i="11"/>
  <c r="AC94" i="11"/>
  <c r="AG94" i="11"/>
  <c r="AA80" i="11"/>
  <c r="AI69" i="11"/>
  <c r="AI73" i="11"/>
  <c r="V80" i="11"/>
  <c r="AD80" i="11"/>
  <c r="AC90" i="11"/>
  <c r="Y93" i="11"/>
  <c r="AG93" i="11"/>
  <c r="AI14" i="11"/>
  <c r="AI18" i="11"/>
  <c r="AI88" i="11" s="1"/>
  <c r="V90" i="11"/>
  <c r="Z90" i="11"/>
  <c r="AD90" i="11"/>
  <c r="AH90" i="11"/>
  <c r="W91" i="11"/>
  <c r="AA91" i="11"/>
  <c r="AE91" i="11"/>
  <c r="AI22" i="11"/>
  <c r="AI24" i="11"/>
  <c r="W92" i="11"/>
  <c r="AA92" i="11"/>
  <c r="AE92" i="11"/>
  <c r="AI28" i="11"/>
  <c r="AI32" i="11"/>
  <c r="V94" i="11"/>
  <c r="Z94" i="11"/>
  <c r="AD94" i="11"/>
  <c r="AH94" i="11"/>
  <c r="AI60" i="11"/>
  <c r="AI64" i="11"/>
  <c r="AI68" i="11"/>
  <c r="AI72" i="11"/>
  <c r="AI76" i="11"/>
  <c r="AB80" i="11"/>
  <c r="Z84" i="11"/>
  <c r="AH84" i="11"/>
  <c r="AI16" i="11"/>
  <c r="AI86" i="11" s="1"/>
  <c r="AI20" i="11"/>
  <c r="AI56" i="11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AH20" i="10"/>
  <c r="AG20" i="10"/>
  <c r="AG90" i="10" s="1"/>
  <c r="AF20" i="10"/>
  <c r="AE20" i="10"/>
  <c r="AD20" i="10"/>
  <c r="AC20" i="10"/>
  <c r="AC90" i="10" s="1"/>
  <c r="AB20" i="10"/>
  <c r="AA20" i="10"/>
  <c r="Z20" i="10"/>
  <c r="Y20" i="10"/>
  <c r="Y90" i="10" s="1"/>
  <c r="X20" i="10"/>
  <c r="W20" i="10"/>
  <c r="V20" i="10"/>
  <c r="AH19" i="10"/>
  <c r="AH89" i="10" s="1"/>
  <c r="AG19" i="10"/>
  <c r="AG89" i="10" s="1"/>
  <c r="AF19" i="10"/>
  <c r="AF89" i="10" s="1"/>
  <c r="AE19" i="10"/>
  <c r="AE89" i="10" s="1"/>
  <c r="AD19" i="10"/>
  <c r="AD89" i="10" s="1"/>
  <c r="AC19" i="10"/>
  <c r="AC89" i="10" s="1"/>
  <c r="AB19" i="10"/>
  <c r="AB89" i="10" s="1"/>
  <c r="AA19" i="10"/>
  <c r="AA89" i="10" s="1"/>
  <c r="Z19" i="10"/>
  <c r="Z89" i="10" s="1"/>
  <c r="Y19" i="10"/>
  <c r="Y89" i="10" s="1"/>
  <c r="X19" i="10"/>
  <c r="X89" i="10" s="1"/>
  <c r="W19" i="10"/>
  <c r="W89" i="10" s="1"/>
  <c r="V19" i="10"/>
  <c r="V89" i="10" s="1"/>
  <c r="AH18" i="10"/>
  <c r="AH88" i="10" s="1"/>
  <c r="AG18" i="10"/>
  <c r="AG88" i="10" s="1"/>
  <c r="AF18" i="10"/>
  <c r="AF88" i="10" s="1"/>
  <c r="AE18" i="10"/>
  <c r="AE88" i="10" s="1"/>
  <c r="AD18" i="10"/>
  <c r="AD88" i="10" s="1"/>
  <c r="AC18" i="10"/>
  <c r="AC88" i="10" s="1"/>
  <c r="AB18" i="10"/>
  <c r="AB88" i="10" s="1"/>
  <c r="AA18" i="10"/>
  <c r="AA88" i="10" s="1"/>
  <c r="Z18" i="10"/>
  <c r="Z88" i="10" s="1"/>
  <c r="Y18" i="10"/>
  <c r="Y88" i="10" s="1"/>
  <c r="X18" i="10"/>
  <c r="X88" i="10" s="1"/>
  <c r="W18" i="10"/>
  <c r="W88" i="10" s="1"/>
  <c r="V18" i="10"/>
  <c r="AH17" i="10"/>
  <c r="AH87" i="10" s="1"/>
  <c r="AG17" i="10"/>
  <c r="AG87" i="10" s="1"/>
  <c r="AF17" i="10"/>
  <c r="AF87" i="10" s="1"/>
  <c r="AE17" i="10"/>
  <c r="AE87" i="10" s="1"/>
  <c r="AD17" i="10"/>
  <c r="AD87" i="10" s="1"/>
  <c r="AC17" i="10"/>
  <c r="AC87" i="10" s="1"/>
  <c r="AB17" i="10"/>
  <c r="AB87" i="10" s="1"/>
  <c r="AA17" i="10"/>
  <c r="AA87" i="10" s="1"/>
  <c r="Z17" i="10"/>
  <c r="Z87" i="10" s="1"/>
  <c r="Y17" i="10"/>
  <c r="Y87" i="10" s="1"/>
  <c r="X17" i="10"/>
  <c r="X87" i="10" s="1"/>
  <c r="W17" i="10"/>
  <c r="W87" i="10" s="1"/>
  <c r="V17" i="10"/>
  <c r="V87" i="10" s="1"/>
  <c r="AH16" i="10"/>
  <c r="AH86" i="10" s="1"/>
  <c r="AG16" i="10"/>
  <c r="AG86" i="10" s="1"/>
  <c r="AF16" i="10"/>
  <c r="AF86" i="10" s="1"/>
  <c r="AE16" i="10"/>
  <c r="AE86" i="10" s="1"/>
  <c r="AD16" i="10"/>
  <c r="AD86" i="10" s="1"/>
  <c r="AC16" i="10"/>
  <c r="AC86" i="10" s="1"/>
  <c r="AB16" i="10"/>
  <c r="AB86" i="10" s="1"/>
  <c r="AA16" i="10"/>
  <c r="AA86" i="10" s="1"/>
  <c r="Z16" i="10"/>
  <c r="Z86" i="10" s="1"/>
  <c r="Y16" i="10"/>
  <c r="Y86" i="10" s="1"/>
  <c r="X16" i="10"/>
  <c r="X86" i="10" s="1"/>
  <c r="W16" i="10"/>
  <c r="W86" i="10" s="1"/>
  <c r="V16" i="10"/>
  <c r="V86" i="10" s="1"/>
  <c r="AH15" i="10"/>
  <c r="AH85" i="10" s="1"/>
  <c r="AG15" i="10"/>
  <c r="AG85" i="10" s="1"/>
  <c r="AF15" i="10"/>
  <c r="AF85" i="10" s="1"/>
  <c r="AE15" i="10"/>
  <c r="AE85" i="10" s="1"/>
  <c r="AD15" i="10"/>
  <c r="AD85" i="10" s="1"/>
  <c r="AC15" i="10"/>
  <c r="AC85" i="10" s="1"/>
  <c r="AB15" i="10"/>
  <c r="AB85" i="10" s="1"/>
  <c r="AA15" i="10"/>
  <c r="AA85" i="10" s="1"/>
  <c r="Z15" i="10"/>
  <c r="Z85" i="10" s="1"/>
  <c r="Y15" i="10"/>
  <c r="Y85" i="10" s="1"/>
  <c r="X15" i="10"/>
  <c r="X85" i="10" s="1"/>
  <c r="W15" i="10"/>
  <c r="W85" i="10" s="1"/>
  <c r="V15" i="10"/>
  <c r="V85" i="10" s="1"/>
  <c r="AH14" i="10"/>
  <c r="AG14" i="10"/>
  <c r="AG84" i="10" s="1"/>
  <c r="AF14" i="10"/>
  <c r="AF84" i="10" s="1"/>
  <c r="AE14" i="10"/>
  <c r="AE84" i="10" s="1"/>
  <c r="AD14" i="10"/>
  <c r="AC14" i="10"/>
  <c r="AC84" i="10" s="1"/>
  <c r="AB14" i="10"/>
  <c r="AB84" i="10" s="1"/>
  <c r="AA14" i="10"/>
  <c r="AA84" i="10" s="1"/>
  <c r="Z14" i="10"/>
  <c r="Y14" i="10"/>
  <c r="Y84" i="10" s="1"/>
  <c r="X14" i="10"/>
  <c r="X84" i="10" s="1"/>
  <c r="W14" i="10"/>
  <c r="W84" i="10" s="1"/>
  <c r="V14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8" i="10"/>
  <c r="G26" i="13" l="1"/>
  <c r="AI92" i="11"/>
  <c r="AE95" i="11"/>
  <c r="V95" i="11"/>
  <c r="AI91" i="11"/>
  <c r="X95" i="11"/>
  <c r="AG95" i="11"/>
  <c r="Y95" i="11"/>
  <c r="AH95" i="11"/>
  <c r="AI93" i="11"/>
  <c r="AA95" i="11"/>
  <c r="AD95" i="11"/>
  <c r="W95" i="11"/>
  <c r="AC95" i="11"/>
  <c r="AI94" i="11"/>
  <c r="AI90" i="11"/>
  <c r="Z95" i="11"/>
  <c r="AI84" i="11"/>
  <c r="AI80" i="11"/>
  <c r="W90" i="10"/>
  <c r="AA90" i="10"/>
  <c r="AE90" i="10"/>
  <c r="Y92" i="10"/>
  <c r="AG92" i="10"/>
  <c r="AC92" i="10"/>
  <c r="V90" i="10"/>
  <c r="Z90" i="10"/>
  <c r="AD90" i="10"/>
  <c r="AH90" i="10"/>
  <c r="X91" i="10"/>
  <c r="AB91" i="10"/>
  <c r="AF91" i="10"/>
  <c r="X92" i="10"/>
  <c r="AB92" i="10"/>
  <c r="AF92" i="10"/>
  <c r="AD93" i="10"/>
  <c r="AI27" i="10"/>
  <c r="AI28" i="10"/>
  <c r="AI31" i="10"/>
  <c r="AI39" i="10"/>
  <c r="AI43" i="10"/>
  <c r="AI44" i="10"/>
  <c r="AI47" i="10"/>
  <c r="AI51" i="10"/>
  <c r="AI52" i="10"/>
  <c r="AI55" i="10"/>
  <c r="AA94" i="10"/>
  <c r="AE94" i="10"/>
  <c r="AI63" i="10"/>
  <c r="AI67" i="10"/>
  <c r="AI68" i="10"/>
  <c r="AI71" i="10"/>
  <c r="AI75" i="10"/>
  <c r="AI76" i="10"/>
  <c r="AI79" i="10"/>
  <c r="AI23" i="10"/>
  <c r="AI35" i="10"/>
  <c r="AI36" i="10"/>
  <c r="AI59" i="10"/>
  <c r="AI60" i="10"/>
  <c r="Y91" i="10"/>
  <c r="AC91" i="10"/>
  <c r="AG91" i="10"/>
  <c r="W93" i="10"/>
  <c r="AA93" i="10"/>
  <c r="AE93" i="10"/>
  <c r="X90" i="10"/>
  <c r="AB90" i="10"/>
  <c r="AF90" i="10"/>
  <c r="AI21" i="10"/>
  <c r="Z91" i="10"/>
  <c r="AD91" i="10"/>
  <c r="AH91" i="10"/>
  <c r="Z92" i="10"/>
  <c r="AD92" i="10"/>
  <c r="AH92" i="10"/>
  <c r="AI29" i="10"/>
  <c r="X93" i="10"/>
  <c r="AB93" i="10"/>
  <c r="AF93" i="10"/>
  <c r="AI34" i="10"/>
  <c r="Z93" i="10"/>
  <c r="AH93" i="10"/>
  <c r="AI37" i="10"/>
  <c r="AI38" i="10"/>
  <c r="AI45" i="10"/>
  <c r="AI46" i="10"/>
  <c r="AI50" i="10"/>
  <c r="AI53" i="10"/>
  <c r="AI54" i="10"/>
  <c r="X94" i="10"/>
  <c r="AB94" i="10"/>
  <c r="AF94" i="10"/>
  <c r="AI58" i="10"/>
  <c r="AI61" i="10"/>
  <c r="AI62" i="10"/>
  <c r="AI66" i="10"/>
  <c r="AI74" i="10"/>
  <c r="AI78" i="10"/>
  <c r="Z80" i="10"/>
  <c r="Z84" i="10"/>
  <c r="AI30" i="10"/>
  <c r="AI70" i="10"/>
  <c r="W80" i="10"/>
  <c r="W91" i="10"/>
  <c r="AA91" i="10"/>
  <c r="AE91" i="10"/>
  <c r="AI57" i="10"/>
  <c r="AI73" i="10"/>
  <c r="AA80" i="10"/>
  <c r="V80" i="10"/>
  <c r="V84" i="10"/>
  <c r="AI14" i="10"/>
  <c r="AH80" i="10"/>
  <c r="AH84" i="10"/>
  <c r="V91" i="10"/>
  <c r="AI22" i="10"/>
  <c r="V88" i="10"/>
  <c r="AI18" i="10"/>
  <c r="AI88" i="10" s="1"/>
  <c r="AI25" i="10"/>
  <c r="V92" i="10"/>
  <c r="AI26" i="10"/>
  <c r="AI92" i="10" s="1"/>
  <c r="AG93" i="10"/>
  <c r="AG95" i="10" s="1"/>
  <c r="AI41" i="10"/>
  <c r="AI42" i="10"/>
  <c r="AI49" i="10"/>
  <c r="Y94" i="10"/>
  <c r="AC94" i="10"/>
  <c r="AG94" i="10"/>
  <c r="AI65" i="10"/>
  <c r="AE80" i="10"/>
  <c r="V93" i="10"/>
  <c r="W94" i="10"/>
  <c r="AD80" i="10"/>
  <c r="AD84" i="10"/>
  <c r="AI19" i="10"/>
  <c r="AI89" i="10" s="1"/>
  <c r="AI15" i="10"/>
  <c r="AI85" i="10" s="1"/>
  <c r="Y93" i="10"/>
  <c r="AC93" i="10"/>
  <c r="AI33" i="10"/>
  <c r="Y80" i="10"/>
  <c r="AC80" i="10"/>
  <c r="AG80" i="10"/>
  <c r="AI24" i="10"/>
  <c r="W92" i="10"/>
  <c r="AA92" i="10"/>
  <c r="AE92" i="10"/>
  <c r="AI32" i="10"/>
  <c r="AI40" i="10"/>
  <c r="AI48" i="10"/>
  <c r="V94" i="10"/>
  <c r="Z94" i="10"/>
  <c r="AD94" i="10"/>
  <c r="AH94" i="10"/>
  <c r="AI64" i="10"/>
  <c r="AI69" i="10"/>
  <c r="AI72" i="10"/>
  <c r="AI77" i="10"/>
  <c r="X80" i="10"/>
  <c r="AB80" i="10"/>
  <c r="AF80" i="10"/>
  <c r="AI17" i="10"/>
  <c r="AI87" i="10" s="1"/>
  <c r="AI16" i="10"/>
  <c r="AI86" i="10" s="1"/>
  <c r="AI20" i="10"/>
  <c r="AI56" i="10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AH78" i="9"/>
  <c r="AG78" i="9"/>
  <c r="AF78" i="9"/>
  <c r="AE78" i="9"/>
  <c r="AD78" i="9"/>
  <c r="AC78" i="9"/>
  <c r="AB78" i="9"/>
  <c r="AA78" i="9"/>
  <c r="Z78" i="9"/>
  <c r="Y78" i="9"/>
  <c r="X78" i="9"/>
  <c r="W78" i="9"/>
  <c r="V78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AH26" i="9"/>
  <c r="AG26" i="9"/>
  <c r="AG92" i="9" s="1"/>
  <c r="AF26" i="9"/>
  <c r="AF92" i="9" s="1"/>
  <c r="AE26" i="9"/>
  <c r="AD26" i="9"/>
  <c r="AC26" i="9"/>
  <c r="AC92" i="9" s="1"/>
  <c r="AB26" i="9"/>
  <c r="AA26" i="9"/>
  <c r="Z26" i="9"/>
  <c r="Y26" i="9"/>
  <c r="Y92" i="9" s="1"/>
  <c r="X26" i="9"/>
  <c r="X92" i="9" s="1"/>
  <c r="W26" i="9"/>
  <c r="V26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AH22" i="9"/>
  <c r="AG22" i="9"/>
  <c r="AG91" i="9" s="1"/>
  <c r="AF22" i="9"/>
  <c r="AF91" i="9" s="1"/>
  <c r="AE22" i="9"/>
  <c r="AD22" i="9"/>
  <c r="AC22" i="9"/>
  <c r="AB22" i="9"/>
  <c r="AA22" i="9"/>
  <c r="AA91" i="9" s="1"/>
  <c r="Z22" i="9"/>
  <c r="Y22" i="9"/>
  <c r="Y91" i="9" s="1"/>
  <c r="X22" i="9"/>
  <c r="X91" i="9" s="1"/>
  <c r="W22" i="9"/>
  <c r="W91" i="9" s="1"/>
  <c r="V22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AH20" i="9"/>
  <c r="AH90" i="9" s="1"/>
  <c r="AG20" i="9"/>
  <c r="AF20" i="9"/>
  <c r="AE20" i="9"/>
  <c r="AE90" i="9" s="1"/>
  <c r="AD20" i="9"/>
  <c r="AD90" i="9" s="1"/>
  <c r="AC20" i="9"/>
  <c r="AC90" i="9" s="1"/>
  <c r="AB20" i="9"/>
  <c r="AA20" i="9"/>
  <c r="AA90" i="9" s="1"/>
  <c r="Z20" i="9"/>
  <c r="Z90" i="9" s="1"/>
  <c r="Y20" i="9"/>
  <c r="Y90" i="9" s="1"/>
  <c r="X20" i="9"/>
  <c r="W20" i="9"/>
  <c r="W90" i="9" s="1"/>
  <c r="V20" i="9"/>
  <c r="V90" i="9" s="1"/>
  <c r="AH19" i="9"/>
  <c r="AH89" i="9" s="1"/>
  <c r="AG19" i="9"/>
  <c r="AG89" i="9" s="1"/>
  <c r="AF19" i="9"/>
  <c r="AF89" i="9" s="1"/>
  <c r="AE19" i="9"/>
  <c r="AE89" i="9" s="1"/>
  <c r="AD19" i="9"/>
  <c r="AD89" i="9" s="1"/>
  <c r="AC19" i="9"/>
  <c r="AC89" i="9" s="1"/>
  <c r="AB19" i="9"/>
  <c r="AB89" i="9" s="1"/>
  <c r="AA19" i="9"/>
  <c r="AA89" i="9" s="1"/>
  <c r="Z19" i="9"/>
  <c r="Z89" i="9" s="1"/>
  <c r="Y19" i="9"/>
  <c r="Y89" i="9" s="1"/>
  <c r="X19" i="9"/>
  <c r="X89" i="9" s="1"/>
  <c r="W19" i="9"/>
  <c r="W89" i="9" s="1"/>
  <c r="V19" i="9"/>
  <c r="V89" i="9" s="1"/>
  <c r="AH18" i="9"/>
  <c r="AH88" i="9" s="1"/>
  <c r="AG18" i="9"/>
  <c r="AG88" i="9" s="1"/>
  <c r="AF18" i="9"/>
  <c r="AF88" i="9" s="1"/>
  <c r="AE18" i="9"/>
  <c r="AE88" i="9" s="1"/>
  <c r="AD18" i="9"/>
  <c r="AD88" i="9" s="1"/>
  <c r="AC18" i="9"/>
  <c r="AC88" i="9" s="1"/>
  <c r="AB18" i="9"/>
  <c r="AB88" i="9" s="1"/>
  <c r="AA18" i="9"/>
  <c r="AA88" i="9" s="1"/>
  <c r="Z18" i="9"/>
  <c r="Z88" i="9" s="1"/>
  <c r="Y18" i="9"/>
  <c r="Y88" i="9" s="1"/>
  <c r="X18" i="9"/>
  <c r="X88" i="9" s="1"/>
  <c r="W18" i="9"/>
  <c r="W88" i="9" s="1"/>
  <c r="V18" i="9"/>
  <c r="AH17" i="9"/>
  <c r="AH87" i="9" s="1"/>
  <c r="AG17" i="9"/>
  <c r="AG87" i="9" s="1"/>
  <c r="AF17" i="9"/>
  <c r="AF87" i="9" s="1"/>
  <c r="AE17" i="9"/>
  <c r="AE87" i="9" s="1"/>
  <c r="AD17" i="9"/>
  <c r="AD87" i="9" s="1"/>
  <c r="AC17" i="9"/>
  <c r="AC87" i="9" s="1"/>
  <c r="AB17" i="9"/>
  <c r="AB87" i="9" s="1"/>
  <c r="AA17" i="9"/>
  <c r="AA87" i="9" s="1"/>
  <c r="Z17" i="9"/>
  <c r="Z87" i="9" s="1"/>
  <c r="Y17" i="9"/>
  <c r="Y87" i="9" s="1"/>
  <c r="X17" i="9"/>
  <c r="X87" i="9" s="1"/>
  <c r="W17" i="9"/>
  <c r="W87" i="9" s="1"/>
  <c r="V17" i="9"/>
  <c r="V87" i="9" s="1"/>
  <c r="AH16" i="9"/>
  <c r="AH86" i="9" s="1"/>
  <c r="AG16" i="9"/>
  <c r="AG86" i="9" s="1"/>
  <c r="AF16" i="9"/>
  <c r="AF86" i="9" s="1"/>
  <c r="AE16" i="9"/>
  <c r="AE86" i="9" s="1"/>
  <c r="AD16" i="9"/>
  <c r="AD86" i="9" s="1"/>
  <c r="AC16" i="9"/>
  <c r="AC86" i="9" s="1"/>
  <c r="AB16" i="9"/>
  <c r="AB86" i="9" s="1"/>
  <c r="AA16" i="9"/>
  <c r="AA86" i="9" s="1"/>
  <c r="Z16" i="9"/>
  <c r="Z86" i="9" s="1"/>
  <c r="Y16" i="9"/>
  <c r="Y86" i="9" s="1"/>
  <c r="X16" i="9"/>
  <c r="X86" i="9" s="1"/>
  <c r="W16" i="9"/>
  <c r="W86" i="9" s="1"/>
  <c r="V16" i="9"/>
  <c r="V86" i="9" s="1"/>
  <c r="AH15" i="9"/>
  <c r="AH85" i="9" s="1"/>
  <c r="AG15" i="9"/>
  <c r="AG85" i="9" s="1"/>
  <c r="AF15" i="9"/>
  <c r="AF85" i="9" s="1"/>
  <c r="AE15" i="9"/>
  <c r="AE85" i="9" s="1"/>
  <c r="AD15" i="9"/>
  <c r="AD85" i="9" s="1"/>
  <c r="AC15" i="9"/>
  <c r="AC85" i="9" s="1"/>
  <c r="AB15" i="9"/>
  <c r="AB85" i="9" s="1"/>
  <c r="AA15" i="9"/>
  <c r="AA85" i="9" s="1"/>
  <c r="Z15" i="9"/>
  <c r="Z85" i="9" s="1"/>
  <c r="Y15" i="9"/>
  <c r="Y85" i="9" s="1"/>
  <c r="X15" i="9"/>
  <c r="X85" i="9" s="1"/>
  <c r="W15" i="9"/>
  <c r="W85" i="9" s="1"/>
  <c r="V15" i="9"/>
  <c r="V85" i="9" s="1"/>
  <c r="AH14" i="9"/>
  <c r="AG14" i="9"/>
  <c r="AG84" i="9" s="1"/>
  <c r="AF14" i="9"/>
  <c r="AF84" i="9" s="1"/>
  <c r="AE14" i="9"/>
  <c r="AE84" i="9" s="1"/>
  <c r="AD14" i="9"/>
  <c r="AC14" i="9"/>
  <c r="AC84" i="9" s="1"/>
  <c r="AB14" i="9"/>
  <c r="AB84" i="9" s="1"/>
  <c r="AA14" i="9"/>
  <c r="AA84" i="9" s="1"/>
  <c r="Z14" i="9"/>
  <c r="Y14" i="9"/>
  <c r="Y84" i="9" s="1"/>
  <c r="X14" i="9"/>
  <c r="X84" i="9" s="1"/>
  <c r="W14" i="9"/>
  <c r="W84" i="9" s="1"/>
  <c r="V14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8" i="9"/>
  <c r="AI95" i="11" l="1"/>
  <c r="AF95" i="10"/>
  <c r="AB95" i="10"/>
  <c r="AE95" i="10"/>
  <c r="AC95" i="10"/>
  <c r="X95" i="10"/>
  <c r="AA95" i="10"/>
  <c r="W95" i="10"/>
  <c r="Y95" i="10"/>
  <c r="AH95" i="10"/>
  <c r="AI90" i="10"/>
  <c r="AI93" i="10"/>
  <c r="AI91" i="10"/>
  <c r="AI84" i="10"/>
  <c r="AI80" i="10"/>
  <c r="Z95" i="10"/>
  <c r="AI94" i="10"/>
  <c r="AD95" i="10"/>
  <c r="V95" i="10"/>
  <c r="AE91" i="9"/>
  <c r="AB91" i="9"/>
  <c r="AB92" i="9"/>
  <c r="AC91" i="9"/>
  <c r="AG90" i="9"/>
  <c r="AH93" i="9"/>
  <c r="AI23" i="9"/>
  <c r="AI27" i="9"/>
  <c r="AI28" i="9"/>
  <c r="AI31" i="9"/>
  <c r="AI35" i="9"/>
  <c r="AI36" i="9"/>
  <c r="AI39" i="9"/>
  <c r="AI43" i="9"/>
  <c r="AI44" i="9"/>
  <c r="AI47" i="9"/>
  <c r="AI51" i="9"/>
  <c r="AI52" i="9"/>
  <c r="AI55" i="9"/>
  <c r="AI59" i="9"/>
  <c r="AA94" i="9"/>
  <c r="AE94" i="9"/>
  <c r="AI60" i="9"/>
  <c r="AI63" i="9"/>
  <c r="AI67" i="9"/>
  <c r="AI71" i="9"/>
  <c r="AI75" i="9"/>
  <c r="AI79" i="9"/>
  <c r="W93" i="9"/>
  <c r="AA93" i="9"/>
  <c r="AE93" i="9"/>
  <c r="AI57" i="9"/>
  <c r="AI65" i="9"/>
  <c r="AI68" i="9"/>
  <c r="AI73" i="9"/>
  <c r="AI76" i="9"/>
  <c r="X90" i="9"/>
  <c r="AB90" i="9"/>
  <c r="AF90" i="9"/>
  <c r="AI21" i="9"/>
  <c r="Z91" i="9"/>
  <c r="AD91" i="9"/>
  <c r="AH91" i="9"/>
  <c r="Z92" i="9"/>
  <c r="AD92" i="9"/>
  <c r="AH92" i="9"/>
  <c r="AI29" i="9"/>
  <c r="AI30" i="9"/>
  <c r="X93" i="9"/>
  <c r="AB93" i="9"/>
  <c r="AF93" i="9"/>
  <c r="AI34" i="9"/>
  <c r="Z93" i="9"/>
  <c r="AD93" i="9"/>
  <c r="AI37" i="9"/>
  <c r="AI38" i="9"/>
  <c r="AI42" i="9"/>
  <c r="AI45" i="9"/>
  <c r="AI46" i="9"/>
  <c r="AI50" i="9"/>
  <c r="AI53" i="9"/>
  <c r="AI54" i="9"/>
  <c r="X94" i="9"/>
  <c r="AB94" i="9"/>
  <c r="AF94" i="9"/>
  <c r="AI58" i="9"/>
  <c r="AI62" i="9"/>
  <c r="AI66" i="9"/>
  <c r="AI70" i="9"/>
  <c r="AI74" i="9"/>
  <c r="AI78" i="9"/>
  <c r="AD80" i="9"/>
  <c r="AD84" i="9"/>
  <c r="AI15" i="9"/>
  <c r="AI85" i="9" s="1"/>
  <c r="V88" i="9"/>
  <c r="AI18" i="9"/>
  <c r="AI88" i="9" s="1"/>
  <c r="AI25" i="9"/>
  <c r="V92" i="9"/>
  <c r="AI26" i="9"/>
  <c r="Y93" i="9"/>
  <c r="AG93" i="9"/>
  <c r="AI33" i="9"/>
  <c r="AI41" i="9"/>
  <c r="AI49" i="9"/>
  <c r="Y94" i="9"/>
  <c r="AC94" i="9"/>
  <c r="AG94" i="9"/>
  <c r="AE80" i="9"/>
  <c r="V93" i="9"/>
  <c r="W94" i="9"/>
  <c r="Z80" i="9"/>
  <c r="Z84" i="9"/>
  <c r="AA80" i="9"/>
  <c r="AC93" i="9"/>
  <c r="AC95" i="9" s="1"/>
  <c r="Y80" i="9"/>
  <c r="AC80" i="9"/>
  <c r="AG80" i="9"/>
  <c r="AI24" i="9"/>
  <c r="W92" i="9"/>
  <c r="AA92" i="9"/>
  <c r="AE92" i="9"/>
  <c r="AI32" i="9"/>
  <c r="AI40" i="9"/>
  <c r="AI48" i="9"/>
  <c r="V94" i="9"/>
  <c r="Z94" i="9"/>
  <c r="AD94" i="9"/>
  <c r="AH94" i="9"/>
  <c r="AI61" i="9"/>
  <c r="AI69" i="9"/>
  <c r="AI77" i="9"/>
  <c r="V80" i="9"/>
  <c r="V84" i="9"/>
  <c r="AI14" i="9"/>
  <c r="AH80" i="9"/>
  <c r="AH84" i="9"/>
  <c r="AI19" i="9"/>
  <c r="AI89" i="9" s="1"/>
  <c r="V91" i="9"/>
  <c r="AI22" i="9"/>
  <c r="AI91" i="9" s="1"/>
  <c r="AI64" i="9"/>
  <c r="AI72" i="9"/>
  <c r="W80" i="9"/>
  <c r="X80" i="9"/>
  <c r="AB80" i="9"/>
  <c r="AF80" i="9"/>
  <c r="AI17" i="9"/>
  <c r="AI87" i="9" s="1"/>
  <c r="AI16" i="9"/>
  <c r="AI86" i="9" s="1"/>
  <c r="AI20" i="9"/>
  <c r="AI90" i="9" s="1"/>
  <c r="AI56" i="9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AH32" i="8"/>
  <c r="AG32" i="8"/>
  <c r="AF32" i="8"/>
  <c r="AE32" i="8"/>
  <c r="AD32" i="8"/>
  <c r="AC32" i="8"/>
  <c r="AB32" i="8"/>
  <c r="AA32" i="8"/>
  <c r="Z32" i="8"/>
  <c r="Y32" i="8"/>
  <c r="X32" i="8"/>
  <c r="X93" i="8" s="1"/>
  <c r="W32" i="8"/>
  <c r="V32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AH26" i="8"/>
  <c r="AG26" i="8"/>
  <c r="AF26" i="8"/>
  <c r="AE26" i="8"/>
  <c r="AD26" i="8"/>
  <c r="AC26" i="8"/>
  <c r="AB26" i="8"/>
  <c r="AB92" i="8" s="1"/>
  <c r="AA26" i="8"/>
  <c r="Z26" i="8"/>
  <c r="Y26" i="8"/>
  <c r="X26" i="8"/>
  <c r="W26" i="8"/>
  <c r="V26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AH22" i="8"/>
  <c r="AH91" i="8" s="1"/>
  <c r="AG22" i="8"/>
  <c r="AF22" i="8"/>
  <c r="AE22" i="8"/>
  <c r="AD22" i="8"/>
  <c r="AC22" i="8"/>
  <c r="AB22" i="8"/>
  <c r="AB91" i="8" s="1"/>
  <c r="AA22" i="8"/>
  <c r="Z22" i="8"/>
  <c r="Y22" i="8"/>
  <c r="X22" i="8"/>
  <c r="W22" i="8"/>
  <c r="V22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AH20" i="8"/>
  <c r="AH90" i="8" s="1"/>
  <c r="AG20" i="8"/>
  <c r="AF20" i="8"/>
  <c r="AE20" i="8"/>
  <c r="AD20" i="8"/>
  <c r="AD90" i="8" s="1"/>
  <c r="AC20" i="8"/>
  <c r="AB20" i="8"/>
  <c r="AA20" i="8"/>
  <c r="Z20" i="8"/>
  <c r="Y20" i="8"/>
  <c r="X20" i="8"/>
  <c r="W20" i="8"/>
  <c r="V20" i="8"/>
  <c r="AH19" i="8"/>
  <c r="AH89" i="8" s="1"/>
  <c r="AG19" i="8"/>
  <c r="AG89" i="8" s="1"/>
  <c r="AF19" i="8"/>
  <c r="AF89" i="8" s="1"/>
  <c r="AE19" i="8"/>
  <c r="AE89" i="8" s="1"/>
  <c r="AD19" i="8"/>
  <c r="AD89" i="8" s="1"/>
  <c r="AC19" i="8"/>
  <c r="AC89" i="8" s="1"/>
  <c r="AB19" i="8"/>
  <c r="AB89" i="8" s="1"/>
  <c r="AA19" i="8"/>
  <c r="AA89" i="8" s="1"/>
  <c r="Z19" i="8"/>
  <c r="Z89" i="8" s="1"/>
  <c r="Y19" i="8"/>
  <c r="Y89" i="8" s="1"/>
  <c r="X19" i="8"/>
  <c r="X89" i="8" s="1"/>
  <c r="W19" i="8"/>
  <c r="W89" i="8" s="1"/>
  <c r="V19" i="8"/>
  <c r="AH18" i="8"/>
  <c r="AH88" i="8" s="1"/>
  <c r="AG18" i="8"/>
  <c r="AG88" i="8" s="1"/>
  <c r="AF18" i="8"/>
  <c r="AF88" i="8" s="1"/>
  <c r="AE18" i="8"/>
  <c r="AE88" i="8" s="1"/>
  <c r="AD18" i="8"/>
  <c r="AD88" i="8" s="1"/>
  <c r="AC18" i="8"/>
  <c r="AC88" i="8" s="1"/>
  <c r="AB18" i="8"/>
  <c r="AB88" i="8" s="1"/>
  <c r="AA18" i="8"/>
  <c r="AA88" i="8" s="1"/>
  <c r="Z18" i="8"/>
  <c r="Z88" i="8" s="1"/>
  <c r="Y18" i="8"/>
  <c r="Y88" i="8" s="1"/>
  <c r="X18" i="8"/>
  <c r="X88" i="8" s="1"/>
  <c r="W18" i="8"/>
  <c r="W88" i="8" s="1"/>
  <c r="V18" i="8"/>
  <c r="V88" i="8" s="1"/>
  <c r="AH17" i="8"/>
  <c r="AH87" i="8" s="1"/>
  <c r="AG17" i="8"/>
  <c r="AG87" i="8" s="1"/>
  <c r="AF17" i="8"/>
  <c r="AF87" i="8" s="1"/>
  <c r="AE17" i="8"/>
  <c r="AE87" i="8" s="1"/>
  <c r="AD17" i="8"/>
  <c r="AD87" i="8" s="1"/>
  <c r="AC17" i="8"/>
  <c r="AC87" i="8" s="1"/>
  <c r="AB17" i="8"/>
  <c r="AB87" i="8" s="1"/>
  <c r="AA17" i="8"/>
  <c r="AA87" i="8" s="1"/>
  <c r="Z17" i="8"/>
  <c r="Z87" i="8" s="1"/>
  <c r="Y17" i="8"/>
  <c r="Y87" i="8" s="1"/>
  <c r="X17" i="8"/>
  <c r="X87" i="8" s="1"/>
  <c r="W17" i="8"/>
  <c r="W87" i="8" s="1"/>
  <c r="V17" i="8"/>
  <c r="V87" i="8" s="1"/>
  <c r="AH16" i="8"/>
  <c r="AH86" i="8" s="1"/>
  <c r="AG16" i="8"/>
  <c r="AG86" i="8" s="1"/>
  <c r="AF16" i="8"/>
  <c r="AE16" i="8"/>
  <c r="AE86" i="8" s="1"/>
  <c r="AD16" i="8"/>
  <c r="AD86" i="8" s="1"/>
  <c r="AC16" i="8"/>
  <c r="AC86" i="8" s="1"/>
  <c r="AB16" i="8"/>
  <c r="AA16" i="8"/>
  <c r="AA86" i="8" s="1"/>
  <c r="Z16" i="8"/>
  <c r="Z86" i="8" s="1"/>
  <c r="Y16" i="8"/>
  <c r="Y86" i="8" s="1"/>
  <c r="X16" i="8"/>
  <c r="W16" i="8"/>
  <c r="V16" i="8"/>
  <c r="V86" i="8" s="1"/>
  <c r="AH15" i="8"/>
  <c r="AH85" i="8" s="1"/>
  <c r="AG15" i="8"/>
  <c r="AG85" i="8" s="1"/>
  <c r="AF15" i="8"/>
  <c r="AF85" i="8" s="1"/>
  <c r="AE15" i="8"/>
  <c r="AD15" i="8"/>
  <c r="AD85" i="8" s="1"/>
  <c r="AC15" i="8"/>
  <c r="AC85" i="8" s="1"/>
  <c r="AB15" i="8"/>
  <c r="AB85" i="8" s="1"/>
  <c r="AA15" i="8"/>
  <c r="Z15" i="8"/>
  <c r="Z85" i="8" s="1"/>
  <c r="Y15" i="8"/>
  <c r="Y85" i="8" s="1"/>
  <c r="X15" i="8"/>
  <c r="X85" i="8" s="1"/>
  <c r="W15" i="8"/>
  <c r="V15" i="8"/>
  <c r="V85" i="8" s="1"/>
  <c r="AH14" i="8"/>
  <c r="AH80" i="8" s="1"/>
  <c r="AG14" i="8"/>
  <c r="AF14" i="8"/>
  <c r="AF84" i="8" s="1"/>
  <c r="AE14" i="8"/>
  <c r="AE84" i="8" s="1"/>
  <c r="AD14" i="8"/>
  <c r="AC14" i="8"/>
  <c r="AB14" i="8"/>
  <c r="AB84" i="8" s="1"/>
  <c r="AA14" i="8"/>
  <c r="AA84" i="8" s="1"/>
  <c r="Z14" i="8"/>
  <c r="Z84" i="8" s="1"/>
  <c r="Y14" i="8"/>
  <c r="X14" i="8"/>
  <c r="X84" i="8" s="1"/>
  <c r="W14" i="8"/>
  <c r="W84" i="8" s="1"/>
  <c r="V14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" i="8"/>
  <c r="A8" i="8"/>
  <c r="AI95" i="10" l="1"/>
  <c r="AB95" i="9"/>
  <c r="V95" i="9"/>
  <c r="X95" i="9"/>
  <c r="AE95" i="9"/>
  <c r="AI92" i="9"/>
  <c r="AF95" i="9"/>
  <c r="AG95" i="9"/>
  <c r="AI94" i="9"/>
  <c r="AH95" i="9"/>
  <c r="AA95" i="9"/>
  <c r="Y95" i="9"/>
  <c r="W95" i="9"/>
  <c r="AI93" i="9"/>
  <c r="AD95" i="9"/>
  <c r="AI84" i="9"/>
  <c r="AI80" i="9"/>
  <c r="Z95" i="9"/>
  <c r="V90" i="8"/>
  <c r="X94" i="8"/>
  <c r="X91" i="8"/>
  <c r="X92" i="8"/>
  <c r="Z93" i="8"/>
  <c r="Z90" i="8"/>
  <c r="AI29" i="8"/>
  <c r="AI30" i="8"/>
  <c r="AB93" i="8"/>
  <c r="AI34" i="8"/>
  <c r="AI38" i="8"/>
  <c r="AI42" i="8"/>
  <c r="AI46" i="8"/>
  <c r="AI50" i="8"/>
  <c r="AI54" i="8"/>
  <c r="AB94" i="8"/>
  <c r="AI58" i="8"/>
  <c r="AI66" i="8"/>
  <c r="AI70" i="8"/>
  <c r="AI74" i="8"/>
  <c r="AD93" i="8"/>
  <c r="AF93" i="8"/>
  <c r="AF94" i="8"/>
  <c r="AF91" i="8"/>
  <c r="AF92" i="8"/>
  <c r="AI78" i="8"/>
  <c r="AI19" i="8"/>
  <c r="AI89" i="8" s="1"/>
  <c r="V93" i="8"/>
  <c r="AH93" i="8"/>
  <c r="W90" i="8"/>
  <c r="AA90" i="8"/>
  <c r="AE90" i="8"/>
  <c r="Y91" i="8"/>
  <c r="AC91" i="8"/>
  <c r="AG91" i="8"/>
  <c r="AG92" i="8"/>
  <c r="AI62" i="8"/>
  <c r="AI26" i="8"/>
  <c r="AI16" i="8"/>
  <c r="AI86" i="8" s="1"/>
  <c r="Y90" i="8"/>
  <c r="AA91" i="8"/>
  <c r="AC90" i="8"/>
  <c r="W91" i="8"/>
  <c r="AI27" i="8"/>
  <c r="Z80" i="8"/>
  <c r="AI24" i="8"/>
  <c r="Y92" i="8"/>
  <c r="AC92" i="8"/>
  <c r="W92" i="8"/>
  <c r="AA92" i="8"/>
  <c r="AE92" i="8"/>
  <c r="AI31" i="8"/>
  <c r="Y93" i="8"/>
  <c r="AC93" i="8"/>
  <c r="AG93" i="8"/>
  <c r="AI35" i="8"/>
  <c r="AI39" i="8"/>
  <c r="AI43" i="8"/>
  <c r="AI47" i="8"/>
  <c r="AI51" i="8"/>
  <c r="AI55" i="8"/>
  <c r="Y94" i="8"/>
  <c r="AC94" i="8"/>
  <c r="AG94" i="8"/>
  <c r="AI59" i="8"/>
  <c r="AA94" i="8"/>
  <c r="AE94" i="8"/>
  <c r="AI63" i="8"/>
  <c r="AI67" i="8"/>
  <c r="AI71" i="8"/>
  <c r="AI75" i="8"/>
  <c r="AI79" i="8"/>
  <c r="AG90" i="8"/>
  <c r="AE91" i="8"/>
  <c r="V80" i="8"/>
  <c r="AD80" i="8"/>
  <c r="AI18" i="8"/>
  <c r="AI88" i="8" s="1"/>
  <c r="X90" i="8"/>
  <c r="AI21" i="8"/>
  <c r="V91" i="8"/>
  <c r="Z91" i="8"/>
  <c r="AD91" i="8"/>
  <c r="AI28" i="8"/>
  <c r="AI36" i="8"/>
  <c r="AI40" i="8"/>
  <c r="AI48" i="8"/>
  <c r="AI52" i="8"/>
  <c r="W80" i="8"/>
  <c r="W85" i="8"/>
  <c r="AE85" i="8"/>
  <c r="AE80" i="8"/>
  <c r="AC80" i="8"/>
  <c r="AC84" i="8"/>
  <c r="AA85" i="8"/>
  <c r="AA80" i="8"/>
  <c r="AI15" i="8"/>
  <c r="AI85" i="8" s="1"/>
  <c r="Y80" i="8"/>
  <c r="Y84" i="8"/>
  <c r="AG80" i="8"/>
  <c r="AG84" i="8"/>
  <c r="AG95" i="8" s="1"/>
  <c r="X86" i="8"/>
  <c r="X95" i="8" s="1"/>
  <c r="X80" i="8"/>
  <c r="AB80" i="8"/>
  <c r="AB86" i="8"/>
  <c r="AB95" i="8" s="1"/>
  <c r="AF86" i="8"/>
  <c r="AF80" i="8"/>
  <c r="AI23" i="8"/>
  <c r="V84" i="8"/>
  <c r="W94" i="8"/>
  <c r="AF90" i="8"/>
  <c r="AI22" i="8"/>
  <c r="AI25" i="8"/>
  <c r="AI33" i="8"/>
  <c r="AI37" i="8"/>
  <c r="AI41" i="8"/>
  <c r="AI45" i="8"/>
  <c r="AI49" i="8"/>
  <c r="AI53" i="8"/>
  <c r="AI57" i="8"/>
  <c r="AI61" i="8"/>
  <c r="AI65" i="8"/>
  <c r="AI69" i="8"/>
  <c r="AI73" i="8"/>
  <c r="AI77" i="8"/>
  <c r="AH84" i="8"/>
  <c r="W86" i="8"/>
  <c r="V89" i="8"/>
  <c r="AI20" i="8"/>
  <c r="AI14" i="8"/>
  <c r="AB90" i="8"/>
  <c r="V92" i="8"/>
  <c r="Z92" i="8"/>
  <c r="AD92" i="8"/>
  <c r="AH92" i="8"/>
  <c r="W93" i="8"/>
  <c r="AA93" i="8"/>
  <c r="AE93" i="8"/>
  <c r="AI32" i="8"/>
  <c r="AI44" i="8"/>
  <c r="V94" i="8"/>
  <c r="Z94" i="8"/>
  <c r="AD94" i="8"/>
  <c r="AH94" i="8"/>
  <c r="AI60" i="8"/>
  <c r="AI64" i="8"/>
  <c r="AI68" i="8"/>
  <c r="AI72" i="8"/>
  <c r="AI76" i="8"/>
  <c r="AD84" i="8"/>
  <c r="AI17" i="8"/>
  <c r="AI87" i="8" s="1"/>
  <c r="AI56" i="8"/>
  <c r="AI95" i="9" l="1"/>
  <c r="AI92" i="8"/>
  <c r="AA95" i="8"/>
  <c r="AI91" i="8"/>
  <c r="AI90" i="8"/>
  <c r="Y95" i="8"/>
  <c r="AC95" i="8"/>
  <c r="AE95" i="8"/>
  <c r="Z95" i="8"/>
  <c r="AF95" i="8"/>
  <c r="W95" i="8"/>
  <c r="AI93" i="8"/>
  <c r="V95" i="8"/>
  <c r="AI94" i="8"/>
  <c r="AH95" i="8"/>
  <c r="AD95" i="8"/>
  <c r="AI84" i="8"/>
  <c r="AI80" i="8"/>
  <c r="AI95" i="8" l="1"/>
  <c r="AH79" i="7" l="1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94" i="7" l="1"/>
  <c r="AH93" i="7"/>
  <c r="AH92" i="7"/>
  <c r="AH91" i="7"/>
  <c r="AH90" i="7"/>
  <c r="AH89" i="7"/>
  <c r="AH88" i="7"/>
  <c r="AH87" i="7"/>
  <c r="AH86" i="7"/>
  <c r="AH85" i="7"/>
  <c r="AH84" i="7"/>
  <c r="AH80" i="7"/>
  <c r="T80" i="7"/>
  <c r="K80" i="7"/>
  <c r="J80" i="7"/>
  <c r="I80" i="7"/>
  <c r="H80" i="7"/>
  <c r="Y79" i="7"/>
  <c r="X79" i="7"/>
  <c r="W79" i="7"/>
  <c r="V79" i="7"/>
  <c r="AG79" i="7"/>
  <c r="AF79" i="7"/>
  <c r="AE79" i="7"/>
  <c r="AD79" i="7"/>
  <c r="AC79" i="7"/>
  <c r="AB79" i="7"/>
  <c r="AA79" i="7"/>
  <c r="Z79" i="7"/>
  <c r="Y78" i="7"/>
  <c r="X78" i="7"/>
  <c r="W78" i="7"/>
  <c r="V78" i="7"/>
  <c r="AG78" i="7"/>
  <c r="AF78" i="7"/>
  <c r="AE78" i="7"/>
  <c r="AD78" i="7"/>
  <c r="AC78" i="7"/>
  <c r="AB78" i="7"/>
  <c r="AA78" i="7"/>
  <c r="Z78" i="7"/>
  <c r="AD77" i="7"/>
  <c r="Y77" i="7"/>
  <c r="X77" i="7"/>
  <c r="W77" i="7"/>
  <c r="V77" i="7"/>
  <c r="AG77" i="7"/>
  <c r="AF77" i="7"/>
  <c r="AE77" i="7"/>
  <c r="AC77" i="7"/>
  <c r="AB77" i="7"/>
  <c r="AA77" i="7"/>
  <c r="Z77" i="7"/>
  <c r="AB76" i="7"/>
  <c r="Y76" i="7"/>
  <c r="X76" i="7"/>
  <c r="W76" i="7"/>
  <c r="V76" i="7"/>
  <c r="AG76" i="7"/>
  <c r="AF76" i="7"/>
  <c r="AE76" i="7"/>
  <c r="AD76" i="7"/>
  <c r="AC76" i="7"/>
  <c r="AA76" i="7"/>
  <c r="Z76" i="7"/>
  <c r="Y75" i="7"/>
  <c r="X75" i="7"/>
  <c r="W75" i="7"/>
  <c r="V75" i="7"/>
  <c r="AG75" i="7"/>
  <c r="AF75" i="7"/>
  <c r="AE75" i="7"/>
  <c r="AD75" i="7"/>
  <c r="AC75" i="7"/>
  <c r="AB75" i="7"/>
  <c r="AA75" i="7"/>
  <c r="Z75" i="7"/>
  <c r="AF74" i="7"/>
  <c r="AB74" i="7"/>
  <c r="Y74" i="7"/>
  <c r="X74" i="7"/>
  <c r="W74" i="7"/>
  <c r="V74" i="7"/>
  <c r="AG74" i="7"/>
  <c r="AE74" i="7"/>
  <c r="AD74" i="7"/>
  <c r="AC74" i="7"/>
  <c r="AA74" i="7"/>
  <c r="Z74" i="7"/>
  <c r="AG73" i="7"/>
  <c r="AF73" i="7"/>
  <c r="AE73" i="7"/>
  <c r="AD73" i="7"/>
  <c r="AC73" i="7"/>
  <c r="AB73" i="7"/>
  <c r="AA73" i="7"/>
  <c r="Z73" i="7"/>
  <c r="Y73" i="7"/>
  <c r="X73" i="7"/>
  <c r="W73" i="7"/>
  <c r="V73" i="7"/>
  <c r="AG72" i="7"/>
  <c r="AF72" i="7"/>
  <c r="AE72" i="7"/>
  <c r="AD72" i="7"/>
  <c r="AC72" i="7"/>
  <c r="AB72" i="7"/>
  <c r="AA72" i="7"/>
  <c r="Z72" i="7"/>
  <c r="Y72" i="7"/>
  <c r="X72" i="7"/>
  <c r="W72" i="7"/>
  <c r="V72" i="7"/>
  <c r="AG71" i="7"/>
  <c r="AF71" i="7"/>
  <c r="AE71" i="7"/>
  <c r="AD71" i="7"/>
  <c r="AC71" i="7"/>
  <c r="AB71" i="7"/>
  <c r="AA71" i="7"/>
  <c r="Z71" i="7"/>
  <c r="Y71" i="7"/>
  <c r="X71" i="7"/>
  <c r="W71" i="7"/>
  <c r="V71" i="7"/>
  <c r="AG70" i="7"/>
  <c r="AF70" i="7"/>
  <c r="AE70" i="7"/>
  <c r="AD70" i="7"/>
  <c r="AC70" i="7"/>
  <c r="AB70" i="7"/>
  <c r="AA70" i="7"/>
  <c r="Z70" i="7"/>
  <c r="Y70" i="7"/>
  <c r="X70" i="7"/>
  <c r="W70" i="7"/>
  <c r="V70" i="7"/>
  <c r="AG69" i="7"/>
  <c r="AF69" i="7"/>
  <c r="AE69" i="7"/>
  <c r="AD69" i="7"/>
  <c r="AC69" i="7"/>
  <c r="AB69" i="7"/>
  <c r="AA69" i="7"/>
  <c r="Z69" i="7"/>
  <c r="Y69" i="7"/>
  <c r="X69" i="7"/>
  <c r="W69" i="7"/>
  <c r="V69" i="7"/>
  <c r="AG68" i="7"/>
  <c r="AF68" i="7"/>
  <c r="AE68" i="7"/>
  <c r="AD68" i="7"/>
  <c r="AC68" i="7"/>
  <c r="AB68" i="7"/>
  <c r="AA68" i="7"/>
  <c r="Z68" i="7"/>
  <c r="Y68" i="7"/>
  <c r="X68" i="7"/>
  <c r="W68" i="7"/>
  <c r="V68" i="7"/>
  <c r="AG67" i="7"/>
  <c r="AF67" i="7"/>
  <c r="AE67" i="7"/>
  <c r="AD67" i="7"/>
  <c r="AC67" i="7"/>
  <c r="AB67" i="7"/>
  <c r="AA67" i="7"/>
  <c r="Z67" i="7"/>
  <c r="Y67" i="7"/>
  <c r="X67" i="7"/>
  <c r="W67" i="7"/>
  <c r="V67" i="7"/>
  <c r="AG66" i="7"/>
  <c r="AF66" i="7"/>
  <c r="AE66" i="7"/>
  <c r="AD66" i="7"/>
  <c r="AC66" i="7"/>
  <c r="AB66" i="7"/>
  <c r="AA66" i="7"/>
  <c r="Z66" i="7"/>
  <c r="Y66" i="7"/>
  <c r="X66" i="7"/>
  <c r="W66" i="7"/>
  <c r="V66" i="7"/>
  <c r="AG65" i="7"/>
  <c r="AF65" i="7"/>
  <c r="AE65" i="7"/>
  <c r="AD65" i="7"/>
  <c r="AC65" i="7"/>
  <c r="AB65" i="7"/>
  <c r="AA65" i="7"/>
  <c r="Z65" i="7"/>
  <c r="Y65" i="7"/>
  <c r="X65" i="7"/>
  <c r="W65" i="7"/>
  <c r="V65" i="7"/>
  <c r="AG64" i="7"/>
  <c r="AF64" i="7"/>
  <c r="AE64" i="7"/>
  <c r="AD64" i="7"/>
  <c r="AC64" i="7"/>
  <c r="AB64" i="7"/>
  <c r="AA64" i="7"/>
  <c r="Z64" i="7"/>
  <c r="Y64" i="7"/>
  <c r="X64" i="7"/>
  <c r="W64" i="7"/>
  <c r="V64" i="7"/>
  <c r="AG63" i="7"/>
  <c r="AF63" i="7"/>
  <c r="AE63" i="7"/>
  <c r="AD63" i="7"/>
  <c r="AC63" i="7"/>
  <c r="AB63" i="7"/>
  <c r="AA63" i="7"/>
  <c r="Z63" i="7"/>
  <c r="Y63" i="7"/>
  <c r="X63" i="7"/>
  <c r="W63" i="7"/>
  <c r="V63" i="7"/>
  <c r="AG62" i="7"/>
  <c r="AF62" i="7"/>
  <c r="AE62" i="7"/>
  <c r="AD62" i="7"/>
  <c r="AC62" i="7"/>
  <c r="AB62" i="7"/>
  <c r="AA62" i="7"/>
  <c r="Z62" i="7"/>
  <c r="Y62" i="7"/>
  <c r="X62" i="7"/>
  <c r="W62" i="7"/>
  <c r="V62" i="7"/>
  <c r="AG61" i="7"/>
  <c r="AF61" i="7"/>
  <c r="AE61" i="7"/>
  <c r="AD61" i="7"/>
  <c r="AC61" i="7"/>
  <c r="AB61" i="7"/>
  <c r="AA61" i="7"/>
  <c r="Z61" i="7"/>
  <c r="Y61" i="7"/>
  <c r="X61" i="7"/>
  <c r="W61" i="7"/>
  <c r="V61" i="7"/>
  <c r="AG60" i="7"/>
  <c r="AF60" i="7"/>
  <c r="AE60" i="7"/>
  <c r="AD60" i="7"/>
  <c r="AC60" i="7"/>
  <c r="AB60" i="7"/>
  <c r="AA60" i="7"/>
  <c r="Z60" i="7"/>
  <c r="Y60" i="7"/>
  <c r="X60" i="7"/>
  <c r="W60" i="7"/>
  <c r="V60" i="7"/>
  <c r="AG59" i="7"/>
  <c r="AF59" i="7"/>
  <c r="AE59" i="7"/>
  <c r="AD59" i="7"/>
  <c r="AC59" i="7"/>
  <c r="AB59" i="7"/>
  <c r="AA59" i="7"/>
  <c r="Z59" i="7"/>
  <c r="Y59" i="7"/>
  <c r="X59" i="7"/>
  <c r="W59" i="7"/>
  <c r="V59" i="7"/>
  <c r="AG58" i="7"/>
  <c r="AF58" i="7"/>
  <c r="AE58" i="7"/>
  <c r="AD58" i="7"/>
  <c r="AC58" i="7"/>
  <c r="AB58" i="7"/>
  <c r="AA58" i="7"/>
  <c r="Z58" i="7"/>
  <c r="Y58" i="7"/>
  <c r="X58" i="7"/>
  <c r="W58" i="7"/>
  <c r="V58" i="7"/>
  <c r="AG57" i="7"/>
  <c r="AF57" i="7"/>
  <c r="AE57" i="7"/>
  <c r="AD57" i="7"/>
  <c r="AC57" i="7"/>
  <c r="AB57" i="7"/>
  <c r="AA57" i="7"/>
  <c r="Z57" i="7"/>
  <c r="Y57" i="7"/>
  <c r="X57" i="7"/>
  <c r="W57" i="7"/>
  <c r="V57" i="7"/>
  <c r="AG56" i="7"/>
  <c r="AG94" i="7" s="1"/>
  <c r="AF56" i="7"/>
  <c r="AF94" i="7" s="1"/>
  <c r="AE56" i="7"/>
  <c r="AE94" i="7" s="1"/>
  <c r="AD56" i="7"/>
  <c r="AC56" i="7"/>
  <c r="AC94" i="7" s="1"/>
  <c r="AB56" i="7"/>
  <c r="AB94" i="7" s="1"/>
  <c r="AA56" i="7"/>
  <c r="AA94" i="7" s="1"/>
  <c r="Z56" i="7"/>
  <c r="Y56" i="7"/>
  <c r="Y94" i="7" s="1"/>
  <c r="X56" i="7"/>
  <c r="X94" i="7" s="1"/>
  <c r="W56" i="7"/>
  <c r="W94" i="7" s="1"/>
  <c r="V56" i="7"/>
  <c r="Y55" i="7"/>
  <c r="X55" i="7"/>
  <c r="W55" i="7"/>
  <c r="V55" i="7"/>
  <c r="AG55" i="7"/>
  <c r="AF55" i="7"/>
  <c r="AE55" i="7"/>
  <c r="AD55" i="7"/>
  <c r="AC55" i="7"/>
  <c r="AB55" i="7"/>
  <c r="AA55" i="7"/>
  <c r="Z55" i="7"/>
  <c r="Y54" i="7"/>
  <c r="X54" i="7"/>
  <c r="W54" i="7"/>
  <c r="V54" i="7"/>
  <c r="AG54" i="7"/>
  <c r="AF54" i="7"/>
  <c r="AE54" i="7"/>
  <c r="AD54" i="7"/>
  <c r="AC54" i="7"/>
  <c r="AB54" i="7"/>
  <c r="AA54" i="7"/>
  <c r="Z54" i="7"/>
  <c r="AD53" i="7"/>
  <c r="Y53" i="7"/>
  <c r="X53" i="7"/>
  <c r="W53" i="7"/>
  <c r="V53" i="7"/>
  <c r="AG53" i="7"/>
  <c r="AF53" i="7"/>
  <c r="AE53" i="7"/>
  <c r="AC53" i="7"/>
  <c r="AB53" i="7"/>
  <c r="AA53" i="7"/>
  <c r="Z53" i="7"/>
  <c r="Y52" i="7"/>
  <c r="X52" i="7"/>
  <c r="W52" i="7"/>
  <c r="V52" i="7"/>
  <c r="AG52" i="7"/>
  <c r="AF52" i="7"/>
  <c r="AE52" i="7"/>
  <c r="AD52" i="7"/>
  <c r="AC52" i="7"/>
  <c r="AB52" i="7"/>
  <c r="AA52" i="7"/>
  <c r="Z52" i="7"/>
  <c r="AF51" i="7"/>
  <c r="AD51" i="7"/>
  <c r="Y51" i="7"/>
  <c r="X51" i="7"/>
  <c r="W51" i="7"/>
  <c r="V51" i="7"/>
  <c r="AG51" i="7"/>
  <c r="AE51" i="7"/>
  <c r="AC51" i="7"/>
  <c r="AB51" i="7"/>
  <c r="AA51" i="7"/>
  <c r="Z51" i="7"/>
  <c r="Y50" i="7"/>
  <c r="X50" i="7"/>
  <c r="W50" i="7"/>
  <c r="V50" i="7"/>
  <c r="AG50" i="7"/>
  <c r="AF50" i="7"/>
  <c r="AE50" i="7"/>
  <c r="AD50" i="7"/>
  <c r="AC50" i="7"/>
  <c r="AB50" i="7"/>
  <c r="AA50" i="7"/>
  <c r="Z50" i="7"/>
  <c r="Y49" i="7"/>
  <c r="X49" i="7"/>
  <c r="W49" i="7"/>
  <c r="V49" i="7"/>
  <c r="AG49" i="7"/>
  <c r="AF49" i="7"/>
  <c r="AE49" i="7"/>
  <c r="AD49" i="7"/>
  <c r="AC49" i="7"/>
  <c r="AB49" i="7"/>
  <c r="AA49" i="7"/>
  <c r="Z49" i="7"/>
  <c r="Y48" i="7"/>
  <c r="X48" i="7"/>
  <c r="W48" i="7"/>
  <c r="V48" i="7"/>
  <c r="AG48" i="7"/>
  <c r="AF48" i="7"/>
  <c r="AE48" i="7"/>
  <c r="AD48" i="7"/>
  <c r="AC48" i="7"/>
  <c r="AB48" i="7"/>
  <c r="AA48" i="7"/>
  <c r="Z48" i="7"/>
  <c r="AG47" i="7"/>
  <c r="AC47" i="7"/>
  <c r="Y47" i="7"/>
  <c r="X47" i="7"/>
  <c r="W47" i="7"/>
  <c r="V47" i="7"/>
  <c r="AF47" i="7"/>
  <c r="AE47" i="7"/>
  <c r="AD47" i="7"/>
  <c r="AB47" i="7"/>
  <c r="AA47" i="7"/>
  <c r="Z47" i="7"/>
  <c r="AA46" i="7"/>
  <c r="Y46" i="7"/>
  <c r="X46" i="7"/>
  <c r="W46" i="7"/>
  <c r="V46" i="7"/>
  <c r="AG46" i="7"/>
  <c r="AF46" i="7"/>
  <c r="AE46" i="7"/>
  <c r="AD46" i="7"/>
  <c r="AC46" i="7"/>
  <c r="AB46" i="7"/>
  <c r="Z46" i="7"/>
  <c r="AG45" i="7"/>
  <c r="AC45" i="7"/>
  <c r="Y45" i="7"/>
  <c r="X45" i="7"/>
  <c r="W45" i="7"/>
  <c r="V45" i="7"/>
  <c r="AF45" i="7"/>
  <c r="AE45" i="7"/>
  <c r="AD45" i="7"/>
  <c r="AB45" i="7"/>
  <c r="AA45" i="7"/>
  <c r="Z45" i="7"/>
  <c r="AA44" i="7"/>
  <c r="Y44" i="7"/>
  <c r="X44" i="7"/>
  <c r="W44" i="7"/>
  <c r="V44" i="7"/>
  <c r="AG44" i="7"/>
  <c r="AF44" i="7"/>
  <c r="AE44" i="7"/>
  <c r="AD44" i="7"/>
  <c r="AC44" i="7"/>
  <c r="AB44" i="7"/>
  <c r="Z44" i="7"/>
  <c r="Y43" i="7"/>
  <c r="X43" i="7"/>
  <c r="W43" i="7"/>
  <c r="V43" i="7"/>
  <c r="AG43" i="7"/>
  <c r="AF43" i="7"/>
  <c r="AE43" i="7"/>
  <c r="AD43" i="7"/>
  <c r="AC43" i="7"/>
  <c r="AB43" i="7"/>
  <c r="AA43" i="7"/>
  <c r="Z43" i="7"/>
  <c r="Y42" i="7"/>
  <c r="X42" i="7"/>
  <c r="W42" i="7"/>
  <c r="V42" i="7"/>
  <c r="AG42" i="7"/>
  <c r="AF42" i="7"/>
  <c r="AE42" i="7"/>
  <c r="AD42" i="7"/>
  <c r="AC42" i="7"/>
  <c r="AB42" i="7"/>
  <c r="AA42" i="7"/>
  <c r="Z42" i="7"/>
  <c r="Y41" i="7"/>
  <c r="X41" i="7"/>
  <c r="W41" i="7"/>
  <c r="V41" i="7"/>
  <c r="AG41" i="7"/>
  <c r="AF41" i="7"/>
  <c r="AE41" i="7"/>
  <c r="AD41" i="7"/>
  <c r="AC41" i="7"/>
  <c r="AB41" i="7"/>
  <c r="AA41" i="7"/>
  <c r="Z41" i="7"/>
  <c r="Y40" i="7"/>
  <c r="X40" i="7"/>
  <c r="W40" i="7"/>
  <c r="V40" i="7"/>
  <c r="AG40" i="7"/>
  <c r="AF40" i="7"/>
  <c r="AE40" i="7"/>
  <c r="AD40" i="7"/>
  <c r="AC40" i="7"/>
  <c r="AB40" i="7"/>
  <c r="AA40" i="7"/>
  <c r="Z40" i="7"/>
  <c r="AG39" i="7"/>
  <c r="AC39" i="7"/>
  <c r="Y39" i="7"/>
  <c r="X39" i="7"/>
  <c r="W39" i="7"/>
  <c r="V39" i="7"/>
  <c r="AF39" i="7"/>
  <c r="AE39" i="7"/>
  <c r="AD39" i="7"/>
  <c r="AB39" i="7"/>
  <c r="AA39" i="7"/>
  <c r="Z39" i="7"/>
  <c r="AA38" i="7"/>
  <c r="Y38" i="7"/>
  <c r="X38" i="7"/>
  <c r="W38" i="7"/>
  <c r="V38" i="7"/>
  <c r="AG38" i="7"/>
  <c r="AF38" i="7"/>
  <c r="AE38" i="7"/>
  <c r="AD38" i="7"/>
  <c r="AC38" i="7"/>
  <c r="AB38" i="7"/>
  <c r="Z38" i="7"/>
  <c r="AG37" i="7"/>
  <c r="AC37" i="7"/>
  <c r="Y37" i="7"/>
  <c r="X37" i="7"/>
  <c r="W37" i="7"/>
  <c r="V37" i="7"/>
  <c r="AF37" i="7"/>
  <c r="AE37" i="7"/>
  <c r="AD37" i="7"/>
  <c r="AB37" i="7"/>
  <c r="AA37" i="7"/>
  <c r="Z37" i="7"/>
  <c r="AA36" i="7"/>
  <c r="Y36" i="7"/>
  <c r="X36" i="7"/>
  <c r="W36" i="7"/>
  <c r="V36" i="7"/>
  <c r="AG36" i="7"/>
  <c r="AF36" i="7"/>
  <c r="AE36" i="7"/>
  <c r="AD36" i="7"/>
  <c r="AC36" i="7"/>
  <c r="AB36" i="7"/>
  <c r="Z36" i="7"/>
  <c r="Y35" i="7"/>
  <c r="X35" i="7"/>
  <c r="W35" i="7"/>
  <c r="V35" i="7"/>
  <c r="AG35" i="7"/>
  <c r="AF35" i="7"/>
  <c r="AE35" i="7"/>
  <c r="AD35" i="7"/>
  <c r="AC35" i="7"/>
  <c r="AB35" i="7"/>
  <c r="AA35" i="7"/>
  <c r="Z35" i="7"/>
  <c r="Y34" i="7"/>
  <c r="X34" i="7"/>
  <c r="W34" i="7"/>
  <c r="V34" i="7"/>
  <c r="AG34" i="7"/>
  <c r="AF34" i="7"/>
  <c r="AE34" i="7"/>
  <c r="AD34" i="7"/>
  <c r="AC34" i="7"/>
  <c r="AB34" i="7"/>
  <c r="AA34" i="7"/>
  <c r="Z34" i="7"/>
  <c r="Y33" i="7"/>
  <c r="X33" i="7"/>
  <c r="W33" i="7"/>
  <c r="V33" i="7"/>
  <c r="AG33" i="7"/>
  <c r="AF33" i="7"/>
  <c r="AE33" i="7"/>
  <c r="AD33" i="7"/>
  <c r="AC33" i="7"/>
  <c r="AB33" i="7"/>
  <c r="AA33" i="7"/>
  <c r="Z33" i="7"/>
  <c r="Y32" i="7"/>
  <c r="X32" i="7"/>
  <c r="W32" i="7"/>
  <c r="V32" i="7"/>
  <c r="AG32" i="7"/>
  <c r="AF32" i="7"/>
  <c r="AF93" i="7" s="1"/>
  <c r="AE32" i="7"/>
  <c r="AD32" i="7"/>
  <c r="AC32" i="7"/>
  <c r="AB32" i="7"/>
  <c r="AB93" i="7" s="1"/>
  <c r="AA32" i="7"/>
  <c r="Z32" i="7"/>
  <c r="AG31" i="7"/>
  <c r="AF31" i="7"/>
  <c r="AE31" i="7"/>
  <c r="AD31" i="7"/>
  <c r="AC31" i="7"/>
  <c r="AB31" i="7"/>
  <c r="AA31" i="7"/>
  <c r="Z31" i="7"/>
  <c r="Y31" i="7"/>
  <c r="X31" i="7"/>
  <c r="W31" i="7"/>
  <c r="V31" i="7"/>
  <c r="AG30" i="7"/>
  <c r="AF30" i="7"/>
  <c r="AE30" i="7"/>
  <c r="AD30" i="7"/>
  <c r="AC30" i="7"/>
  <c r="AB30" i="7"/>
  <c r="AA30" i="7"/>
  <c r="Z30" i="7"/>
  <c r="Y30" i="7"/>
  <c r="X30" i="7"/>
  <c r="W30" i="7"/>
  <c r="V30" i="7"/>
  <c r="AG29" i="7"/>
  <c r="Y29" i="7"/>
  <c r="X29" i="7"/>
  <c r="W29" i="7"/>
  <c r="V29" i="7"/>
  <c r="AF29" i="7"/>
  <c r="AE29" i="7"/>
  <c r="AD29" i="7"/>
  <c r="AC29" i="7"/>
  <c r="AB29" i="7"/>
  <c r="AA29" i="7"/>
  <c r="Z29" i="7"/>
  <c r="AA28" i="7"/>
  <c r="Y28" i="7"/>
  <c r="X28" i="7"/>
  <c r="W28" i="7"/>
  <c r="V28" i="7"/>
  <c r="AG28" i="7"/>
  <c r="AF28" i="7"/>
  <c r="AE28" i="7"/>
  <c r="AD28" i="7"/>
  <c r="AC28" i="7"/>
  <c r="AB28" i="7"/>
  <c r="Z28" i="7"/>
  <c r="Y27" i="7"/>
  <c r="X27" i="7"/>
  <c r="W27" i="7"/>
  <c r="V27" i="7"/>
  <c r="AG27" i="7"/>
  <c r="AF27" i="7"/>
  <c r="AE27" i="7"/>
  <c r="AD27" i="7"/>
  <c r="AC27" i="7"/>
  <c r="AB27" i="7"/>
  <c r="AA27" i="7"/>
  <c r="Z27" i="7"/>
  <c r="AD26" i="7"/>
  <c r="AC26" i="7"/>
  <c r="Y26" i="7"/>
  <c r="X26" i="7"/>
  <c r="W26" i="7"/>
  <c r="V26" i="7"/>
  <c r="AG26" i="7"/>
  <c r="AF26" i="7"/>
  <c r="AE26" i="7"/>
  <c r="AB26" i="7"/>
  <c r="AA26" i="7"/>
  <c r="Z26" i="7"/>
  <c r="AG25" i="7"/>
  <c r="AF25" i="7"/>
  <c r="AE25" i="7"/>
  <c r="AD25" i="7"/>
  <c r="AC25" i="7"/>
  <c r="AB25" i="7"/>
  <c r="AA25" i="7"/>
  <c r="Z25" i="7"/>
  <c r="Y25" i="7"/>
  <c r="X25" i="7"/>
  <c r="W25" i="7"/>
  <c r="V25" i="7"/>
  <c r="AG24" i="7"/>
  <c r="AF24" i="7"/>
  <c r="AE24" i="7"/>
  <c r="AD24" i="7"/>
  <c r="AC24" i="7"/>
  <c r="AB24" i="7"/>
  <c r="AA24" i="7"/>
  <c r="Z24" i="7"/>
  <c r="Y24" i="7"/>
  <c r="X24" i="7"/>
  <c r="W24" i="7"/>
  <c r="V24" i="7"/>
  <c r="AG23" i="7"/>
  <c r="AF23" i="7"/>
  <c r="AE23" i="7"/>
  <c r="AD23" i="7"/>
  <c r="AC23" i="7"/>
  <c r="AB23" i="7"/>
  <c r="AA23" i="7"/>
  <c r="Z23" i="7"/>
  <c r="Y23" i="7"/>
  <c r="X23" i="7"/>
  <c r="W23" i="7"/>
  <c r="V23" i="7"/>
  <c r="AG22" i="7"/>
  <c r="AF22" i="7"/>
  <c r="AF91" i="7" s="1"/>
  <c r="AE22" i="7"/>
  <c r="AE91" i="7" s="1"/>
  <c r="AD22" i="7"/>
  <c r="AC22" i="7"/>
  <c r="AB22" i="7"/>
  <c r="AB91" i="7" s="1"/>
  <c r="AA22" i="7"/>
  <c r="AA91" i="7" s="1"/>
  <c r="Z22" i="7"/>
  <c r="Y22" i="7"/>
  <c r="X22" i="7"/>
  <c r="X91" i="7" s="1"/>
  <c r="W22" i="7"/>
  <c r="W91" i="7" s="1"/>
  <c r="V22" i="7"/>
  <c r="Y21" i="7"/>
  <c r="X21" i="7"/>
  <c r="W21" i="7"/>
  <c r="V21" i="7"/>
  <c r="AG21" i="7"/>
  <c r="AF21" i="7"/>
  <c r="AE21" i="7"/>
  <c r="AD21" i="7"/>
  <c r="AC21" i="7"/>
  <c r="AB21" i="7"/>
  <c r="AA21" i="7"/>
  <c r="Z21" i="7"/>
  <c r="Y20" i="7"/>
  <c r="X20" i="7"/>
  <c r="X90" i="7" s="1"/>
  <c r="W20" i="7"/>
  <c r="W90" i="7" s="1"/>
  <c r="V20" i="7"/>
  <c r="AG20" i="7"/>
  <c r="AG90" i="7" s="1"/>
  <c r="AF20" i="7"/>
  <c r="AF90" i="7" s="1"/>
  <c r="AE20" i="7"/>
  <c r="AE90" i="7" s="1"/>
  <c r="AD20" i="7"/>
  <c r="AD90" i="7" s="1"/>
  <c r="AC20" i="7"/>
  <c r="AC90" i="7" s="1"/>
  <c r="AB20" i="7"/>
  <c r="AB90" i="7" s="1"/>
  <c r="AA20" i="7"/>
  <c r="AA90" i="7" s="1"/>
  <c r="Z20" i="7"/>
  <c r="Z90" i="7" s="1"/>
  <c r="Y19" i="7"/>
  <c r="Y89" i="7" s="1"/>
  <c r="X19" i="7"/>
  <c r="X89" i="7" s="1"/>
  <c r="W19" i="7"/>
  <c r="W89" i="7" s="1"/>
  <c r="V19" i="7"/>
  <c r="V89" i="7" s="1"/>
  <c r="AG19" i="7"/>
  <c r="AG89" i="7" s="1"/>
  <c r="AF19" i="7"/>
  <c r="AF89" i="7" s="1"/>
  <c r="AE19" i="7"/>
  <c r="AE89" i="7" s="1"/>
  <c r="AD19" i="7"/>
  <c r="AD89" i="7" s="1"/>
  <c r="AC19" i="7"/>
  <c r="AC89" i="7" s="1"/>
  <c r="AB19" i="7"/>
  <c r="AB89" i="7" s="1"/>
  <c r="AA19" i="7"/>
  <c r="AA89" i="7" s="1"/>
  <c r="Z19" i="7"/>
  <c r="Z89" i="7" s="1"/>
  <c r="Y18" i="7"/>
  <c r="Y88" i="7" s="1"/>
  <c r="X18" i="7"/>
  <c r="X88" i="7" s="1"/>
  <c r="W18" i="7"/>
  <c r="W88" i="7" s="1"/>
  <c r="V18" i="7"/>
  <c r="V88" i="7" s="1"/>
  <c r="AG18" i="7"/>
  <c r="AG88" i="7" s="1"/>
  <c r="AF18" i="7"/>
  <c r="AF88" i="7" s="1"/>
  <c r="AE18" i="7"/>
  <c r="AE88" i="7" s="1"/>
  <c r="AD18" i="7"/>
  <c r="AD88" i="7" s="1"/>
  <c r="AC18" i="7"/>
  <c r="AC88" i="7" s="1"/>
  <c r="AB18" i="7"/>
  <c r="AB88" i="7" s="1"/>
  <c r="AA18" i="7"/>
  <c r="AA88" i="7" s="1"/>
  <c r="Z18" i="7"/>
  <c r="Z88" i="7" s="1"/>
  <c r="Y17" i="7"/>
  <c r="Y87" i="7" s="1"/>
  <c r="X17" i="7"/>
  <c r="X87" i="7" s="1"/>
  <c r="W17" i="7"/>
  <c r="W87" i="7" s="1"/>
  <c r="V17" i="7"/>
  <c r="V87" i="7" s="1"/>
  <c r="AG17" i="7"/>
  <c r="AG87" i="7" s="1"/>
  <c r="AF17" i="7"/>
  <c r="AF87" i="7" s="1"/>
  <c r="AE17" i="7"/>
  <c r="AE87" i="7" s="1"/>
  <c r="AD17" i="7"/>
  <c r="AD87" i="7" s="1"/>
  <c r="AC17" i="7"/>
  <c r="AC87" i="7" s="1"/>
  <c r="AB17" i="7"/>
  <c r="AB87" i="7" s="1"/>
  <c r="AA17" i="7"/>
  <c r="AA87" i="7" s="1"/>
  <c r="Z17" i="7"/>
  <c r="Z87" i="7" s="1"/>
  <c r="Y16" i="7"/>
  <c r="Y86" i="7" s="1"/>
  <c r="X16" i="7"/>
  <c r="X86" i="7" s="1"/>
  <c r="W16" i="7"/>
  <c r="W86" i="7" s="1"/>
  <c r="V16" i="7"/>
  <c r="V86" i="7" s="1"/>
  <c r="AG16" i="7"/>
  <c r="AG86" i="7" s="1"/>
  <c r="AF16" i="7"/>
  <c r="AF86" i="7" s="1"/>
  <c r="AE16" i="7"/>
  <c r="AE86" i="7" s="1"/>
  <c r="AD16" i="7"/>
  <c r="AD86" i="7" s="1"/>
  <c r="AC16" i="7"/>
  <c r="AC86" i="7" s="1"/>
  <c r="AB16" i="7"/>
  <c r="AB86" i="7" s="1"/>
  <c r="AA16" i="7"/>
  <c r="AA86" i="7" s="1"/>
  <c r="Z16" i="7"/>
  <c r="Z86" i="7" s="1"/>
  <c r="Y15" i="7"/>
  <c r="Y85" i="7" s="1"/>
  <c r="X15" i="7"/>
  <c r="X85" i="7" s="1"/>
  <c r="W15" i="7"/>
  <c r="W85" i="7" s="1"/>
  <c r="V15" i="7"/>
  <c r="V85" i="7" s="1"/>
  <c r="AG15" i="7"/>
  <c r="AG85" i="7" s="1"/>
  <c r="AF15" i="7"/>
  <c r="AF85" i="7" s="1"/>
  <c r="AE15" i="7"/>
  <c r="AE85" i="7" s="1"/>
  <c r="AD15" i="7"/>
  <c r="AD85" i="7" s="1"/>
  <c r="AC15" i="7"/>
  <c r="AC85" i="7" s="1"/>
  <c r="AB15" i="7"/>
  <c r="AB85" i="7" s="1"/>
  <c r="AA15" i="7"/>
  <c r="AA85" i="7" s="1"/>
  <c r="Z15" i="7"/>
  <c r="Z85" i="7" s="1"/>
  <c r="Y14" i="7"/>
  <c r="X14" i="7"/>
  <c r="W14" i="7"/>
  <c r="V14" i="7"/>
  <c r="R80" i="7"/>
  <c r="Q80" i="7"/>
  <c r="M80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S79" i="4"/>
  <c r="S78" i="4"/>
  <c r="S77" i="4"/>
  <c r="S76" i="4"/>
  <c r="S75" i="4"/>
  <c r="S74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29" i="4"/>
  <c r="S28" i="4"/>
  <c r="S27" i="4"/>
  <c r="S26" i="4"/>
  <c r="S21" i="4"/>
  <c r="S20" i="4"/>
  <c r="S19" i="4"/>
  <c r="S18" i="4"/>
  <c r="S17" i="4"/>
  <c r="S16" i="4"/>
  <c r="S15" i="4"/>
  <c r="S14" i="4"/>
  <c r="P93" i="5"/>
  <c r="AD77" i="4"/>
  <c r="AD76" i="4"/>
  <c r="AD75" i="4"/>
  <c r="AD74" i="4"/>
  <c r="AD73" i="4"/>
  <c r="AD72" i="4"/>
  <c r="AD71" i="4"/>
  <c r="AI71" i="4" s="1"/>
  <c r="AD70" i="4"/>
  <c r="AD69" i="4"/>
  <c r="AD68" i="4"/>
  <c r="AD67" i="4"/>
  <c r="AI67" i="4" s="1"/>
  <c r="AD66" i="4"/>
  <c r="AD65" i="4"/>
  <c r="AD64" i="4"/>
  <c r="AD63" i="4"/>
  <c r="AI63" i="4" s="1"/>
  <c r="AD62" i="4"/>
  <c r="AD61" i="4"/>
  <c r="AD60" i="4"/>
  <c r="AD59" i="4"/>
  <c r="AI59" i="4" s="1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P80" i="4"/>
  <c r="AD79" i="4"/>
  <c r="AD78" i="4"/>
  <c r="P101" i="5"/>
  <c r="P105" i="5" s="1"/>
  <c r="P99" i="5"/>
  <c r="AI72" i="4"/>
  <c r="AI68" i="4"/>
  <c r="AI64" i="4"/>
  <c r="AI60" i="4"/>
  <c r="R79" i="4"/>
  <c r="R78" i="4"/>
  <c r="R77" i="4"/>
  <c r="R76" i="4"/>
  <c r="R75" i="4"/>
  <c r="R74" i="4"/>
  <c r="Q79" i="4"/>
  <c r="Q78" i="4"/>
  <c r="Q77" i="4"/>
  <c r="Q76" i="4"/>
  <c r="Q75" i="4"/>
  <c r="Q74" i="4"/>
  <c r="P79" i="4"/>
  <c r="P78" i="4"/>
  <c r="P77" i="4"/>
  <c r="P76" i="4"/>
  <c r="P75" i="4"/>
  <c r="P74" i="4"/>
  <c r="O79" i="4"/>
  <c r="O78" i="4"/>
  <c r="O77" i="4"/>
  <c r="O76" i="4"/>
  <c r="O75" i="4"/>
  <c r="O74" i="4"/>
  <c r="N79" i="4"/>
  <c r="N78" i="4"/>
  <c r="N77" i="4"/>
  <c r="N76" i="4"/>
  <c r="N75" i="4"/>
  <c r="N74" i="4"/>
  <c r="M79" i="4"/>
  <c r="M78" i="4"/>
  <c r="M77" i="4"/>
  <c r="M76" i="4"/>
  <c r="M75" i="4"/>
  <c r="M74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29" i="4"/>
  <c r="R28" i="4"/>
  <c r="R27" i="4"/>
  <c r="R26" i="4"/>
  <c r="R21" i="4"/>
  <c r="R20" i="4"/>
  <c r="R19" i="4"/>
  <c r="R18" i="4"/>
  <c r="R17" i="4"/>
  <c r="R16" i="4"/>
  <c r="R15" i="4"/>
  <c r="R14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29" i="4"/>
  <c r="Q28" i="4"/>
  <c r="Q27" i="4"/>
  <c r="Q26" i="4"/>
  <c r="Q21" i="4"/>
  <c r="Q20" i="4"/>
  <c r="Q19" i="4"/>
  <c r="Q18" i="4"/>
  <c r="Q17" i="4"/>
  <c r="Q16" i="4"/>
  <c r="Q15" i="4"/>
  <c r="Q14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29" i="4"/>
  <c r="P28" i="4"/>
  <c r="P27" i="4"/>
  <c r="P26" i="4"/>
  <c r="P21" i="4"/>
  <c r="P20" i="4"/>
  <c r="P19" i="4"/>
  <c r="P18" i="4"/>
  <c r="P17" i="4"/>
  <c r="P16" i="4"/>
  <c r="P15" i="4"/>
  <c r="P14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29" i="4"/>
  <c r="O28" i="4"/>
  <c r="O27" i="4"/>
  <c r="O26" i="4"/>
  <c r="O21" i="4"/>
  <c r="O20" i="4"/>
  <c r="O19" i="4"/>
  <c r="O18" i="4"/>
  <c r="O17" i="4"/>
  <c r="O16" i="4"/>
  <c r="O15" i="4"/>
  <c r="O14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29" i="4"/>
  <c r="N28" i="4"/>
  <c r="N27" i="4"/>
  <c r="N26" i="4"/>
  <c r="N21" i="4"/>
  <c r="N20" i="4"/>
  <c r="N19" i="4"/>
  <c r="N18" i="4"/>
  <c r="N17" i="4"/>
  <c r="N16" i="4"/>
  <c r="N15" i="4"/>
  <c r="N14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29" i="4"/>
  <c r="M28" i="4"/>
  <c r="M27" i="4"/>
  <c r="M26" i="4"/>
  <c r="M21" i="4"/>
  <c r="M20" i="4"/>
  <c r="M19" i="4"/>
  <c r="M18" i="4"/>
  <c r="M17" i="4"/>
  <c r="M16" i="4"/>
  <c r="M15" i="4"/>
  <c r="M14" i="4"/>
  <c r="A82" i="4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81" i="4"/>
  <c r="AH95" i="4"/>
  <c r="Z95" i="4"/>
  <c r="Y95" i="4"/>
  <c r="X95" i="4"/>
  <c r="W95" i="4"/>
  <c r="V95" i="4"/>
  <c r="AH89" i="4"/>
  <c r="AH88" i="4"/>
  <c r="AH87" i="4"/>
  <c r="AH86" i="4"/>
  <c r="AH85" i="4"/>
  <c r="AH84" i="4"/>
  <c r="AI73" i="4"/>
  <c r="AI70" i="4"/>
  <c r="AI69" i="4"/>
  <c r="AI66" i="4"/>
  <c r="AI65" i="4"/>
  <c r="AI62" i="4"/>
  <c r="AI61" i="4"/>
  <c r="AI58" i="4"/>
  <c r="AI57" i="4"/>
  <c r="AH94" i="4"/>
  <c r="AH93" i="4"/>
  <c r="AH92" i="4"/>
  <c r="AH91" i="4"/>
  <c r="AH90" i="4"/>
  <c r="AG94" i="4"/>
  <c r="AF94" i="4"/>
  <c r="AE94" i="4"/>
  <c r="AC94" i="4"/>
  <c r="AB94" i="4"/>
  <c r="AA94" i="4"/>
  <c r="Z94" i="4"/>
  <c r="Z93" i="4"/>
  <c r="Z92" i="4"/>
  <c r="Z91" i="4"/>
  <c r="Z90" i="4"/>
  <c r="Z89" i="4"/>
  <c r="Z88" i="4"/>
  <c r="Z87" i="4"/>
  <c r="Z86" i="4"/>
  <c r="Z85" i="4"/>
  <c r="Z84" i="4"/>
  <c r="Y94" i="4"/>
  <c r="Y93" i="4"/>
  <c r="Y92" i="4"/>
  <c r="Y91" i="4"/>
  <c r="Y90" i="4"/>
  <c r="Y89" i="4"/>
  <c r="Y88" i="4"/>
  <c r="Y87" i="4"/>
  <c r="Y86" i="4"/>
  <c r="Y85" i="4"/>
  <c r="Y84" i="4"/>
  <c r="X94" i="4"/>
  <c r="X93" i="4"/>
  <c r="X92" i="4"/>
  <c r="X91" i="4"/>
  <c r="X90" i="4"/>
  <c r="X89" i="4"/>
  <c r="X88" i="4"/>
  <c r="X87" i="4"/>
  <c r="X86" i="4"/>
  <c r="X85" i="4"/>
  <c r="X84" i="4"/>
  <c r="W94" i="4"/>
  <c r="W93" i="4"/>
  <c r="W92" i="4"/>
  <c r="W91" i="4"/>
  <c r="W90" i="4"/>
  <c r="W89" i="4"/>
  <c r="W88" i="4"/>
  <c r="W87" i="4"/>
  <c r="W86" i="4"/>
  <c r="W85" i="4"/>
  <c r="W84" i="4"/>
  <c r="K80" i="4"/>
  <c r="L79" i="4"/>
  <c r="L78" i="4"/>
  <c r="L77" i="4"/>
  <c r="L76" i="4"/>
  <c r="L75" i="4"/>
  <c r="L74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29" i="4"/>
  <c r="L28" i="4"/>
  <c r="L27" i="4"/>
  <c r="L26" i="4"/>
  <c r="L21" i="4"/>
  <c r="L20" i="4"/>
  <c r="L19" i="4"/>
  <c r="L18" i="4"/>
  <c r="L17" i="4"/>
  <c r="L16" i="4"/>
  <c r="L15" i="4"/>
  <c r="L14" i="4"/>
  <c r="V93" i="7" l="1"/>
  <c r="X93" i="7"/>
  <c r="AI77" i="7"/>
  <c r="AB92" i="7"/>
  <c r="AF92" i="7"/>
  <c r="AI53" i="7"/>
  <c r="Y92" i="7"/>
  <c r="AI57" i="7"/>
  <c r="AI61" i="7"/>
  <c r="AI63" i="7"/>
  <c r="AI66" i="7"/>
  <c r="AI68" i="7"/>
  <c r="AI73" i="7"/>
  <c r="AI23" i="7"/>
  <c r="AI24" i="7"/>
  <c r="V92" i="7"/>
  <c r="AI30" i="7"/>
  <c r="AI58" i="7"/>
  <c r="AI59" i="7"/>
  <c r="AI60" i="7"/>
  <c r="AI65" i="7"/>
  <c r="AI67" i="7"/>
  <c r="AI69" i="7"/>
  <c r="AI71" i="7"/>
  <c r="AA92" i="7"/>
  <c r="AE92" i="7"/>
  <c r="W92" i="7"/>
  <c r="AD92" i="7"/>
  <c r="AA93" i="7"/>
  <c r="AE93" i="7"/>
  <c r="AI75" i="7"/>
  <c r="AI21" i="7"/>
  <c r="Z92" i="7"/>
  <c r="AI26" i="7"/>
  <c r="AG92" i="7"/>
  <c r="AA14" i="7"/>
  <c r="AC92" i="7"/>
  <c r="N80" i="7"/>
  <c r="X84" i="7"/>
  <c r="X80" i="7"/>
  <c r="AB14" i="7"/>
  <c r="AF14" i="7"/>
  <c r="AI15" i="7"/>
  <c r="AI85" i="7" s="1"/>
  <c r="AI17" i="7"/>
  <c r="AI87" i="7" s="1"/>
  <c r="AI19" i="7"/>
  <c r="AI89" i="7" s="1"/>
  <c r="AI25" i="7"/>
  <c r="AC93" i="7"/>
  <c r="AG93" i="7"/>
  <c r="AI33" i="7"/>
  <c r="AI38" i="7"/>
  <c r="AI41" i="7"/>
  <c r="AI46" i="7"/>
  <c r="AI49" i="7"/>
  <c r="AI74" i="7"/>
  <c r="AI47" i="7"/>
  <c r="AI52" i="7"/>
  <c r="O80" i="7"/>
  <c r="S80" i="7"/>
  <c r="Y80" i="7"/>
  <c r="AC14" i="7"/>
  <c r="AG14" i="7"/>
  <c r="Y90" i="7"/>
  <c r="Y91" i="7"/>
  <c r="AC91" i="7"/>
  <c r="AG91" i="7"/>
  <c r="AI27" i="7"/>
  <c r="AI31" i="7"/>
  <c r="Z93" i="7"/>
  <c r="AD93" i="7"/>
  <c r="AI32" i="7"/>
  <c r="AI35" i="7"/>
  <c r="AI40" i="7"/>
  <c r="AI43" i="7"/>
  <c r="AI48" i="7"/>
  <c r="AI51" i="7"/>
  <c r="AI55" i="7"/>
  <c r="AI79" i="7"/>
  <c r="W84" i="7"/>
  <c r="W80" i="7"/>
  <c r="AE14" i="7"/>
  <c r="AI28" i="7"/>
  <c r="AI36" i="7"/>
  <c r="AI39" i="7"/>
  <c r="AI44" i="7"/>
  <c r="L80" i="7"/>
  <c r="P80" i="7"/>
  <c r="V80" i="7"/>
  <c r="V84" i="7"/>
  <c r="Z14" i="7"/>
  <c r="AD14" i="7"/>
  <c r="AI16" i="7"/>
  <c r="AI86" i="7" s="1"/>
  <c r="AI18" i="7"/>
  <c r="AI88" i="7" s="1"/>
  <c r="V90" i="7"/>
  <c r="AI20" i="7"/>
  <c r="V91" i="7"/>
  <c r="Z91" i="7"/>
  <c r="AD91" i="7"/>
  <c r="AI22" i="7"/>
  <c r="AI29" i="7"/>
  <c r="W93" i="7"/>
  <c r="AI34" i="7"/>
  <c r="AI37" i="7"/>
  <c r="AI42" i="7"/>
  <c r="AI45" i="7"/>
  <c r="AI50" i="7"/>
  <c r="Y84" i="7"/>
  <c r="X92" i="7"/>
  <c r="AI76" i="7"/>
  <c r="Y93" i="7"/>
  <c r="AI54" i="7"/>
  <c r="AI62" i="7"/>
  <c r="AI70" i="7"/>
  <c r="AI78" i="7"/>
  <c r="V94" i="7"/>
  <c r="Z94" i="7"/>
  <c r="AD94" i="7"/>
  <c r="AI64" i="7"/>
  <c r="AI72" i="7"/>
  <c r="AH95" i="7"/>
  <c r="AI56" i="7"/>
  <c r="AI94" i="4"/>
  <c r="AI95" i="4" s="1"/>
  <c r="AD94" i="4"/>
  <c r="P24" i="5"/>
  <c r="P10" i="5"/>
  <c r="P9" i="5"/>
  <c r="P7" i="5"/>
  <c r="AI14" i="7" l="1"/>
  <c r="AI84" i="7" s="1"/>
  <c r="Y95" i="7"/>
  <c r="AI91" i="7"/>
  <c r="AI90" i="7"/>
  <c r="X95" i="7"/>
  <c r="W95" i="7"/>
  <c r="AI94" i="7"/>
  <c r="AI80" i="7"/>
  <c r="Z80" i="7"/>
  <c r="Z84" i="7"/>
  <c r="Z95" i="7" s="1"/>
  <c r="AD80" i="7"/>
  <c r="AD84" i="7"/>
  <c r="AD95" i="7" s="1"/>
  <c r="AI93" i="7"/>
  <c r="AF84" i="7"/>
  <c r="AF95" i="7" s="1"/>
  <c r="AF80" i="7"/>
  <c r="AI92" i="7"/>
  <c r="AG80" i="7"/>
  <c r="AG84" i="7"/>
  <c r="AG95" i="7" s="1"/>
  <c r="AB84" i="7"/>
  <c r="AB95" i="7" s="1"/>
  <c r="AB80" i="7"/>
  <c r="V95" i="7"/>
  <c r="AE84" i="7"/>
  <c r="AE95" i="7" s="1"/>
  <c r="AE80" i="7"/>
  <c r="AC80" i="7"/>
  <c r="AC84" i="7"/>
  <c r="AC95" i="7" s="1"/>
  <c r="AA84" i="7"/>
  <c r="AA95" i="7" s="1"/>
  <c r="AA80" i="7"/>
  <c r="P89" i="5"/>
  <c r="P14" i="5"/>
  <c r="P22" i="5"/>
  <c r="P28" i="5"/>
  <c r="P36" i="5"/>
  <c r="P40" i="5"/>
  <c r="P92" i="5"/>
  <c r="P48" i="5"/>
  <c r="P53" i="5"/>
  <c r="P61" i="5"/>
  <c r="P65" i="5"/>
  <c r="P96" i="5"/>
  <c r="P73" i="5"/>
  <c r="P97" i="5"/>
  <c r="P81" i="5"/>
  <c r="P98" i="5"/>
  <c r="P90" i="5"/>
  <c r="P6" i="5"/>
  <c r="P91" i="5"/>
  <c r="P83" i="5"/>
  <c r="P8" i="5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I80" i="4"/>
  <c r="AI95" i="7" l="1"/>
  <c r="P95" i="5"/>
  <c r="S80" i="4"/>
  <c r="AG79" i="4"/>
  <c r="AF79" i="4"/>
  <c r="AE79" i="4"/>
  <c r="AC79" i="4"/>
  <c r="AB79" i="4"/>
  <c r="AA79" i="4"/>
  <c r="AG78" i="4"/>
  <c r="AF78" i="4"/>
  <c r="AE78" i="4"/>
  <c r="AC78" i="4"/>
  <c r="AB78" i="4"/>
  <c r="AA78" i="4"/>
  <c r="AG77" i="4"/>
  <c r="AF77" i="4"/>
  <c r="AE77" i="4"/>
  <c r="AC77" i="4"/>
  <c r="AB77" i="4"/>
  <c r="AA77" i="4"/>
  <c r="AI77" i="4" s="1"/>
  <c r="AG76" i="4"/>
  <c r="AF76" i="4"/>
  <c r="AE76" i="4"/>
  <c r="AC76" i="4"/>
  <c r="AB76" i="4"/>
  <c r="AA76" i="4"/>
  <c r="AG75" i="4"/>
  <c r="AF75" i="4"/>
  <c r="AE75" i="4"/>
  <c r="AC75" i="4"/>
  <c r="AB75" i="4"/>
  <c r="AA75" i="4"/>
  <c r="AG74" i="4"/>
  <c r="AF74" i="4"/>
  <c r="AE74" i="4"/>
  <c r="AC74" i="4"/>
  <c r="AB74" i="4"/>
  <c r="AA74" i="4"/>
  <c r="AG73" i="4"/>
  <c r="AF73" i="4"/>
  <c r="AE73" i="4"/>
  <c r="AC73" i="4"/>
  <c r="AB73" i="4"/>
  <c r="AA73" i="4"/>
  <c r="AG72" i="4"/>
  <c r="AF72" i="4"/>
  <c r="AE72" i="4"/>
  <c r="AC72" i="4"/>
  <c r="AB72" i="4"/>
  <c r="AA72" i="4"/>
  <c r="AG71" i="4"/>
  <c r="AF71" i="4"/>
  <c r="AE71" i="4"/>
  <c r="AC71" i="4"/>
  <c r="AB71" i="4"/>
  <c r="AA71" i="4"/>
  <c r="AG70" i="4"/>
  <c r="AF70" i="4"/>
  <c r="AE70" i="4"/>
  <c r="AC70" i="4"/>
  <c r="AB70" i="4"/>
  <c r="AA70" i="4"/>
  <c r="AG69" i="4"/>
  <c r="AF69" i="4"/>
  <c r="AE69" i="4"/>
  <c r="AC69" i="4"/>
  <c r="AB69" i="4"/>
  <c r="AA69" i="4"/>
  <c r="AG68" i="4"/>
  <c r="AF68" i="4"/>
  <c r="AE68" i="4"/>
  <c r="AC68" i="4"/>
  <c r="AB68" i="4"/>
  <c r="AA68" i="4"/>
  <c r="AG67" i="4"/>
  <c r="AF67" i="4"/>
  <c r="AE67" i="4"/>
  <c r="AC67" i="4"/>
  <c r="AB67" i="4"/>
  <c r="AA67" i="4"/>
  <c r="AG66" i="4"/>
  <c r="AF66" i="4"/>
  <c r="AE66" i="4"/>
  <c r="AC66" i="4"/>
  <c r="AB66" i="4"/>
  <c r="AA66" i="4"/>
  <c r="AG65" i="4"/>
  <c r="AF65" i="4"/>
  <c r="AE65" i="4"/>
  <c r="AC65" i="4"/>
  <c r="AB65" i="4"/>
  <c r="AA65" i="4"/>
  <c r="AG64" i="4"/>
  <c r="AF64" i="4"/>
  <c r="AE64" i="4"/>
  <c r="AC64" i="4"/>
  <c r="AB64" i="4"/>
  <c r="AA64" i="4"/>
  <c r="AG63" i="4"/>
  <c r="AF63" i="4"/>
  <c r="AE63" i="4"/>
  <c r="AC63" i="4"/>
  <c r="AB63" i="4"/>
  <c r="AA63" i="4"/>
  <c r="AG62" i="4"/>
  <c r="AF62" i="4"/>
  <c r="AE62" i="4"/>
  <c r="AC62" i="4"/>
  <c r="AB62" i="4"/>
  <c r="AA62" i="4"/>
  <c r="AG61" i="4"/>
  <c r="AF61" i="4"/>
  <c r="AE61" i="4"/>
  <c r="AC61" i="4"/>
  <c r="AB61" i="4"/>
  <c r="AA61" i="4"/>
  <c r="AG60" i="4"/>
  <c r="AF60" i="4"/>
  <c r="AE60" i="4"/>
  <c r="AC60" i="4"/>
  <c r="AB60" i="4"/>
  <c r="AA60" i="4"/>
  <c r="AG59" i="4"/>
  <c r="AF59" i="4"/>
  <c r="AE59" i="4"/>
  <c r="AC59" i="4"/>
  <c r="AB59" i="4"/>
  <c r="AA59" i="4"/>
  <c r="AG58" i="4"/>
  <c r="AF58" i="4"/>
  <c r="AE58" i="4"/>
  <c r="AC58" i="4"/>
  <c r="AB58" i="4"/>
  <c r="AA58" i="4"/>
  <c r="AG57" i="4"/>
  <c r="AF57" i="4"/>
  <c r="AE57" i="4"/>
  <c r="AC57" i="4"/>
  <c r="AB57" i="4"/>
  <c r="AA57" i="4"/>
  <c r="AG56" i="4"/>
  <c r="AF56" i="4"/>
  <c r="AE56" i="4"/>
  <c r="AC56" i="4"/>
  <c r="AB56" i="4"/>
  <c r="AA56" i="4"/>
  <c r="AG55" i="4"/>
  <c r="AF55" i="4"/>
  <c r="AE55" i="4"/>
  <c r="AC55" i="4"/>
  <c r="AB55" i="4"/>
  <c r="AA55" i="4"/>
  <c r="AG54" i="4"/>
  <c r="AF54" i="4"/>
  <c r="AE54" i="4"/>
  <c r="AC54" i="4"/>
  <c r="AB54" i="4"/>
  <c r="AA54" i="4"/>
  <c r="AG53" i="4"/>
  <c r="AF53" i="4"/>
  <c r="AE53" i="4"/>
  <c r="AC53" i="4"/>
  <c r="AB53" i="4"/>
  <c r="AA53" i="4"/>
  <c r="AG52" i="4"/>
  <c r="AF52" i="4"/>
  <c r="AE52" i="4"/>
  <c r="AC52" i="4"/>
  <c r="AB52" i="4"/>
  <c r="AA52" i="4"/>
  <c r="AG51" i="4"/>
  <c r="AF51" i="4"/>
  <c r="AE51" i="4"/>
  <c r="AC51" i="4"/>
  <c r="AB51" i="4"/>
  <c r="AA51" i="4"/>
  <c r="AG50" i="4"/>
  <c r="AF50" i="4"/>
  <c r="AE50" i="4"/>
  <c r="AC50" i="4"/>
  <c r="AB50" i="4"/>
  <c r="AA50" i="4"/>
  <c r="AG49" i="4"/>
  <c r="AF49" i="4"/>
  <c r="AE49" i="4"/>
  <c r="AC49" i="4"/>
  <c r="AB49" i="4"/>
  <c r="AA49" i="4"/>
  <c r="AG48" i="4"/>
  <c r="AF48" i="4"/>
  <c r="AE48" i="4"/>
  <c r="AC48" i="4"/>
  <c r="AB48" i="4"/>
  <c r="AA48" i="4"/>
  <c r="AG47" i="4"/>
  <c r="AF47" i="4"/>
  <c r="AE47" i="4"/>
  <c r="AC47" i="4"/>
  <c r="AB47" i="4"/>
  <c r="AA47" i="4"/>
  <c r="AG46" i="4"/>
  <c r="AF46" i="4"/>
  <c r="AE46" i="4"/>
  <c r="AC46" i="4"/>
  <c r="AB46" i="4"/>
  <c r="AA46" i="4"/>
  <c r="AG45" i="4"/>
  <c r="AF45" i="4"/>
  <c r="AE45" i="4"/>
  <c r="AC45" i="4"/>
  <c r="AB45" i="4"/>
  <c r="AA45" i="4"/>
  <c r="AG44" i="4"/>
  <c r="AF44" i="4"/>
  <c r="AE44" i="4"/>
  <c r="AC44" i="4"/>
  <c r="AB44" i="4"/>
  <c r="AA44" i="4"/>
  <c r="AG43" i="4"/>
  <c r="AF43" i="4"/>
  <c r="AE43" i="4"/>
  <c r="AC43" i="4"/>
  <c r="AB43" i="4"/>
  <c r="AA43" i="4"/>
  <c r="AG42" i="4"/>
  <c r="AF42" i="4"/>
  <c r="AE42" i="4"/>
  <c r="AC42" i="4"/>
  <c r="AB42" i="4"/>
  <c r="AA42" i="4"/>
  <c r="AG41" i="4"/>
  <c r="AF41" i="4"/>
  <c r="AE41" i="4"/>
  <c r="AC41" i="4"/>
  <c r="AB41" i="4"/>
  <c r="AA41" i="4"/>
  <c r="AG40" i="4"/>
  <c r="AF40" i="4"/>
  <c r="AE40" i="4"/>
  <c r="AC40" i="4"/>
  <c r="AB40" i="4"/>
  <c r="AA40" i="4"/>
  <c r="AG39" i="4"/>
  <c r="AF39" i="4"/>
  <c r="AE39" i="4"/>
  <c r="AC39" i="4"/>
  <c r="AB39" i="4"/>
  <c r="AA39" i="4"/>
  <c r="AG38" i="4"/>
  <c r="AF38" i="4"/>
  <c r="AE38" i="4"/>
  <c r="AC38" i="4"/>
  <c r="AB38" i="4"/>
  <c r="AA38" i="4"/>
  <c r="AG37" i="4"/>
  <c r="AF37" i="4"/>
  <c r="AE37" i="4"/>
  <c r="AC37" i="4"/>
  <c r="AB37" i="4"/>
  <c r="AA37" i="4"/>
  <c r="AG36" i="4"/>
  <c r="AF36" i="4"/>
  <c r="AE36" i="4"/>
  <c r="AC36" i="4"/>
  <c r="AB36" i="4"/>
  <c r="AA36" i="4"/>
  <c r="AG35" i="4"/>
  <c r="AF35" i="4"/>
  <c r="AE35" i="4"/>
  <c r="AC35" i="4"/>
  <c r="AB35" i="4"/>
  <c r="AA35" i="4"/>
  <c r="AG34" i="4"/>
  <c r="AF34" i="4"/>
  <c r="AE34" i="4"/>
  <c r="AC34" i="4"/>
  <c r="AB34" i="4"/>
  <c r="AA34" i="4"/>
  <c r="AG33" i="4"/>
  <c r="AF33" i="4"/>
  <c r="AE33" i="4"/>
  <c r="AC33" i="4"/>
  <c r="AB33" i="4"/>
  <c r="AA33" i="4"/>
  <c r="AG32" i="4"/>
  <c r="AF32" i="4"/>
  <c r="AE32" i="4"/>
  <c r="AD93" i="4"/>
  <c r="AC32" i="4"/>
  <c r="AB32" i="4"/>
  <c r="AB93" i="4" s="1"/>
  <c r="AA32" i="4"/>
  <c r="AG31" i="4"/>
  <c r="AF31" i="4"/>
  <c r="AE31" i="4"/>
  <c r="AC31" i="4"/>
  <c r="AB31" i="4"/>
  <c r="AA31" i="4"/>
  <c r="AG30" i="4"/>
  <c r="AF30" i="4"/>
  <c r="AE30" i="4"/>
  <c r="AC30" i="4"/>
  <c r="AB30" i="4"/>
  <c r="AA30" i="4"/>
  <c r="AG29" i="4"/>
  <c r="AF29" i="4"/>
  <c r="AE29" i="4"/>
  <c r="AC29" i="4"/>
  <c r="AB29" i="4"/>
  <c r="AA29" i="4"/>
  <c r="AG28" i="4"/>
  <c r="AF28" i="4"/>
  <c r="AE28" i="4"/>
  <c r="AC28" i="4"/>
  <c r="AB28" i="4"/>
  <c r="AA28" i="4"/>
  <c r="AG27" i="4"/>
  <c r="AF27" i="4"/>
  <c r="AE27" i="4"/>
  <c r="AC27" i="4"/>
  <c r="AB27" i="4"/>
  <c r="AA27" i="4"/>
  <c r="AG26" i="4"/>
  <c r="AF26" i="4"/>
  <c r="AF92" i="4" s="1"/>
  <c r="AE26" i="4"/>
  <c r="AE92" i="4" s="1"/>
  <c r="AC26" i="4"/>
  <c r="AB26" i="4"/>
  <c r="AA26" i="4"/>
  <c r="AG25" i="4"/>
  <c r="AF25" i="4"/>
  <c r="AE25" i="4"/>
  <c r="AC25" i="4"/>
  <c r="AB25" i="4"/>
  <c r="AA25" i="4"/>
  <c r="AG24" i="4"/>
  <c r="AF24" i="4"/>
  <c r="AE24" i="4"/>
  <c r="AC24" i="4"/>
  <c r="AB24" i="4"/>
  <c r="AA24" i="4"/>
  <c r="AG23" i="4"/>
  <c r="AF23" i="4"/>
  <c r="AE23" i="4"/>
  <c r="AC23" i="4"/>
  <c r="AB23" i="4"/>
  <c r="AA23" i="4"/>
  <c r="AG22" i="4"/>
  <c r="AF22" i="4"/>
  <c r="AF91" i="4" s="1"/>
  <c r="AE22" i="4"/>
  <c r="AE91" i="4" s="1"/>
  <c r="AC22" i="4"/>
  <c r="AB22" i="4"/>
  <c r="AA22" i="4"/>
  <c r="AG21" i="4"/>
  <c r="AF21" i="4"/>
  <c r="AE21" i="4"/>
  <c r="AC21" i="4"/>
  <c r="AB21" i="4"/>
  <c r="AA21" i="4"/>
  <c r="AG20" i="4"/>
  <c r="AF20" i="4"/>
  <c r="AE20" i="4"/>
  <c r="AD90" i="4"/>
  <c r="AC20" i="4"/>
  <c r="AB20" i="4"/>
  <c r="AB90" i="4" s="1"/>
  <c r="AA20" i="4"/>
  <c r="AG19" i="4"/>
  <c r="AG89" i="4" s="1"/>
  <c r="AF19" i="4"/>
  <c r="AF89" i="4" s="1"/>
  <c r="AE19" i="4"/>
  <c r="AE89" i="4" s="1"/>
  <c r="AD89" i="4"/>
  <c r="AC19" i="4"/>
  <c r="AC89" i="4" s="1"/>
  <c r="AB19" i="4"/>
  <c r="AB89" i="4" s="1"/>
  <c r="AA19" i="4"/>
  <c r="AG18" i="4"/>
  <c r="AG88" i="4" s="1"/>
  <c r="AF18" i="4"/>
  <c r="AF88" i="4" s="1"/>
  <c r="AE18" i="4"/>
  <c r="AE88" i="4" s="1"/>
  <c r="AD88" i="4"/>
  <c r="AC18" i="4"/>
  <c r="AC88" i="4" s="1"/>
  <c r="AB18" i="4"/>
  <c r="AB88" i="4" s="1"/>
  <c r="AA18" i="4"/>
  <c r="AG17" i="4"/>
  <c r="AG87" i="4" s="1"/>
  <c r="AF17" i="4"/>
  <c r="AF87" i="4" s="1"/>
  <c r="AE17" i="4"/>
  <c r="AE87" i="4" s="1"/>
  <c r="AD87" i="4"/>
  <c r="AC17" i="4"/>
  <c r="AC87" i="4" s="1"/>
  <c r="AB17" i="4"/>
  <c r="AB87" i="4" s="1"/>
  <c r="AA17" i="4"/>
  <c r="AG16" i="4"/>
  <c r="AG86" i="4" s="1"/>
  <c r="AF16" i="4"/>
  <c r="AF86" i="4" s="1"/>
  <c r="AE16" i="4"/>
  <c r="AE86" i="4" s="1"/>
  <c r="AD86" i="4"/>
  <c r="AC16" i="4"/>
  <c r="AC86" i="4" s="1"/>
  <c r="AB16" i="4"/>
  <c r="AB86" i="4" s="1"/>
  <c r="AA16" i="4"/>
  <c r="AG15" i="4"/>
  <c r="AG85" i="4" s="1"/>
  <c r="AF15" i="4"/>
  <c r="AF85" i="4" s="1"/>
  <c r="AE15" i="4"/>
  <c r="AE85" i="4" s="1"/>
  <c r="AD85" i="4"/>
  <c r="AC15" i="4"/>
  <c r="AC85" i="4" s="1"/>
  <c r="AB15" i="4"/>
  <c r="AB85" i="4" s="1"/>
  <c r="AA15" i="4"/>
  <c r="AH80" i="4"/>
  <c r="AG14" i="4"/>
  <c r="AG84" i="4" s="1"/>
  <c r="AF14" i="4"/>
  <c r="AF84" i="4" s="1"/>
  <c r="AE14" i="4"/>
  <c r="AE84" i="4" s="1"/>
  <c r="AD84" i="4"/>
  <c r="AC14" i="4"/>
  <c r="AC84" i="4" s="1"/>
  <c r="AB14" i="4"/>
  <c r="AB84" i="4" s="1"/>
  <c r="AA14" i="4"/>
  <c r="Z14" i="4"/>
  <c r="Z80" i="4" s="1"/>
  <c r="Y14" i="4"/>
  <c r="Y80" i="4" s="1"/>
  <c r="X14" i="4"/>
  <c r="X80" i="4" s="1"/>
  <c r="W14" i="4"/>
  <c r="W80" i="4" s="1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92" i="4" s="1"/>
  <c r="V25" i="4"/>
  <c r="V24" i="4"/>
  <c r="V23" i="4"/>
  <c r="V22" i="4"/>
  <c r="V21" i="4"/>
  <c r="V20" i="4"/>
  <c r="V19" i="4"/>
  <c r="V89" i="4" s="1"/>
  <c r="V18" i="4"/>
  <c r="V88" i="4" s="1"/>
  <c r="V17" i="4"/>
  <c r="V87" i="4" s="1"/>
  <c r="V16" i="4"/>
  <c r="V15" i="4"/>
  <c r="V85" i="4" s="1"/>
  <c r="V14" i="4"/>
  <c r="V84" i="4" s="1"/>
  <c r="T80" i="4"/>
  <c r="R80" i="4"/>
  <c r="Q80" i="4"/>
  <c r="O80" i="4"/>
  <c r="N80" i="4"/>
  <c r="M80" i="4"/>
  <c r="L80" i="4"/>
  <c r="J80" i="4"/>
  <c r="H80" i="4"/>
  <c r="AI76" i="4" l="1"/>
  <c r="AI75" i="4"/>
  <c r="AI79" i="4"/>
  <c r="AI74" i="4"/>
  <c r="AI78" i="4"/>
  <c r="AG90" i="4"/>
  <c r="AG93" i="4"/>
  <c r="AI25" i="4"/>
  <c r="AI29" i="4"/>
  <c r="AI37" i="4"/>
  <c r="AI41" i="4"/>
  <c r="AI49" i="4"/>
  <c r="AI53" i="4"/>
  <c r="AG91" i="4"/>
  <c r="AG92" i="4"/>
  <c r="AF90" i="4"/>
  <c r="AF93" i="4"/>
  <c r="AF95" i="4"/>
  <c r="AI21" i="4"/>
  <c r="AE90" i="4"/>
  <c r="AE93" i="4"/>
  <c r="AE95" i="4"/>
  <c r="AI33" i="4"/>
  <c r="AI45" i="4"/>
  <c r="AD91" i="4"/>
  <c r="AD95" i="4" s="1"/>
  <c r="AD92" i="4"/>
  <c r="AC92" i="4"/>
  <c r="AI23" i="4"/>
  <c r="AI27" i="4"/>
  <c r="AI31" i="4"/>
  <c r="AI35" i="4"/>
  <c r="AI39" i="4"/>
  <c r="AI43" i="4"/>
  <c r="AI47" i="4"/>
  <c r="AI51" i="4"/>
  <c r="AI55" i="4"/>
  <c r="AC91" i="4"/>
  <c r="AC90" i="4"/>
  <c r="AC95" i="4" s="1"/>
  <c r="AI30" i="4"/>
  <c r="AC93" i="4"/>
  <c r="AI34" i="4"/>
  <c r="AI38" i="4"/>
  <c r="AI42" i="4"/>
  <c r="AI46" i="4"/>
  <c r="AI50" i="4"/>
  <c r="AI54" i="4"/>
  <c r="AB91" i="4"/>
  <c r="AB95" i="4" s="1"/>
  <c r="AB92" i="4"/>
  <c r="AI24" i="4"/>
  <c r="AI28" i="4"/>
  <c r="AI36" i="4"/>
  <c r="AI40" i="4"/>
  <c r="AI44" i="4"/>
  <c r="AI48" i="4"/>
  <c r="AI52" i="4"/>
  <c r="AI16" i="4"/>
  <c r="AI86" i="4" s="1"/>
  <c r="AA86" i="4"/>
  <c r="AI20" i="4"/>
  <c r="AA90" i="4"/>
  <c r="AA93" i="4"/>
  <c r="AI32" i="4"/>
  <c r="AA85" i="4"/>
  <c r="AI15" i="4"/>
  <c r="AI85" i="4" s="1"/>
  <c r="AI17" i="4"/>
  <c r="AI87" i="4" s="1"/>
  <c r="AA87" i="4"/>
  <c r="AI14" i="4"/>
  <c r="AA84" i="4"/>
  <c r="AA89" i="4"/>
  <c r="AI19" i="4"/>
  <c r="AI89" i="4" s="1"/>
  <c r="AI18" i="4"/>
  <c r="AI88" i="4" s="1"/>
  <c r="AA88" i="4"/>
  <c r="AI22" i="4"/>
  <c r="AI91" i="4" s="1"/>
  <c r="AA91" i="4"/>
  <c r="AI26" i="4"/>
  <c r="AA92" i="4"/>
  <c r="V91" i="4"/>
  <c r="AD80" i="4"/>
  <c r="AA80" i="4"/>
  <c r="AE80" i="4"/>
  <c r="AB80" i="4"/>
  <c r="AF80" i="4"/>
  <c r="AC80" i="4"/>
  <c r="AG80" i="4"/>
  <c r="V80" i="4"/>
  <c r="V86" i="4"/>
  <c r="V90" i="4"/>
  <c r="V93" i="4"/>
  <c r="V94" i="4"/>
  <c r="A8" i="4"/>
  <c r="A9" i="4" s="1"/>
  <c r="A10" i="4" s="1"/>
  <c r="A11" i="4" s="1"/>
  <c r="A12" i="4" s="1"/>
  <c r="A13" i="4" s="1"/>
  <c r="A14" i="4" s="1"/>
  <c r="AG95" i="4" l="1"/>
  <c r="AI90" i="4"/>
  <c r="AI93" i="4"/>
  <c r="AI92" i="4"/>
  <c r="AA95" i="4"/>
  <c r="AI84" i="4"/>
  <c r="AI80" i="4"/>
  <c r="P103" i="5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B16" i="3" l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G14" i="2"/>
  <c r="H14" i="2" s="1"/>
  <c r="B42" i="3" l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8" i="3" s="1"/>
  <c r="B41" i="3"/>
  <c r="D100" i="2"/>
  <c r="D98" i="1" l="1"/>
  <c r="D100" i="1"/>
  <c r="D99" i="1"/>
  <c r="G67" i="3"/>
  <c r="H67" i="3" s="1"/>
  <c r="G54" i="3"/>
  <c r="H54" i="3" s="1"/>
  <c r="G41" i="3"/>
  <c r="H41" i="3" s="1"/>
  <c r="A9" i="3"/>
  <c r="A10" i="3" s="1"/>
  <c r="A11" i="3" s="1"/>
  <c r="A12" i="3" s="1"/>
  <c r="A13" i="3" s="1"/>
  <c r="A9" i="2"/>
  <c r="A10" i="2" s="1"/>
  <c r="A11" i="2" s="1"/>
  <c r="A12" i="2" s="1"/>
  <c r="A13" i="2" s="1"/>
  <c r="A14" i="2" s="1"/>
  <c r="D59" i="1"/>
  <c r="A9" i="1"/>
  <c r="A10" i="1" s="1"/>
  <c r="A11" i="1" s="1"/>
  <c r="A12" i="1" s="1"/>
  <c r="A13" i="1" s="1"/>
  <c r="A14" i="1" s="1"/>
  <c r="A15" i="1" s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l="1"/>
  <c r="A100" i="2" s="1"/>
  <c r="A101" i="2" s="1"/>
  <c r="A102" i="2" s="1"/>
  <c r="A103" i="2" s="1"/>
  <c r="A104" i="2" s="1"/>
  <c r="A105" i="2" s="1"/>
  <c r="A106" i="2" s="1"/>
  <c r="A107" i="2" s="1"/>
  <c r="P15" i="1" l="1"/>
  <c r="Q15" i="1" l="1"/>
  <c r="R15" i="1" s="1"/>
  <c r="P14" i="2"/>
  <c r="G16" i="1" l="1"/>
  <c r="H16" i="1" s="1"/>
  <c r="Q14" i="2"/>
  <c r="R14" i="2" s="1"/>
  <c r="G15" i="2"/>
  <c r="H15" i="2" s="1"/>
  <c r="P16" i="1" l="1"/>
  <c r="Q16" i="1" s="1"/>
  <c r="G17" i="1" s="1"/>
  <c r="H17" i="1" s="1"/>
  <c r="P15" i="2"/>
  <c r="Q15" i="2" l="1"/>
  <c r="R15" i="2" s="1"/>
  <c r="R16" i="1"/>
  <c r="P17" i="1"/>
  <c r="Q17" i="1" s="1"/>
  <c r="G16" i="2"/>
  <c r="H16" i="2" s="1"/>
  <c r="R17" i="1" l="1"/>
  <c r="P16" i="2"/>
  <c r="G18" i="1"/>
  <c r="H18" i="1" s="1"/>
  <c r="Q16" i="2" l="1"/>
  <c r="G17" i="2" s="1"/>
  <c r="H17" i="2" s="1"/>
  <c r="P18" i="1"/>
  <c r="Q18" i="1" l="1"/>
  <c r="G19" i="1" s="1"/>
  <c r="H19" i="1" s="1"/>
  <c r="R16" i="2"/>
  <c r="P17" i="2"/>
  <c r="Q17" i="2" s="1"/>
  <c r="R17" i="2" l="1"/>
  <c r="R18" i="1"/>
  <c r="G18" i="2"/>
  <c r="H18" i="2" s="1"/>
  <c r="P19" i="1"/>
  <c r="Q19" i="1" l="1"/>
  <c r="G20" i="1"/>
  <c r="H20" i="1" s="1"/>
  <c r="P18" i="2"/>
  <c r="Q18" i="2" l="1"/>
  <c r="R18" i="2" s="1"/>
  <c r="R19" i="1"/>
  <c r="G19" i="2"/>
  <c r="H19" i="2" s="1"/>
  <c r="P20" i="1"/>
  <c r="Q20" i="1" s="1"/>
  <c r="R20" i="1" l="1"/>
  <c r="G21" i="1"/>
  <c r="H21" i="1" s="1"/>
  <c r="P19" i="2"/>
  <c r="Q19" i="2" l="1"/>
  <c r="R19" i="2" s="1"/>
  <c r="P21" i="1"/>
  <c r="G20" i="2"/>
  <c r="H20" i="2" s="1"/>
  <c r="Q21" i="1" l="1"/>
  <c r="G22" i="1"/>
  <c r="H22" i="1" s="1"/>
  <c r="P20" i="2"/>
  <c r="Q20" i="2" s="1"/>
  <c r="R20" i="2" l="1"/>
  <c r="R21" i="1"/>
  <c r="P22" i="1"/>
  <c r="Q22" i="1" s="1"/>
  <c r="G21" i="2"/>
  <c r="H21" i="2" s="1"/>
  <c r="R22" i="1" l="1"/>
  <c r="P21" i="2"/>
  <c r="G23" i="1"/>
  <c r="H23" i="1" s="1"/>
  <c r="Q21" i="2" l="1"/>
  <c r="G22" i="2" s="1"/>
  <c r="H22" i="2" s="1"/>
  <c r="P23" i="1"/>
  <c r="Q23" i="1" l="1"/>
  <c r="R21" i="2"/>
  <c r="P22" i="2"/>
  <c r="Q22" i="2" s="1"/>
  <c r="R22" i="2" l="1"/>
  <c r="G24" i="1"/>
  <c r="H24" i="1" s="1"/>
  <c r="R23" i="1"/>
  <c r="G23" i="2"/>
  <c r="H23" i="2" s="1"/>
  <c r="P24" i="1" l="1"/>
  <c r="P23" i="2"/>
  <c r="Q24" i="1" l="1"/>
  <c r="Q23" i="2"/>
  <c r="R23" i="2" l="1"/>
  <c r="G25" i="1"/>
  <c r="G24" i="2"/>
  <c r="H24" i="2" s="1"/>
  <c r="R24" i="1"/>
  <c r="P24" i="2" l="1"/>
  <c r="Q24" i="2" s="1"/>
  <c r="H25" i="1"/>
  <c r="P25" i="1"/>
  <c r="Q25" i="1" l="1"/>
  <c r="G25" i="2"/>
  <c r="H25" i="2" s="1"/>
  <c r="R24" i="2"/>
  <c r="G26" i="1" l="1"/>
  <c r="P25" i="2"/>
  <c r="R25" i="1"/>
  <c r="Q25" i="2" l="1"/>
  <c r="H26" i="1"/>
  <c r="P26" i="1"/>
  <c r="Q26" i="1" l="1"/>
  <c r="G26" i="2"/>
  <c r="P26" i="2" s="1"/>
  <c r="Q26" i="2" s="1"/>
  <c r="R25" i="2"/>
  <c r="H26" i="2" s="1"/>
  <c r="R26" i="2" s="1"/>
  <c r="H27" i="2" s="1"/>
  <c r="R27" i="2" s="1"/>
  <c r="G27" i="2" l="1"/>
  <c r="P27" i="2" s="1"/>
  <c r="Q27" i="2" s="1"/>
  <c r="S26" i="2"/>
  <c r="I26" i="2"/>
  <c r="G27" i="1"/>
  <c r="R26" i="1"/>
  <c r="H27" i="1" s="1"/>
  <c r="R27" i="1" s="1"/>
  <c r="H28" i="1" s="1"/>
  <c r="R28" i="1" s="1"/>
  <c r="H29" i="1" s="1"/>
  <c r="R29" i="1" s="1"/>
  <c r="H30" i="1" s="1"/>
  <c r="R30" i="1" s="1"/>
  <c r="H28" i="2"/>
  <c r="R28" i="2" s="1"/>
  <c r="I27" i="2" l="1"/>
  <c r="P27" i="1"/>
  <c r="Q27" i="1" s="1"/>
  <c r="I27" i="1"/>
  <c r="H29" i="2"/>
  <c r="R29" i="2" s="1"/>
  <c r="H31" i="1"/>
  <c r="R31" i="1" s="1"/>
  <c r="S27" i="2"/>
  <c r="G28" i="2"/>
  <c r="G28" i="1" l="1"/>
  <c r="S27" i="1"/>
  <c r="H32" i="1"/>
  <c r="R32" i="1" s="1"/>
  <c r="H30" i="2"/>
  <c r="R30" i="2" s="1"/>
  <c r="I28" i="2"/>
  <c r="P28" i="2"/>
  <c r="Q28" i="2" s="1"/>
  <c r="I28" i="1" l="1"/>
  <c r="P28" i="1"/>
  <c r="Q28" i="1" s="1"/>
  <c r="H33" i="1"/>
  <c r="R33" i="1" s="1"/>
  <c r="G29" i="2"/>
  <c r="S28" i="2"/>
  <c r="H31" i="2"/>
  <c r="R31" i="2" s="1"/>
  <c r="S28" i="1" l="1"/>
  <c r="G29" i="1"/>
  <c r="H34" i="1"/>
  <c r="R34" i="1" s="1"/>
  <c r="H32" i="2"/>
  <c r="R32" i="2" s="1"/>
  <c r="P29" i="2"/>
  <c r="Q29" i="2" s="1"/>
  <c r="I29" i="2"/>
  <c r="I29" i="1" l="1"/>
  <c r="P29" i="1"/>
  <c r="Q29" i="1" s="1"/>
  <c r="H35" i="1"/>
  <c r="R35" i="1" s="1"/>
  <c r="H33" i="2"/>
  <c r="R33" i="2" s="1"/>
  <c r="S29" i="2"/>
  <c r="G30" i="2"/>
  <c r="G30" i="1" l="1"/>
  <c r="S29" i="1"/>
  <c r="H34" i="2"/>
  <c r="R34" i="2" s="1"/>
  <c r="H36" i="1"/>
  <c r="R36" i="1" s="1"/>
  <c r="E37" i="1" s="1"/>
  <c r="P30" i="2"/>
  <c r="Q30" i="2" s="1"/>
  <c r="I30" i="2"/>
  <c r="I30" i="1" l="1"/>
  <c r="P30" i="1"/>
  <c r="Q30" i="1" s="1"/>
  <c r="H35" i="2"/>
  <c r="R35" i="2" s="1"/>
  <c r="E36" i="2" s="1"/>
  <c r="S30" i="2"/>
  <c r="G31" i="2"/>
  <c r="S30" i="1" l="1"/>
  <c r="G31" i="1"/>
  <c r="E15" i="3"/>
  <c r="I31" i="2"/>
  <c r="P31" i="2"/>
  <c r="Q31" i="2" s="1"/>
  <c r="I31" i="1" l="1"/>
  <c r="P31" i="1"/>
  <c r="Q31" i="1" s="1"/>
  <c r="G15" i="3"/>
  <c r="H15" i="3" s="1"/>
  <c r="S31" i="2"/>
  <c r="G32" i="2"/>
  <c r="I15" i="3" l="1"/>
  <c r="G16" i="3" s="1"/>
  <c r="S31" i="1"/>
  <c r="G32" i="1"/>
  <c r="P32" i="2"/>
  <c r="Q32" i="2" s="1"/>
  <c r="I32" i="2"/>
  <c r="H16" i="3" l="1"/>
  <c r="I16" i="3" s="1"/>
  <c r="G17" i="3" s="1"/>
  <c r="I32" i="1"/>
  <c r="P32" i="1"/>
  <c r="Q32" i="1" s="1"/>
  <c r="G33" i="2"/>
  <c r="S32" i="2"/>
  <c r="H17" i="3" l="1"/>
  <c r="I17" i="3" s="1"/>
  <c r="G18" i="3" s="1"/>
  <c r="H18" i="3" s="1"/>
  <c r="I18" i="3" s="1"/>
  <c r="S32" i="1"/>
  <c r="G33" i="1"/>
  <c r="P33" i="2"/>
  <c r="Q33" i="2" s="1"/>
  <c r="I33" i="2"/>
  <c r="I33" i="1" l="1"/>
  <c r="P33" i="1"/>
  <c r="Q33" i="1" s="1"/>
  <c r="G19" i="3"/>
  <c r="H19" i="3" s="1"/>
  <c r="I19" i="3" s="1"/>
  <c r="G34" i="2"/>
  <c r="S33" i="2"/>
  <c r="S33" i="1" l="1"/>
  <c r="G34" i="1"/>
  <c r="P34" i="2"/>
  <c r="Q34" i="2" s="1"/>
  <c r="I34" i="2"/>
  <c r="G20" i="3"/>
  <c r="H20" i="3" s="1"/>
  <c r="I20" i="3" s="1"/>
  <c r="P34" i="1" l="1"/>
  <c r="Q34" i="1" s="1"/>
  <c r="I34" i="1"/>
  <c r="G21" i="3"/>
  <c r="H21" i="3" s="1"/>
  <c r="I21" i="3" s="1"/>
  <c r="S34" i="2"/>
  <c r="G35" i="2"/>
  <c r="S34" i="1" l="1"/>
  <c r="G35" i="1"/>
  <c r="I35" i="2"/>
  <c r="P35" i="2"/>
  <c r="Q35" i="2" s="1"/>
  <c r="G22" i="3"/>
  <c r="H22" i="3" s="1"/>
  <c r="I22" i="3" s="1"/>
  <c r="P35" i="1" l="1"/>
  <c r="Q35" i="1" s="1"/>
  <c r="I35" i="1"/>
  <c r="G23" i="3"/>
  <c r="H23" i="3" s="1"/>
  <c r="I23" i="3" s="1"/>
  <c r="G36" i="2"/>
  <c r="S35" i="2"/>
  <c r="S35" i="1" l="1"/>
  <c r="G36" i="1"/>
  <c r="G24" i="3"/>
  <c r="H24" i="3" s="1"/>
  <c r="I24" i="3" s="1"/>
  <c r="I36" i="2"/>
  <c r="P36" i="2"/>
  <c r="Q36" i="2" s="1"/>
  <c r="I36" i="1" l="1"/>
  <c r="P36" i="1"/>
  <c r="Q36" i="1" s="1"/>
  <c r="S36" i="2"/>
  <c r="G37" i="2"/>
  <c r="G25" i="3"/>
  <c r="H25" i="3" s="1"/>
  <c r="I25" i="3" s="1"/>
  <c r="S36" i="1" l="1"/>
  <c r="G37" i="1"/>
  <c r="G26" i="3"/>
  <c r="H26" i="3" s="1"/>
  <c r="I26" i="3" s="1"/>
  <c r="I37" i="2"/>
  <c r="P37" i="2"/>
  <c r="Q37" i="2" s="1"/>
  <c r="I37" i="1" l="1"/>
  <c r="P37" i="1"/>
  <c r="Q37" i="1" s="1"/>
  <c r="G27" i="3"/>
  <c r="H27" i="3" s="1"/>
  <c r="I27" i="3" s="1"/>
  <c r="S37" i="2"/>
  <c r="G38" i="2"/>
  <c r="S37" i="1" l="1"/>
  <c r="G38" i="1"/>
  <c r="P38" i="2"/>
  <c r="Q38" i="2" s="1"/>
  <c r="I38" i="2"/>
  <c r="S38" i="2" s="1"/>
  <c r="I38" i="1" l="1"/>
  <c r="P38" i="1"/>
  <c r="Q38" i="1" s="1"/>
  <c r="J38" i="2"/>
  <c r="I39" i="2"/>
  <c r="S39" i="2" s="1"/>
  <c r="T38" i="2"/>
  <c r="G39" i="2"/>
  <c r="G39" i="1" l="1"/>
  <c r="P39" i="1" s="1"/>
  <c r="Q39" i="1" s="1"/>
  <c r="S38" i="1"/>
  <c r="I40" i="2"/>
  <c r="S40" i="2" s="1"/>
  <c r="J39" i="2"/>
  <c r="P39" i="2"/>
  <c r="Q39" i="2" s="1"/>
  <c r="G40" i="1" l="1"/>
  <c r="P40" i="1" s="1"/>
  <c r="Q40" i="1" s="1"/>
  <c r="I39" i="1"/>
  <c r="J39" i="1" s="1"/>
  <c r="I41" i="2"/>
  <c r="S41" i="2" s="1"/>
  <c r="G40" i="2"/>
  <c r="T39" i="2"/>
  <c r="G41" i="1" l="1"/>
  <c r="P41" i="1" s="1"/>
  <c r="Q41" i="1" s="1"/>
  <c r="S39" i="1"/>
  <c r="P40" i="2"/>
  <c r="Q40" i="2" s="1"/>
  <c r="J40" i="2"/>
  <c r="I42" i="2"/>
  <c r="S42" i="2" s="1"/>
  <c r="I40" i="1" l="1"/>
  <c r="J40" i="1" s="1"/>
  <c r="S40" i="1"/>
  <c r="T39" i="1"/>
  <c r="G42" i="1"/>
  <c r="P42" i="1" s="1"/>
  <c r="Q42" i="1" s="1"/>
  <c r="I43" i="2"/>
  <c r="S43" i="2" s="1"/>
  <c r="T40" i="2"/>
  <c r="G41" i="2"/>
  <c r="T40" i="1" l="1"/>
  <c r="I41" i="1"/>
  <c r="I44" i="2"/>
  <c r="S44" i="2" s="1"/>
  <c r="P41" i="2"/>
  <c r="Q41" i="2" s="1"/>
  <c r="J41" i="2"/>
  <c r="G43" i="1"/>
  <c r="S41" i="1" l="1"/>
  <c r="J41" i="1"/>
  <c r="P43" i="1"/>
  <c r="Q43" i="1" s="1"/>
  <c r="T41" i="2"/>
  <c r="G42" i="2"/>
  <c r="I45" i="2"/>
  <c r="S45" i="2" s="1"/>
  <c r="I42" i="1" l="1"/>
  <c r="T41" i="1"/>
  <c r="I46" i="2"/>
  <c r="S46" i="2" s="1"/>
  <c r="J42" i="2"/>
  <c r="P42" i="2"/>
  <c r="Q42" i="2" s="1"/>
  <c r="G44" i="1"/>
  <c r="S42" i="1" l="1"/>
  <c r="J42" i="1"/>
  <c r="I47" i="2"/>
  <c r="S47" i="2" s="1"/>
  <c r="E48" i="2" s="1"/>
  <c r="P44" i="1"/>
  <c r="Q44" i="1" s="1"/>
  <c r="T42" i="2"/>
  <c r="G43" i="2"/>
  <c r="I43" i="1" l="1"/>
  <c r="T42" i="1"/>
  <c r="G45" i="1"/>
  <c r="P43" i="2"/>
  <c r="Q43" i="2" s="1"/>
  <c r="J43" i="2"/>
  <c r="S43" i="1" l="1"/>
  <c r="J43" i="1"/>
  <c r="G44" i="2"/>
  <c r="T43" i="2"/>
  <c r="P45" i="1"/>
  <c r="Q45" i="1" s="1"/>
  <c r="I44" i="1" l="1"/>
  <c r="T43" i="1"/>
  <c r="P44" i="2"/>
  <c r="Q44" i="2" s="1"/>
  <c r="J44" i="2"/>
  <c r="G46" i="1"/>
  <c r="S44" i="1" l="1"/>
  <c r="J44" i="1"/>
  <c r="P46" i="1"/>
  <c r="Q46" i="1" s="1"/>
  <c r="G45" i="2"/>
  <c r="T44" i="2"/>
  <c r="I45" i="1" l="1"/>
  <c r="T44" i="1"/>
  <c r="G47" i="1"/>
  <c r="P45" i="2"/>
  <c r="Q45" i="2" s="1"/>
  <c r="J45" i="2"/>
  <c r="S45" i="1" l="1"/>
  <c r="J45" i="1"/>
  <c r="T45" i="2"/>
  <c r="G46" i="2"/>
  <c r="P47" i="1"/>
  <c r="Q47" i="1" s="1"/>
  <c r="I46" i="1" l="1"/>
  <c r="T45" i="1"/>
  <c r="J46" i="2"/>
  <c r="P46" i="2"/>
  <c r="Q46" i="2" s="1"/>
  <c r="G48" i="1"/>
  <c r="S46" i="1" l="1"/>
  <c r="J46" i="1"/>
  <c r="T46" i="2"/>
  <c r="G47" i="2"/>
  <c r="P48" i="1"/>
  <c r="Q48" i="1" s="1"/>
  <c r="I47" i="1" l="1"/>
  <c r="T46" i="1"/>
  <c r="P47" i="2"/>
  <c r="Q47" i="2" s="1"/>
  <c r="J47" i="2"/>
  <c r="S47" i="1" l="1"/>
  <c r="J47" i="1"/>
  <c r="G48" i="2"/>
  <c r="T47" i="2"/>
  <c r="I48" i="1" l="1"/>
  <c r="T47" i="1"/>
  <c r="J48" i="2"/>
  <c r="P48" i="2"/>
  <c r="Q48" i="2" s="1"/>
  <c r="S48" i="1" l="1"/>
  <c r="J48" i="1"/>
  <c r="G49" i="2"/>
  <c r="T48" i="2"/>
  <c r="E49" i="1" l="1"/>
  <c r="T48" i="1"/>
  <c r="P49" i="2"/>
  <c r="Q49" i="2" s="1"/>
  <c r="J49" i="2"/>
  <c r="E28" i="3" l="1"/>
  <c r="G28" i="3" s="1"/>
  <c r="H28" i="3" s="1"/>
  <c r="I28" i="3" s="1"/>
  <c r="G29" i="3" s="1"/>
  <c r="H29" i="3" s="1"/>
  <c r="I29" i="3" s="1"/>
  <c r="G30" i="3" s="1"/>
  <c r="H30" i="3" s="1"/>
  <c r="I30" i="3" s="1"/>
  <c r="G31" i="3" s="1"/>
  <c r="H31" i="3" s="1"/>
  <c r="I31" i="3" s="1"/>
  <c r="G32" i="3" s="1"/>
  <c r="H32" i="3" s="1"/>
  <c r="I32" i="3" s="1"/>
  <c r="G33" i="3" s="1"/>
  <c r="H33" i="3" s="1"/>
  <c r="I33" i="3" s="1"/>
  <c r="G34" i="3" s="1"/>
  <c r="H34" i="3" s="1"/>
  <c r="I34" i="3" s="1"/>
  <c r="G35" i="3" s="1"/>
  <c r="H35" i="3" s="1"/>
  <c r="I35" i="3" s="1"/>
  <c r="G36" i="3" s="1"/>
  <c r="H36" i="3" s="1"/>
  <c r="I36" i="3" s="1"/>
  <c r="G37" i="3" s="1"/>
  <c r="H37" i="3" s="1"/>
  <c r="I37" i="3" s="1"/>
  <c r="G38" i="3" s="1"/>
  <c r="H38" i="3" s="1"/>
  <c r="I38" i="3" s="1"/>
  <c r="G39" i="3" s="1"/>
  <c r="H39" i="3" s="1"/>
  <c r="I39" i="3" s="1"/>
  <c r="G49" i="1"/>
  <c r="J49" i="1" s="1"/>
  <c r="T49" i="2"/>
  <c r="G50" i="2"/>
  <c r="P49" i="1" l="1"/>
  <c r="Q49" i="1" s="1"/>
  <c r="G50" i="1"/>
  <c r="T49" i="1"/>
  <c r="G40" i="3"/>
  <c r="H40" i="3" s="1"/>
  <c r="I40" i="3" s="1"/>
  <c r="I41" i="3" s="1"/>
  <c r="J50" i="2"/>
  <c r="K50" i="2" s="1"/>
  <c r="P50" i="2"/>
  <c r="Q50" i="2" s="1"/>
  <c r="P50" i="1" l="1"/>
  <c r="Q50" i="1" s="1"/>
  <c r="J50" i="1"/>
  <c r="T50" i="2"/>
  <c r="J51" i="2" s="1"/>
  <c r="T51" i="2" s="1"/>
  <c r="G42" i="3"/>
  <c r="H42" i="3" s="1"/>
  <c r="I42" i="3" s="1"/>
  <c r="G51" i="2"/>
  <c r="U50" i="2" l="1"/>
  <c r="G51" i="1"/>
  <c r="P51" i="1" s="1"/>
  <c r="Q51" i="1" s="1"/>
  <c r="T50" i="1"/>
  <c r="P51" i="2"/>
  <c r="Q51" i="2" s="1"/>
  <c r="K51" i="2"/>
  <c r="G43" i="3"/>
  <c r="H43" i="3" s="1"/>
  <c r="I43" i="3" s="1"/>
  <c r="J52" i="2"/>
  <c r="T52" i="2" s="1"/>
  <c r="J51" i="1" l="1"/>
  <c r="K51" i="1" s="1"/>
  <c r="G52" i="1"/>
  <c r="J53" i="2"/>
  <c r="T53" i="2" s="1"/>
  <c r="G44" i="3"/>
  <c r="H44" i="3" s="1"/>
  <c r="I44" i="3" s="1"/>
  <c r="U51" i="2"/>
  <c r="G52" i="2"/>
  <c r="P52" i="1" l="1"/>
  <c r="Q52" i="1" s="1"/>
  <c r="T51" i="1"/>
  <c r="G45" i="3"/>
  <c r="H45" i="3" s="1"/>
  <c r="I45" i="3" s="1"/>
  <c r="J54" i="2"/>
  <c r="T54" i="2" s="1"/>
  <c r="P52" i="2"/>
  <c r="Q52" i="2" s="1"/>
  <c r="K52" i="2"/>
  <c r="J52" i="1" l="1"/>
  <c r="U51" i="1"/>
  <c r="G53" i="1"/>
  <c r="G46" i="3"/>
  <c r="H46" i="3" s="1"/>
  <c r="I46" i="3" s="1"/>
  <c r="J55" i="2"/>
  <c r="T55" i="2" s="1"/>
  <c r="U52" i="2"/>
  <c r="G53" i="2"/>
  <c r="P53" i="1" l="1"/>
  <c r="Q53" i="1" s="1"/>
  <c r="T52" i="1"/>
  <c r="K52" i="1"/>
  <c r="G47" i="3"/>
  <c r="H47" i="3" s="1"/>
  <c r="I47" i="3" s="1"/>
  <c r="J56" i="2"/>
  <c r="T56" i="2" s="1"/>
  <c r="K53" i="2"/>
  <c r="P53" i="2"/>
  <c r="Q53" i="2" s="1"/>
  <c r="J53" i="1" l="1"/>
  <c r="U52" i="1"/>
  <c r="G54" i="1"/>
  <c r="U53" i="2"/>
  <c r="G54" i="2"/>
  <c r="J57" i="2"/>
  <c r="T57" i="2" s="1"/>
  <c r="G48" i="3"/>
  <c r="H48" i="3" s="1"/>
  <c r="I48" i="3" s="1"/>
  <c r="P54" i="1" l="1"/>
  <c r="Q54" i="1" s="1"/>
  <c r="T53" i="1"/>
  <c r="K53" i="1"/>
  <c r="G49" i="3"/>
  <c r="H49" i="3" s="1"/>
  <c r="I49" i="3" s="1"/>
  <c r="J58" i="2"/>
  <c r="T58" i="2" s="1"/>
  <c r="P54" i="2"/>
  <c r="Q54" i="2" s="1"/>
  <c r="K54" i="2"/>
  <c r="J54" i="1" l="1"/>
  <c r="U53" i="1"/>
  <c r="G55" i="1"/>
  <c r="J59" i="2"/>
  <c r="T59" i="2" s="1"/>
  <c r="E60" i="2" s="1"/>
  <c r="G50" i="3"/>
  <c r="H50" i="3" s="1"/>
  <c r="I50" i="3" s="1"/>
  <c r="G55" i="2"/>
  <c r="U54" i="2"/>
  <c r="P55" i="1" l="1"/>
  <c r="Q55" i="1" s="1"/>
  <c r="T54" i="1"/>
  <c r="K54" i="1"/>
  <c r="G51" i="3"/>
  <c r="H51" i="3" s="1"/>
  <c r="I51" i="3" s="1"/>
  <c r="P55" i="2"/>
  <c r="Q55" i="2" s="1"/>
  <c r="K55" i="2"/>
  <c r="G56" i="1" l="1"/>
  <c r="J55" i="1"/>
  <c r="U54" i="1"/>
  <c r="G52" i="3"/>
  <c r="H52" i="3" s="1"/>
  <c r="I52" i="3" s="1"/>
  <c r="G56" i="2"/>
  <c r="U55" i="2"/>
  <c r="P56" i="1" l="1"/>
  <c r="Q56" i="1" s="1"/>
  <c r="T55" i="1"/>
  <c r="K55" i="1"/>
  <c r="G53" i="3"/>
  <c r="H53" i="3" s="1"/>
  <c r="I53" i="3" s="1"/>
  <c r="I54" i="3" s="1"/>
  <c r="P56" i="2"/>
  <c r="Q56" i="2" s="1"/>
  <c r="K56" i="2"/>
  <c r="G57" i="1" l="1"/>
  <c r="J56" i="1"/>
  <c r="U55" i="1"/>
  <c r="G55" i="3"/>
  <c r="H55" i="3" s="1"/>
  <c r="I55" i="3" s="1"/>
  <c r="U56" i="2"/>
  <c r="G57" i="2"/>
  <c r="T56" i="1" l="1"/>
  <c r="K56" i="1"/>
  <c r="P57" i="1"/>
  <c r="Q57" i="1" s="1"/>
  <c r="K57" i="2"/>
  <c r="P57" i="2"/>
  <c r="Q57" i="2" s="1"/>
  <c r="G56" i="3"/>
  <c r="H56" i="3" s="1"/>
  <c r="I56" i="3" s="1"/>
  <c r="J57" i="1" l="1"/>
  <c r="U56" i="1"/>
  <c r="G58" i="1"/>
  <c r="G57" i="3"/>
  <c r="H57" i="3" s="1"/>
  <c r="I57" i="3" s="1"/>
  <c r="U57" i="2"/>
  <c r="G58" i="2"/>
  <c r="P58" i="1" l="1"/>
  <c r="Q58" i="1" s="1"/>
  <c r="T57" i="1"/>
  <c r="K57" i="1"/>
  <c r="G58" i="3"/>
  <c r="H58" i="3" s="1"/>
  <c r="I58" i="3" s="1"/>
  <c r="P58" i="2"/>
  <c r="Q58" i="2" s="1"/>
  <c r="K58" i="2"/>
  <c r="J58" i="1" l="1"/>
  <c r="U57" i="1"/>
  <c r="G59" i="1"/>
  <c r="G59" i="3"/>
  <c r="H59" i="3" s="1"/>
  <c r="I59" i="3" s="1"/>
  <c r="G59" i="2"/>
  <c r="U58" i="2"/>
  <c r="T58" i="1" l="1"/>
  <c r="K58" i="1"/>
  <c r="P59" i="1"/>
  <c r="Q59" i="1" s="1"/>
  <c r="G60" i="3"/>
  <c r="H60" i="3" s="1"/>
  <c r="I60" i="3" s="1"/>
  <c r="P59" i="2"/>
  <c r="Q59" i="2" s="1"/>
  <c r="K59" i="2"/>
  <c r="G60" i="1" l="1"/>
  <c r="J59" i="1"/>
  <c r="U58" i="1"/>
  <c r="G61" i="3"/>
  <c r="H61" i="3" s="1"/>
  <c r="I61" i="3" s="1"/>
  <c r="U59" i="2"/>
  <c r="G60" i="2"/>
  <c r="P60" i="1" l="1"/>
  <c r="Q60" i="1" s="1"/>
  <c r="T59" i="1"/>
  <c r="K59" i="1"/>
  <c r="G62" i="3"/>
  <c r="H62" i="3" s="1"/>
  <c r="I62" i="3" s="1"/>
  <c r="P60" i="2"/>
  <c r="Q60" i="2" s="1"/>
  <c r="K60" i="2"/>
  <c r="J60" i="1" l="1"/>
  <c r="U59" i="1"/>
  <c r="G63" i="3"/>
  <c r="H63" i="3" s="1"/>
  <c r="I63" i="3" s="1"/>
  <c r="G61" i="2"/>
  <c r="U60" i="2"/>
  <c r="T60" i="1" l="1"/>
  <c r="K60" i="1"/>
  <c r="G64" i="3"/>
  <c r="H64" i="3" s="1"/>
  <c r="I64" i="3" s="1"/>
  <c r="P61" i="2"/>
  <c r="Q61" i="2" s="1"/>
  <c r="K61" i="2"/>
  <c r="E61" i="1" l="1"/>
  <c r="U60" i="1"/>
  <c r="G65" i="3"/>
  <c r="H65" i="3" s="1"/>
  <c r="I65" i="3" s="1"/>
  <c r="U61" i="2"/>
  <c r="G62" i="2"/>
  <c r="G61" i="1" l="1"/>
  <c r="K61" i="1" s="1"/>
  <c r="G66" i="3"/>
  <c r="H66" i="3" s="1"/>
  <c r="I66" i="3" s="1"/>
  <c r="I67" i="3" s="1"/>
  <c r="K62" i="2"/>
  <c r="U62" i="2" s="1"/>
  <c r="P62" i="2"/>
  <c r="Q62" i="2" s="1"/>
  <c r="P61" i="1" l="1"/>
  <c r="Q61" i="1" s="1"/>
  <c r="G62" i="1"/>
  <c r="U61" i="1"/>
  <c r="L62" i="2"/>
  <c r="K63" i="2"/>
  <c r="U63" i="2" s="1"/>
  <c r="G68" i="3"/>
  <c r="H68" i="3" s="1"/>
  <c r="I68" i="3" s="1"/>
  <c r="V62" i="2"/>
  <c r="G63" i="2"/>
  <c r="P62" i="1" l="1"/>
  <c r="Q62" i="1" s="1"/>
  <c r="K62" i="1"/>
  <c r="K64" i="2"/>
  <c r="U64" i="2" s="1"/>
  <c r="G69" i="3"/>
  <c r="H69" i="3" s="1"/>
  <c r="I69" i="3" s="1"/>
  <c r="L63" i="2"/>
  <c r="P63" i="2"/>
  <c r="Q63" i="2" s="1"/>
  <c r="G63" i="1" l="1"/>
  <c r="U62" i="1"/>
  <c r="K63" i="1" s="1"/>
  <c r="U63" i="1" s="1"/>
  <c r="K64" i="1" s="1"/>
  <c r="U64" i="1" s="1"/>
  <c r="K65" i="1" s="1"/>
  <c r="U65" i="1" s="1"/>
  <c r="K66" i="1" s="1"/>
  <c r="U66" i="1" s="1"/>
  <c r="K67" i="1" s="1"/>
  <c r="U67" i="1" s="1"/>
  <c r="G70" i="3"/>
  <c r="H70" i="3" s="1"/>
  <c r="I70" i="3" s="1"/>
  <c r="V63" i="2"/>
  <c r="G64" i="2"/>
  <c r="K65" i="2"/>
  <c r="U65" i="2" s="1"/>
  <c r="P63" i="1" l="1"/>
  <c r="Q63" i="1" s="1"/>
  <c r="L63" i="1"/>
  <c r="K66" i="2"/>
  <c r="U66" i="2" s="1"/>
  <c r="K68" i="1"/>
  <c r="U68" i="1" s="1"/>
  <c r="G71" i="3"/>
  <c r="H71" i="3" s="1"/>
  <c r="I71" i="3" s="1"/>
  <c r="P64" i="2"/>
  <c r="Q64" i="2" s="1"/>
  <c r="L64" i="2"/>
  <c r="V63" i="1" l="1"/>
  <c r="G64" i="1"/>
  <c r="K69" i="1"/>
  <c r="U69" i="1" s="1"/>
  <c r="G72" i="3"/>
  <c r="H72" i="3" s="1"/>
  <c r="I72" i="3" s="1"/>
  <c r="G65" i="2"/>
  <c r="V64" i="2"/>
  <c r="K67" i="2"/>
  <c r="U67" i="2" s="1"/>
  <c r="L64" i="1" l="1"/>
  <c r="P64" i="1"/>
  <c r="Q64" i="1" s="1"/>
  <c r="K68" i="2"/>
  <c r="U68" i="2" s="1"/>
  <c r="K70" i="1"/>
  <c r="U70" i="1" s="1"/>
  <c r="P65" i="2"/>
  <c r="Q65" i="2" s="1"/>
  <c r="L65" i="2"/>
  <c r="G73" i="3"/>
  <c r="H73" i="3" s="1"/>
  <c r="I73" i="3" s="1"/>
  <c r="V64" i="1" l="1"/>
  <c r="G65" i="1"/>
  <c r="K71" i="1"/>
  <c r="U71" i="1" s="1"/>
  <c r="K69" i="2"/>
  <c r="U69" i="2" s="1"/>
  <c r="G74" i="3"/>
  <c r="H74" i="3" s="1"/>
  <c r="I74" i="3" s="1"/>
  <c r="G66" i="2"/>
  <c r="V65" i="2"/>
  <c r="L65" i="1" l="1"/>
  <c r="P65" i="1"/>
  <c r="Q65" i="1" s="1"/>
  <c r="G75" i="3"/>
  <c r="H75" i="3" s="1"/>
  <c r="I75" i="3" s="1"/>
  <c r="K70" i="2"/>
  <c r="U70" i="2" s="1"/>
  <c r="P66" i="2"/>
  <c r="Q66" i="2" s="1"/>
  <c r="L66" i="2"/>
  <c r="K72" i="1"/>
  <c r="U72" i="1" s="1"/>
  <c r="E73" i="1" s="1"/>
  <c r="V65" i="1" l="1"/>
  <c r="G66" i="1"/>
  <c r="K71" i="2"/>
  <c r="U71" i="2" s="1"/>
  <c r="E72" i="2" s="1"/>
  <c r="G76" i="3"/>
  <c r="H76" i="3" s="1"/>
  <c r="I76" i="3" s="1"/>
  <c r="V66" i="2"/>
  <c r="G67" i="2"/>
  <c r="P66" i="1" l="1"/>
  <c r="Q66" i="1" s="1"/>
  <c r="L66" i="1"/>
  <c r="G77" i="3"/>
  <c r="H77" i="3" s="1"/>
  <c r="I77" i="3" s="1"/>
  <c r="L67" i="2"/>
  <c r="P67" i="2"/>
  <c r="Q67" i="2" s="1"/>
  <c r="V66" i="1" l="1"/>
  <c r="G67" i="1"/>
  <c r="G78" i="3"/>
  <c r="H78" i="3" s="1"/>
  <c r="I78" i="3" s="1"/>
  <c r="V67" i="2"/>
  <c r="G68" i="2"/>
  <c r="L67" i="1" l="1"/>
  <c r="P67" i="1"/>
  <c r="Q67" i="1" s="1"/>
  <c r="G79" i="3"/>
  <c r="H79" i="3" s="1"/>
  <c r="I79" i="3" s="1"/>
  <c r="P68" i="2"/>
  <c r="Q68" i="2" s="1"/>
  <c r="L68" i="2"/>
  <c r="G68" i="1" l="1"/>
  <c r="V67" i="1"/>
  <c r="G69" i="2"/>
  <c r="V68" i="2"/>
  <c r="P68" i="1" l="1"/>
  <c r="Q68" i="1" s="1"/>
  <c r="L68" i="1"/>
  <c r="P69" i="2"/>
  <c r="Q69" i="2" s="1"/>
  <c r="L69" i="2"/>
  <c r="V68" i="1" l="1"/>
  <c r="G69" i="1"/>
  <c r="V69" i="2"/>
  <c r="G70" i="2"/>
  <c r="P69" i="1" l="1"/>
  <c r="Q69" i="1" s="1"/>
  <c r="L69" i="1"/>
  <c r="P70" i="2"/>
  <c r="Q70" i="2" s="1"/>
  <c r="L70" i="2"/>
  <c r="G70" i="1" l="1"/>
  <c r="V69" i="1"/>
  <c r="V70" i="2"/>
  <c r="G71" i="2"/>
  <c r="P70" i="1" l="1"/>
  <c r="Q70" i="1" s="1"/>
  <c r="L70" i="1"/>
  <c r="L71" i="2"/>
  <c r="P71" i="2"/>
  <c r="Q71" i="2" s="1"/>
  <c r="G71" i="1" l="1"/>
  <c r="V70" i="1"/>
  <c r="G72" i="2"/>
  <c r="V71" i="2"/>
  <c r="P71" i="1" l="1"/>
  <c r="Q71" i="1" s="1"/>
  <c r="L71" i="1"/>
  <c r="L72" i="2"/>
  <c r="P72" i="2"/>
  <c r="Q72" i="2" s="1"/>
  <c r="V71" i="1" l="1"/>
  <c r="G72" i="1"/>
  <c r="V72" i="2"/>
  <c r="G73" i="2"/>
  <c r="P72" i="1" l="1"/>
  <c r="Q72" i="1" s="1"/>
  <c r="L72" i="1"/>
  <c r="L73" i="2"/>
  <c r="P73" i="2"/>
  <c r="Q73" i="2" s="1"/>
  <c r="G73" i="1" l="1"/>
  <c r="V72" i="1"/>
  <c r="V73" i="2"/>
  <c r="G74" i="2"/>
  <c r="P73" i="1" l="1"/>
  <c r="Q73" i="1" s="1"/>
  <c r="L73" i="1"/>
  <c r="L74" i="2"/>
  <c r="V74" i="2" s="1"/>
  <c r="P74" i="2"/>
  <c r="Q74" i="2" s="1"/>
  <c r="V73" i="1" l="1"/>
  <c r="G74" i="1"/>
  <c r="M74" i="2"/>
  <c r="L75" i="2"/>
  <c r="V75" i="2" s="1"/>
  <c r="W74" i="2"/>
  <c r="G75" i="2"/>
  <c r="P74" i="1" l="1"/>
  <c r="Q74" i="1" s="1"/>
  <c r="L74" i="1"/>
  <c r="L76" i="2"/>
  <c r="V76" i="2" s="1"/>
  <c r="P75" i="2"/>
  <c r="Q75" i="2" s="1"/>
  <c r="M75" i="2"/>
  <c r="G75" i="1" l="1"/>
  <c r="P75" i="1" s="1"/>
  <c r="Q75" i="1" s="1"/>
  <c r="V74" i="1"/>
  <c r="G76" i="2"/>
  <c r="W75" i="2"/>
  <c r="L77" i="2"/>
  <c r="V77" i="2" s="1"/>
  <c r="G76" i="1" l="1"/>
  <c r="P76" i="1" s="1"/>
  <c r="Q76" i="1" s="1"/>
  <c r="L75" i="1"/>
  <c r="M75" i="1" s="1"/>
  <c r="P76" i="2"/>
  <c r="Q76" i="2" s="1"/>
  <c r="M76" i="2"/>
  <c r="L78" i="2"/>
  <c r="V78" i="2" s="1"/>
  <c r="G77" i="1" l="1"/>
  <c r="P77" i="1" s="1"/>
  <c r="Q77" i="1" s="1"/>
  <c r="V75" i="1"/>
  <c r="L79" i="2"/>
  <c r="V79" i="2" s="1"/>
  <c r="G77" i="2"/>
  <c r="W76" i="2"/>
  <c r="L76" i="1" l="1"/>
  <c r="M76" i="1" s="1"/>
  <c r="V76" i="1"/>
  <c r="W75" i="1"/>
  <c r="G78" i="1"/>
  <c r="P78" i="1" s="1"/>
  <c r="Q78" i="1" s="1"/>
  <c r="L80" i="2"/>
  <c r="V80" i="2" s="1"/>
  <c r="P77" i="2"/>
  <c r="Q77" i="2" s="1"/>
  <c r="M77" i="2"/>
  <c r="G79" i="1" l="1"/>
  <c r="P79" i="1" s="1"/>
  <c r="Q79" i="1" s="1"/>
  <c r="L77" i="1"/>
  <c r="M77" i="1" s="1"/>
  <c r="W76" i="1"/>
  <c r="L81" i="2"/>
  <c r="V81" i="2" s="1"/>
  <c r="W77" i="2"/>
  <c r="G78" i="2"/>
  <c r="V77" i="1" l="1"/>
  <c r="L82" i="2"/>
  <c r="V82" i="2" s="1"/>
  <c r="M78" i="2"/>
  <c r="P78" i="2"/>
  <c r="Q78" i="2" s="1"/>
  <c r="G80" i="1"/>
  <c r="W77" i="1" l="1"/>
  <c r="L78" i="1"/>
  <c r="M78" i="1" s="1"/>
  <c r="L83" i="2"/>
  <c r="V83" i="2" s="1"/>
  <c r="P80" i="1"/>
  <c r="Q80" i="1" s="1"/>
  <c r="W78" i="2"/>
  <c r="G79" i="2"/>
  <c r="V78" i="1" l="1"/>
  <c r="W78" i="1"/>
  <c r="L79" i="1"/>
  <c r="M79" i="1" s="1"/>
  <c r="E84" i="2"/>
  <c r="P79" i="2"/>
  <c r="Q79" i="2" s="1"/>
  <c r="M79" i="2"/>
  <c r="G81" i="1"/>
  <c r="V79" i="1" l="1"/>
  <c r="G80" i="2"/>
  <c r="W79" i="2"/>
  <c r="P81" i="1"/>
  <c r="Q81" i="1" s="1"/>
  <c r="L80" i="1" l="1"/>
  <c r="W79" i="1"/>
  <c r="P80" i="2"/>
  <c r="Q80" i="2" s="1"/>
  <c r="M80" i="2"/>
  <c r="G82" i="1"/>
  <c r="V80" i="1" l="1"/>
  <c r="M80" i="1"/>
  <c r="P82" i="1"/>
  <c r="Q82" i="1" s="1"/>
  <c r="W80" i="2"/>
  <c r="G81" i="2"/>
  <c r="L81" i="1" l="1"/>
  <c r="W80" i="1"/>
  <c r="G83" i="1"/>
  <c r="P81" i="2"/>
  <c r="Q81" i="2" s="1"/>
  <c r="M81" i="2"/>
  <c r="V81" i="1" l="1"/>
  <c r="M81" i="1"/>
  <c r="W81" i="2"/>
  <c r="G82" i="2"/>
  <c r="P83" i="1"/>
  <c r="Q83" i="1" s="1"/>
  <c r="L82" i="1" l="1"/>
  <c r="W81" i="1"/>
  <c r="G84" i="1"/>
  <c r="M82" i="2"/>
  <c r="P82" i="2"/>
  <c r="Q82" i="2" s="1"/>
  <c r="V82" i="1" l="1"/>
  <c r="M82" i="1"/>
  <c r="W82" i="2"/>
  <c r="G83" i="2"/>
  <c r="P84" i="1"/>
  <c r="Q84" i="1" s="1"/>
  <c r="L83" i="1" l="1"/>
  <c r="W82" i="1"/>
  <c r="P83" i="2"/>
  <c r="Q83" i="2" s="1"/>
  <c r="W83" i="2" s="1"/>
  <c r="M83" i="2"/>
  <c r="V83" i="1" l="1"/>
  <c r="M83" i="1"/>
  <c r="G84" i="2"/>
  <c r="L84" i="1" l="1"/>
  <c r="W83" i="1"/>
  <c r="P84" i="2"/>
  <c r="Q84" i="2" s="1"/>
  <c r="M84" i="2"/>
  <c r="V84" i="1" l="1"/>
  <c r="M84" i="1"/>
  <c r="W84" i="2"/>
  <c r="G85" i="2"/>
  <c r="E85" i="1" l="1"/>
  <c r="W84" i="1"/>
  <c r="M85" i="2"/>
  <c r="P85" i="2"/>
  <c r="Q85" i="2" s="1"/>
  <c r="W85" i="2" s="1"/>
  <c r="G85" i="1" l="1"/>
  <c r="M85" i="1" s="1"/>
  <c r="G86" i="2"/>
  <c r="P85" i="1" l="1"/>
  <c r="Q85" i="1" s="1"/>
  <c r="W85" i="1" s="1"/>
  <c r="P86" i="2"/>
  <c r="Q86" i="2" s="1"/>
  <c r="M86" i="2"/>
  <c r="N86" i="2" l="1"/>
  <c r="W86" i="2"/>
  <c r="M87" i="2" s="1"/>
  <c r="W87" i="2" s="1"/>
  <c r="G86" i="1"/>
  <c r="P86" i="1" s="1"/>
  <c r="Q86" i="1" s="1"/>
  <c r="M86" i="1"/>
  <c r="G87" i="2"/>
  <c r="G87" i="1" l="1"/>
  <c r="P87" i="1" s="1"/>
  <c r="Q87" i="1" s="1"/>
  <c r="W86" i="1"/>
  <c r="X86" i="2"/>
  <c r="M88" i="2"/>
  <c r="W88" i="2" s="1"/>
  <c r="P87" i="2"/>
  <c r="Q87" i="2" s="1"/>
  <c r="N87" i="2"/>
  <c r="G88" i="1" l="1"/>
  <c r="P88" i="1" s="1"/>
  <c r="Q88" i="1" s="1"/>
  <c r="M87" i="1"/>
  <c r="N87" i="1" s="1"/>
  <c r="M89" i="2"/>
  <c r="W89" i="2" s="1"/>
  <c r="X87" i="2"/>
  <c r="G88" i="2"/>
  <c r="G89" i="1" l="1"/>
  <c r="P89" i="1" s="1"/>
  <c r="Q89" i="1" s="1"/>
  <c r="W87" i="1"/>
  <c r="M90" i="2"/>
  <c r="W90" i="2" s="1"/>
  <c r="P88" i="2"/>
  <c r="Q88" i="2" s="1"/>
  <c r="N88" i="2"/>
  <c r="G90" i="1" l="1"/>
  <c r="P90" i="1" s="1"/>
  <c r="Q90" i="1" s="1"/>
  <c r="X87" i="1"/>
  <c r="M88" i="1"/>
  <c r="N88" i="1" s="1"/>
  <c r="M91" i="2"/>
  <c r="W91" i="2" s="1"/>
  <c r="X88" i="2"/>
  <c r="G89" i="2"/>
  <c r="W88" i="1" l="1"/>
  <c r="X88" i="1"/>
  <c r="M89" i="1"/>
  <c r="N89" i="1" s="1"/>
  <c r="M92" i="2"/>
  <c r="W92" i="2" s="1"/>
  <c r="G91" i="1"/>
  <c r="P89" i="2"/>
  <c r="Q89" i="2" s="1"/>
  <c r="N89" i="2"/>
  <c r="W89" i="1" l="1"/>
  <c r="M93" i="2"/>
  <c r="W93" i="2" s="1"/>
  <c r="X89" i="2"/>
  <c r="G90" i="2"/>
  <c r="P91" i="1"/>
  <c r="Q91" i="1" s="1"/>
  <c r="X89" i="1" l="1"/>
  <c r="M90" i="1"/>
  <c r="M94" i="2"/>
  <c r="W94" i="2" s="1"/>
  <c r="G92" i="1"/>
  <c r="P90" i="2"/>
  <c r="Q90" i="2" s="1"/>
  <c r="N90" i="2"/>
  <c r="M95" i="2" l="1"/>
  <c r="W95" i="2"/>
  <c r="E96" i="2" s="1"/>
  <c r="W90" i="1"/>
  <c r="N90" i="1"/>
  <c r="X90" i="2"/>
  <c r="G91" i="2"/>
  <c r="P92" i="1"/>
  <c r="Q92" i="1" s="1"/>
  <c r="M91" i="1" l="1"/>
  <c r="X90" i="1"/>
  <c r="P91" i="2"/>
  <c r="Q91" i="2" s="1"/>
  <c r="N91" i="2"/>
  <c r="G93" i="1"/>
  <c r="W91" i="1" l="1"/>
  <c r="N91" i="1"/>
  <c r="P93" i="1"/>
  <c r="Q93" i="1" s="1"/>
  <c r="X91" i="2"/>
  <c r="G92" i="2"/>
  <c r="M92" i="1" l="1"/>
  <c r="X91" i="1"/>
  <c r="P92" i="2"/>
  <c r="Q92" i="2" s="1"/>
  <c r="N92" i="2"/>
  <c r="G94" i="1"/>
  <c r="W92" i="1" l="1"/>
  <c r="N92" i="1"/>
  <c r="P94" i="1"/>
  <c r="Q94" i="1" s="1"/>
  <c r="X92" i="2"/>
  <c r="G93" i="2"/>
  <c r="M93" i="1" l="1"/>
  <c r="X92" i="1"/>
  <c r="P93" i="2"/>
  <c r="Q93" i="2" s="1"/>
  <c r="N93" i="2"/>
  <c r="G95" i="1"/>
  <c r="W93" i="1" l="1"/>
  <c r="N93" i="1"/>
  <c r="P95" i="1"/>
  <c r="Q95" i="1" s="1"/>
  <c r="X93" i="2"/>
  <c r="G94" i="2"/>
  <c r="M94" i="1" l="1"/>
  <c r="X93" i="1"/>
  <c r="P94" i="2"/>
  <c r="Q94" i="2" s="1"/>
  <c r="N94" i="2"/>
  <c r="G96" i="1"/>
  <c r="W94" i="1" l="1"/>
  <c r="N94" i="1"/>
  <c r="P96" i="1"/>
  <c r="Q96" i="1" s="1"/>
  <c r="X94" i="2"/>
  <c r="G95" i="2"/>
  <c r="M95" i="1" l="1"/>
  <c r="X94" i="1"/>
  <c r="P95" i="2"/>
  <c r="Q95" i="2" s="1"/>
  <c r="N95" i="2"/>
  <c r="W95" i="1" l="1"/>
  <c r="N95" i="1"/>
  <c r="X95" i="2"/>
  <c r="G96" i="2"/>
  <c r="M96" i="1" l="1"/>
  <c r="X95" i="1"/>
  <c r="N96" i="2"/>
  <c r="P96" i="2"/>
  <c r="Q96" i="2" s="1"/>
  <c r="W96" i="1" l="1"/>
  <c r="N96" i="1"/>
  <c r="X96" i="2"/>
  <c r="G97" i="2"/>
  <c r="E97" i="1" l="1"/>
  <c r="X96" i="1"/>
  <c r="N97" i="2"/>
  <c r="P97" i="2"/>
  <c r="Q97" i="2" s="1"/>
  <c r="E80" i="3" l="1"/>
  <c r="G80" i="3" s="1"/>
  <c r="H80" i="3" s="1"/>
  <c r="I80" i="3" s="1"/>
  <c r="G97" i="1"/>
  <c r="N97" i="1" s="1"/>
  <c r="X97" i="2"/>
  <c r="G98" i="2"/>
  <c r="P97" i="1" l="1"/>
  <c r="Q97" i="1" s="1"/>
  <c r="G81" i="3"/>
  <c r="H81" i="3" s="1"/>
  <c r="I81" i="3" s="1"/>
  <c r="G82" i="3" s="1"/>
  <c r="H82" i="3" s="1"/>
  <c r="I82" i="3" s="1"/>
  <c r="G83" i="3" s="1"/>
  <c r="H83" i="3" s="1"/>
  <c r="I83" i="3" s="1"/>
  <c r="G84" i="3" s="1"/>
  <c r="H84" i="3" s="1"/>
  <c r="I84" i="3" s="1"/>
  <c r="G85" i="3" s="1"/>
  <c r="H85" i="3" s="1"/>
  <c r="I85" i="3" s="1"/>
  <c r="G86" i="3" s="1"/>
  <c r="H86" i="3" s="1"/>
  <c r="I86" i="3" s="1"/>
  <c r="G87" i="3" s="1"/>
  <c r="H87" i="3" s="1"/>
  <c r="I87" i="3" s="1"/>
  <c r="G88" i="3" s="1"/>
  <c r="H88" i="3" s="1"/>
  <c r="I88" i="3" s="1"/>
  <c r="G89" i="3" s="1"/>
  <c r="H89" i="3" s="1"/>
  <c r="I89" i="3" s="1"/>
  <c r="G90" i="3" s="1"/>
  <c r="H90" i="3" s="1"/>
  <c r="I90" i="3" s="1"/>
  <c r="G91" i="3" s="1"/>
  <c r="H91" i="3" s="1"/>
  <c r="I91" i="3" s="1"/>
  <c r="J3" i="3"/>
  <c r="G98" i="1"/>
  <c r="X97" i="1"/>
  <c r="P98" i="2"/>
  <c r="Q98" i="2" s="1"/>
  <c r="N98" i="2"/>
  <c r="O98" i="2" s="1"/>
  <c r="N98" i="1" l="1"/>
  <c r="P98" i="1"/>
  <c r="Q98" i="1" s="1"/>
  <c r="X98" i="2"/>
  <c r="N99" i="2" s="1"/>
  <c r="X99" i="2" s="1"/>
  <c r="G99" i="2"/>
  <c r="P99" i="2" s="1"/>
  <c r="Q99" i="2" s="1"/>
  <c r="X98" i="1" l="1"/>
  <c r="G99" i="1"/>
  <c r="P99" i="1" s="1"/>
  <c r="Y98" i="2"/>
  <c r="Y99" i="2"/>
  <c r="G100" i="2"/>
  <c r="P100" i="2" s="1"/>
  <c r="Q100" i="2" s="1"/>
  <c r="N100" i="2"/>
  <c r="O99" i="2"/>
  <c r="N99" i="1" l="1"/>
  <c r="O99" i="1" s="1"/>
  <c r="X99" i="1"/>
  <c r="Q99" i="1"/>
  <c r="G100" i="1" s="1"/>
  <c r="P100" i="1" s="1"/>
  <c r="O100" i="2"/>
  <c r="G101" i="2"/>
  <c r="P101" i="2" s="1"/>
  <c r="Q101" i="2" s="1"/>
  <c r="X100" i="2"/>
  <c r="N100" i="1" l="1"/>
  <c r="O100" i="1" s="1"/>
  <c r="Q100" i="1"/>
  <c r="Y99" i="1"/>
  <c r="N101" i="2"/>
  <c r="O101" i="2" s="1"/>
  <c r="Y100" i="2"/>
  <c r="G102" i="2"/>
  <c r="P102" i="2" s="1"/>
  <c r="Q102" i="2" s="1"/>
  <c r="X100" i="1" l="1"/>
  <c r="G101" i="1"/>
  <c r="P101" i="1" s="1"/>
  <c r="Q101" i="1" s="1"/>
  <c r="Y100" i="1"/>
  <c r="X101" i="2"/>
  <c r="N102" i="2" s="1"/>
  <c r="O102" i="2" s="1"/>
  <c r="G103" i="2"/>
  <c r="P103" i="2" s="1"/>
  <c r="Q103" i="2" s="1"/>
  <c r="N101" i="1" l="1"/>
  <c r="X101" i="1"/>
  <c r="G102" i="1"/>
  <c r="Y101" i="1"/>
  <c r="O101" i="1"/>
  <c r="Y101" i="2"/>
  <c r="X102" i="2"/>
  <c r="N103" i="2" s="1"/>
  <c r="O103" i="2" s="1"/>
  <c r="G104" i="2"/>
  <c r="P104" i="2" s="1"/>
  <c r="Q104" i="2" s="1"/>
  <c r="N102" i="1" l="1"/>
  <c r="X102" i="1"/>
  <c r="N103" i="1" s="1"/>
  <c r="X103" i="1" s="1"/>
  <c r="N104" i="1" s="1"/>
  <c r="X104" i="1" s="1"/>
  <c r="N105" i="1" s="1"/>
  <c r="X105" i="1" s="1"/>
  <c r="P102" i="1"/>
  <c r="Q102" i="1" s="1"/>
  <c r="O102" i="1"/>
  <c r="Y102" i="2"/>
  <c r="X103" i="2"/>
  <c r="Y103" i="2" s="1"/>
  <c r="G105" i="2"/>
  <c r="P105" i="2" s="1"/>
  <c r="Q105" i="2" s="1"/>
  <c r="G103" i="1" l="1"/>
  <c r="Y102" i="1"/>
  <c r="N104" i="2"/>
  <c r="O104" i="2" s="1"/>
  <c r="G106" i="2"/>
  <c r="P106" i="2" s="1"/>
  <c r="Q106" i="2" s="1"/>
  <c r="N106" i="1"/>
  <c r="X106" i="1" s="1"/>
  <c r="P103" i="1" l="1"/>
  <c r="Q103" i="1" s="1"/>
  <c r="O103" i="1"/>
  <c r="X104" i="2"/>
  <c r="G107" i="2"/>
  <c r="P107" i="2" s="1"/>
  <c r="Q107" i="2" s="1"/>
  <c r="K113" i="1" s="1"/>
  <c r="N107" i="1"/>
  <c r="X107" i="1" s="1"/>
  <c r="Y103" i="1" l="1"/>
  <c r="G104" i="1"/>
  <c r="Y104" i="2"/>
  <c r="N105" i="2"/>
  <c r="N108" i="1"/>
  <c r="X108" i="1" s="1"/>
  <c r="P104" i="1" l="1"/>
  <c r="Q104" i="1" s="1"/>
  <c r="O104" i="1"/>
  <c r="O105" i="2"/>
  <c r="X105" i="2"/>
  <c r="G105" i="1" l="1"/>
  <c r="Y104" i="1"/>
  <c r="N106" i="2"/>
  <c r="O106" i="2" s="1"/>
  <c r="Y105" i="2"/>
  <c r="O105" i="1" l="1"/>
  <c r="P105" i="1"/>
  <c r="Q105" i="1" s="1"/>
  <c r="X106" i="2"/>
  <c r="Y106" i="2" s="1"/>
  <c r="N107" i="2"/>
  <c r="O107" i="2" s="1"/>
  <c r="G106" i="1" l="1"/>
  <c r="Y105" i="1"/>
  <c r="X107" i="2"/>
  <c r="P106" i="1" l="1"/>
  <c r="Q106" i="1" s="1"/>
  <c r="O106" i="1"/>
  <c r="Y107" i="2"/>
  <c r="G107" i="1" l="1"/>
  <c r="Y106" i="1"/>
  <c r="P107" i="1" l="1"/>
  <c r="Q107" i="1" s="1"/>
  <c r="O107" i="1"/>
  <c r="G108" i="1" l="1"/>
  <c r="Y107" i="1"/>
  <c r="P108" i="1" l="1"/>
  <c r="Q108" i="1" s="1"/>
  <c r="O108" i="1"/>
  <c r="K112" i="1" l="1"/>
  <c r="K114" i="1" s="1"/>
  <c r="Y108" i="1"/>
  <c r="J14" i="14" l="1"/>
  <c r="I14" i="15"/>
  <c r="J14" i="13"/>
  <c r="D15" i="13" l="1"/>
  <c r="E15" i="13" s="1"/>
  <c r="D20" i="13"/>
  <c r="D21" i="13"/>
  <c r="D23" i="13"/>
  <c r="D25" i="13"/>
  <c r="D26" i="13"/>
  <c r="D19" i="13"/>
  <c r="D18" i="13"/>
  <c r="D17" i="13"/>
  <c r="D16" i="13"/>
  <c r="E16" i="13" s="1"/>
  <c r="D22" i="13"/>
  <c r="D24" i="13"/>
  <c r="D15" i="15"/>
  <c r="D18" i="15"/>
  <c r="D24" i="15"/>
  <c r="D26" i="15"/>
  <c r="D19" i="15"/>
  <c r="D20" i="15"/>
  <c r="D23" i="15"/>
  <c r="D21" i="15"/>
  <c r="D17" i="15"/>
  <c r="D25" i="15"/>
  <c r="D22" i="15"/>
  <c r="D16" i="15"/>
  <c r="E15" i="14"/>
  <c r="H15" i="14" s="1"/>
  <c r="I15" i="14" s="1"/>
  <c r="J15" i="14" s="1"/>
  <c r="H16" i="14" s="1"/>
  <c r="I16" i="14" s="1"/>
  <c r="J16" i="14" s="1"/>
  <c r="D20" i="14"/>
  <c r="D16" i="14"/>
  <c r="D24" i="14"/>
  <c r="D26" i="14"/>
  <c r="D18" i="14"/>
  <c r="D15" i="14"/>
  <c r="D19" i="14"/>
  <c r="D25" i="14"/>
  <c r="D21" i="14"/>
  <c r="D23" i="14"/>
  <c r="D22" i="14"/>
  <c r="D17" i="14"/>
  <c r="E19" i="13" l="1"/>
  <c r="E26" i="13"/>
  <c r="E23" i="13"/>
  <c r="E22" i="13"/>
  <c r="E17" i="13"/>
  <c r="H17" i="14"/>
  <c r="I17" i="14" s="1"/>
  <c r="J17" i="14" s="1"/>
  <c r="E25" i="13"/>
  <c r="E24" i="13"/>
  <c r="E18" i="13"/>
  <c r="E21" i="13"/>
  <c r="E20" i="13"/>
  <c r="G17" i="14"/>
  <c r="G15" i="14"/>
  <c r="G16" i="14"/>
  <c r="G18" i="14"/>
  <c r="G19" i="14"/>
  <c r="G20" i="14"/>
  <c r="G21" i="14"/>
  <c r="G22" i="14"/>
  <c r="G23" i="14"/>
  <c r="G24" i="14"/>
  <c r="G25" i="14"/>
  <c r="G26" i="14"/>
  <c r="G15" i="15"/>
  <c r="H18" i="14" l="1"/>
  <c r="I18" i="14" s="1"/>
  <c r="J18" i="14" s="1"/>
  <c r="H15" i="15"/>
  <c r="E27" i="13"/>
  <c r="H19" i="14" l="1"/>
  <c r="I19" i="14" s="1"/>
  <c r="J19" i="14" s="1"/>
  <c r="I15" i="15"/>
  <c r="D27" i="13"/>
  <c r="F30" i="13" s="1"/>
  <c r="F15" i="13" s="1"/>
  <c r="G16" i="15" l="1"/>
  <c r="H20" i="14"/>
  <c r="I20" i="14" s="1"/>
  <c r="J20" i="14" s="1"/>
  <c r="F20" i="13"/>
  <c r="H20" i="13" s="1"/>
  <c r="F19" i="13"/>
  <c r="H19" i="13" s="1"/>
  <c r="F23" i="13"/>
  <c r="H23" i="13" s="1"/>
  <c r="F24" i="13"/>
  <c r="H24" i="13" s="1"/>
  <c r="F25" i="13"/>
  <c r="H25" i="13" s="1"/>
  <c r="H15" i="13"/>
  <c r="I15" i="13" s="1"/>
  <c r="F21" i="13"/>
  <c r="H21" i="13" s="1"/>
  <c r="F26" i="13"/>
  <c r="H26" i="13" s="1"/>
  <c r="F22" i="13"/>
  <c r="H22" i="13" s="1"/>
  <c r="F16" i="13"/>
  <c r="H16" i="13" s="1"/>
  <c r="F17" i="13"/>
  <c r="H17" i="13" s="1"/>
  <c r="F18" i="13"/>
  <c r="H18" i="13" s="1"/>
  <c r="H16" i="15" l="1"/>
  <c r="H21" i="14"/>
  <c r="I21" i="14" s="1"/>
  <c r="J21" i="14" s="1"/>
  <c r="I16" i="13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H22" i="14" l="1"/>
  <c r="I22" i="14" s="1"/>
  <c r="J22" i="14" s="1"/>
  <c r="I16" i="15"/>
  <c r="H23" i="14" l="1"/>
  <c r="I23" i="14" s="1"/>
  <c r="J23" i="14" s="1"/>
  <c r="G17" i="15"/>
  <c r="H17" i="15" l="1"/>
  <c r="H24" i="14"/>
  <c r="I24" i="14" s="1"/>
  <c r="J24" i="14" s="1"/>
  <c r="H25" i="14" l="1"/>
  <c r="I25" i="14" s="1"/>
  <c r="J25" i="14" s="1"/>
  <c r="I17" i="15"/>
  <c r="G18" i="15" l="1"/>
  <c r="H26" i="14"/>
  <c r="I26" i="14" s="1"/>
  <c r="J26" i="14" s="1"/>
  <c r="D38" i="14" l="1"/>
  <c r="E27" i="14"/>
  <c r="D28" i="14"/>
  <c r="D27" i="14"/>
  <c r="D31" i="14"/>
  <c r="D32" i="14"/>
  <c r="D30" i="14"/>
  <c r="D33" i="14"/>
  <c r="D29" i="14"/>
  <c r="D35" i="14"/>
  <c r="D34" i="14"/>
  <c r="D37" i="14"/>
  <c r="D36" i="14"/>
  <c r="H27" i="14"/>
  <c r="I27" i="14" s="1"/>
  <c r="J27" i="14" s="1"/>
  <c r="H18" i="15"/>
  <c r="H28" i="14" l="1"/>
  <c r="I28" i="14" s="1"/>
  <c r="J28" i="14" s="1"/>
  <c r="I18" i="15"/>
  <c r="G31" i="14"/>
  <c r="G30" i="14"/>
  <c r="G37" i="14"/>
  <c r="G28" i="14"/>
  <c r="G38" i="14"/>
  <c r="G34" i="14"/>
  <c r="G35" i="14"/>
  <c r="G27" i="14"/>
  <c r="G32" i="14"/>
  <c r="G29" i="14"/>
  <c r="G36" i="14"/>
  <c r="G33" i="14"/>
  <c r="G19" i="15" l="1"/>
  <c r="H29" i="14"/>
  <c r="I29" i="14" s="1"/>
  <c r="J29" i="14" s="1"/>
  <c r="H30" i="14" l="1"/>
  <c r="I30" i="14" s="1"/>
  <c r="J30" i="14" s="1"/>
  <c r="H19" i="15"/>
  <c r="I19" i="15" l="1"/>
  <c r="H31" i="14"/>
  <c r="I31" i="14" s="1"/>
  <c r="J31" i="14" s="1"/>
  <c r="H32" i="14" l="1"/>
  <c r="I32" i="14" s="1"/>
  <c r="J32" i="14" s="1"/>
  <c r="G20" i="15"/>
  <c r="H20" i="15" s="1"/>
  <c r="I20" i="15" s="1"/>
  <c r="G21" i="15" l="1"/>
  <c r="H21" i="15" s="1"/>
  <c r="I21" i="15" s="1"/>
  <c r="H33" i="14"/>
  <c r="I33" i="14" s="1"/>
  <c r="J33" i="14" s="1"/>
  <c r="H34" i="14" l="1"/>
  <c r="I34" i="14" s="1"/>
  <c r="J34" i="14" s="1"/>
  <c r="G22" i="15"/>
  <c r="H22" i="15" s="1"/>
  <c r="I22" i="15" s="1"/>
  <c r="G23" i="15" l="1"/>
  <c r="H23" i="15" s="1"/>
  <c r="I23" i="15" s="1"/>
  <c r="H35" i="14"/>
  <c r="I35" i="14" s="1"/>
  <c r="J35" i="14" s="1"/>
  <c r="G24" i="15" l="1"/>
  <c r="H24" i="15" s="1"/>
  <c r="I24" i="15" s="1"/>
  <c r="H36" i="14"/>
  <c r="I36" i="14" s="1"/>
  <c r="J36" i="14" s="1"/>
  <c r="G25" i="15" l="1"/>
  <c r="H25" i="15" s="1"/>
  <c r="I25" i="15" s="1"/>
  <c r="H37" i="14"/>
  <c r="I37" i="14" s="1"/>
  <c r="J37" i="14" s="1"/>
  <c r="G26" i="15" l="1"/>
  <c r="H26" i="15" s="1"/>
  <c r="I26" i="15" s="1"/>
  <c r="H38" i="14"/>
  <c r="I38" i="14" s="1"/>
  <c r="J38" i="14" s="1"/>
  <c r="D38" i="15" l="1"/>
  <c r="D27" i="15"/>
  <c r="D36" i="15"/>
  <c r="D28" i="15"/>
  <c r="D34" i="15"/>
  <c r="D29" i="15"/>
  <c r="D32" i="15"/>
  <c r="D37" i="15"/>
  <c r="D30" i="15"/>
  <c r="D35" i="15"/>
  <c r="D33" i="15"/>
  <c r="D31" i="15"/>
  <c r="G27" i="15"/>
  <c r="H27" i="15" s="1"/>
  <c r="I27" i="15" s="1"/>
  <c r="D40" i="14"/>
  <c r="D47" i="14"/>
  <c r="D49" i="14"/>
  <c r="E39" i="14"/>
  <c r="H39" i="14" s="1"/>
  <c r="I39" i="14" s="1"/>
  <c r="J39" i="14" s="1"/>
  <c r="D50" i="14"/>
  <c r="D46" i="14"/>
  <c r="D41" i="14"/>
  <c r="D45" i="14"/>
  <c r="D39" i="14"/>
  <c r="D44" i="14"/>
  <c r="D48" i="14"/>
  <c r="D43" i="14"/>
  <c r="D42" i="14"/>
  <c r="G28" i="15" l="1"/>
  <c r="H28" i="15" s="1"/>
  <c r="I28" i="15" s="1"/>
  <c r="H40" i="14"/>
  <c r="I40" i="14" s="1"/>
  <c r="J40" i="14" s="1"/>
  <c r="G48" i="14"/>
  <c r="G42" i="14"/>
  <c r="G39" i="14"/>
  <c r="G43" i="14"/>
  <c r="G40" i="14"/>
  <c r="G41" i="14"/>
  <c r="G47" i="14"/>
  <c r="G46" i="14"/>
  <c r="G45" i="14"/>
  <c r="G44" i="14"/>
  <c r="G49" i="14"/>
  <c r="G50" i="14"/>
  <c r="G29" i="15" l="1"/>
  <c r="H29" i="15" s="1"/>
  <c r="I29" i="15" s="1"/>
  <c r="G30" i="15" s="1"/>
  <c r="H30" i="15" s="1"/>
  <c r="I30" i="15" s="1"/>
  <c r="H41" i="14"/>
  <c r="I41" i="14" s="1"/>
  <c r="J41" i="14" s="1"/>
  <c r="H42" i="14" l="1"/>
  <c r="I42" i="14" s="1"/>
  <c r="J42" i="14" s="1"/>
  <c r="G31" i="15"/>
  <c r="H31" i="15" s="1"/>
  <c r="I31" i="15" s="1"/>
  <c r="G32" i="15" l="1"/>
  <c r="H32" i="15" s="1"/>
  <c r="I32" i="15" s="1"/>
  <c r="H43" i="14"/>
  <c r="I43" i="14" s="1"/>
  <c r="J43" i="14" s="1"/>
  <c r="H44" i="14" l="1"/>
  <c r="I44" i="14" s="1"/>
  <c r="J44" i="14" s="1"/>
  <c r="G33" i="15"/>
  <c r="H33" i="15" s="1"/>
  <c r="I33" i="15" s="1"/>
  <c r="H45" i="14" l="1"/>
  <c r="I45" i="14" s="1"/>
  <c r="J45" i="14" s="1"/>
  <c r="G34" i="15"/>
  <c r="H34" i="15" s="1"/>
  <c r="I34" i="15" s="1"/>
  <c r="H46" i="14" l="1"/>
  <c r="I46" i="14" s="1"/>
  <c r="J46" i="14" s="1"/>
  <c r="G35" i="15"/>
  <c r="H35" i="15" s="1"/>
  <c r="I35" i="15" s="1"/>
  <c r="H47" i="14" l="1"/>
  <c r="I47" i="14" s="1"/>
  <c r="J47" i="14" s="1"/>
  <c r="G36" i="15"/>
  <c r="H36" i="15" s="1"/>
  <c r="I36" i="15" s="1"/>
  <c r="H48" i="14" l="1"/>
  <c r="I48" i="14" s="1"/>
  <c r="J48" i="14" s="1"/>
  <c r="G37" i="15"/>
  <c r="H37" i="15" s="1"/>
  <c r="I37" i="15" s="1"/>
  <c r="H49" i="14" l="1"/>
  <c r="I49" i="14" s="1"/>
  <c r="J49" i="14" s="1"/>
  <c r="G38" i="15"/>
  <c r="H38" i="15" s="1"/>
  <c r="I38" i="15" s="1"/>
  <c r="H50" i="14" l="1"/>
  <c r="I50" i="14" s="1"/>
  <c r="J50" i="14" s="1"/>
  <c r="D39" i="15"/>
  <c r="D43" i="15"/>
  <c r="D50" i="15"/>
  <c r="D42" i="15"/>
  <c r="D49" i="15"/>
  <c r="D41" i="15"/>
  <c r="D48" i="15"/>
  <c r="D40" i="15"/>
  <c r="D46" i="15"/>
  <c r="D47" i="15"/>
  <c r="D44" i="15"/>
  <c r="D45" i="15"/>
  <c r="G39" i="15"/>
  <c r="H39" i="15" s="1"/>
  <c r="I39" i="15" s="1"/>
  <c r="D54" i="14" l="1"/>
  <c r="D62" i="14"/>
  <c r="D61" i="14"/>
  <c r="D58" i="14"/>
  <c r="D57" i="14"/>
  <c r="D55" i="14"/>
  <c r="D60" i="14"/>
  <c r="E51" i="14"/>
  <c r="D52" i="14"/>
  <c r="D53" i="14"/>
  <c r="D51" i="14"/>
  <c r="D56" i="14"/>
  <c r="D59" i="14"/>
  <c r="G40" i="15"/>
  <c r="H40" i="15" s="1"/>
  <c r="I40" i="15" s="1"/>
  <c r="G41" i="15" l="1"/>
  <c r="H41" i="15" s="1"/>
  <c r="I41" i="15" s="1"/>
  <c r="G52" i="14"/>
  <c r="D64" i="14"/>
  <c r="E64" i="14"/>
  <c r="G54" i="14"/>
  <c r="G61" i="14"/>
  <c r="G57" i="14"/>
  <c r="G56" i="14"/>
  <c r="G59" i="14"/>
  <c r="G53" i="14"/>
  <c r="G51" i="14"/>
  <c r="G60" i="14"/>
  <c r="G62" i="14"/>
  <c r="G55" i="14"/>
  <c r="G58" i="14"/>
  <c r="H51" i="14"/>
  <c r="I51" i="14" s="1"/>
  <c r="J51" i="14" s="1"/>
  <c r="G42" i="15" l="1"/>
  <c r="H42" i="15" s="1"/>
  <c r="I42" i="15" s="1"/>
  <c r="G64" i="14"/>
  <c r="H52" i="14"/>
  <c r="I52" i="14" s="1"/>
  <c r="J52" i="14" s="1"/>
  <c r="H53" i="14" l="1"/>
  <c r="I53" i="14" s="1"/>
  <c r="J53" i="14" s="1"/>
  <c r="G43" i="15"/>
  <c r="H43" i="15" s="1"/>
  <c r="I43" i="15" s="1"/>
  <c r="G44" i="15" l="1"/>
  <c r="H44" i="15" s="1"/>
  <c r="I44" i="15" s="1"/>
  <c r="H54" i="14"/>
  <c r="I54" i="14" s="1"/>
  <c r="J54" i="14" s="1"/>
  <c r="H55" i="14" l="1"/>
  <c r="I55" i="14" s="1"/>
  <c r="J55" i="14" s="1"/>
  <c r="G45" i="15"/>
  <c r="H45" i="15" s="1"/>
  <c r="I45" i="15" s="1"/>
  <c r="G46" i="15" l="1"/>
  <c r="H46" i="15" s="1"/>
  <c r="I46" i="15" s="1"/>
  <c r="H56" i="14"/>
  <c r="I56" i="14" s="1"/>
  <c r="J56" i="14" s="1"/>
  <c r="H57" i="14" l="1"/>
  <c r="I57" i="14" s="1"/>
  <c r="J57" i="14" s="1"/>
  <c r="G47" i="15"/>
  <c r="H47" i="15" s="1"/>
  <c r="I47" i="15" s="1"/>
  <c r="H58" i="14" l="1"/>
  <c r="I58" i="14" s="1"/>
  <c r="J58" i="14" s="1"/>
  <c r="G48" i="15"/>
  <c r="H48" i="15" s="1"/>
  <c r="I48" i="15" s="1"/>
  <c r="G49" i="15" l="1"/>
  <c r="H49" i="15" s="1"/>
  <c r="I49" i="15" s="1"/>
  <c r="H59" i="14"/>
  <c r="I59" i="14" s="1"/>
  <c r="J59" i="14" s="1"/>
  <c r="H60" i="14" l="1"/>
  <c r="G50" i="15"/>
  <c r="H50" i="15" s="1"/>
  <c r="I50" i="15" s="1"/>
  <c r="D62" i="15" l="1"/>
  <c r="D54" i="15"/>
  <c r="D61" i="15"/>
  <c r="D53" i="15"/>
  <c r="D60" i="15"/>
  <c r="D52" i="15"/>
  <c r="D59" i="15"/>
  <c r="D51" i="15"/>
  <c r="G51" i="15" s="1"/>
  <c r="H51" i="15" s="1"/>
  <c r="I51" i="15" s="1"/>
  <c r="D58" i="15"/>
  <c r="D57" i="15"/>
  <c r="D55" i="15"/>
  <c r="D56" i="15"/>
  <c r="I60" i="14"/>
  <c r="D64" i="15" l="1"/>
  <c r="G52" i="15"/>
  <c r="H52" i="15" s="1"/>
  <c r="I52" i="15" s="1"/>
  <c r="J60" i="14"/>
  <c r="G53" i="15" l="1"/>
  <c r="H53" i="15" s="1"/>
  <c r="I53" i="15" s="1"/>
  <c r="H61" i="14"/>
  <c r="G54" i="15" l="1"/>
  <c r="H54" i="15" s="1"/>
  <c r="I54" i="15" s="1"/>
  <c r="I61" i="14"/>
  <c r="G55" i="15" l="1"/>
  <c r="H55" i="15" s="1"/>
  <c r="I55" i="15" s="1"/>
  <c r="J61" i="14"/>
  <c r="H62" i="14" l="1"/>
  <c r="G56" i="15"/>
  <c r="H56" i="15" s="1"/>
  <c r="I56" i="15" s="1"/>
  <c r="G57" i="15" l="1"/>
  <c r="H57" i="15" s="1"/>
  <c r="I57" i="15" s="1"/>
  <c r="I62" i="14"/>
  <c r="H64" i="14"/>
  <c r="I66" i="14" l="1"/>
  <c r="I67" i="14" s="1"/>
  <c r="G58" i="15"/>
  <c r="H58" i="15" s="1"/>
  <c r="I58" i="15" s="1"/>
  <c r="I64" i="14"/>
  <c r="J62" i="14"/>
  <c r="G59" i="15" l="1"/>
  <c r="H59" i="15" s="1"/>
  <c r="I59" i="15" s="1"/>
  <c r="G60" i="15" l="1"/>
  <c r="H60" i="15" s="1"/>
  <c r="I60" i="15" s="1"/>
  <c r="G61" i="15" l="1"/>
  <c r="H61" i="15" s="1"/>
  <c r="I61" i="15" s="1"/>
  <c r="G62" i="15" l="1"/>
  <c r="H62" i="15" l="1"/>
  <c r="G64" i="15"/>
  <c r="H66" i="15" s="1"/>
  <c r="H67" i="15" s="1"/>
  <c r="H64" i="15" l="1"/>
  <c r="I62" i="15"/>
</calcChain>
</file>

<file path=xl/comments1.xml><?xml version="1.0" encoding="utf-8"?>
<comments xmlns="http://schemas.openxmlformats.org/spreadsheetml/2006/main">
  <authors>
    <author>Taylor, Marsha</author>
  </authors>
  <commentList>
    <comment ref="F104" authorId="0" shapeId="0">
      <text>
        <r>
          <rPr>
            <b/>
            <sz val="9"/>
            <color indexed="81"/>
            <rFont val="Tahoma"/>
            <family val="2"/>
          </rPr>
          <t>Taylor, Marsha:</t>
        </r>
        <r>
          <rPr>
            <sz val="9"/>
            <color indexed="81"/>
            <rFont val="Tahoma"/>
            <family val="2"/>
          </rPr>
          <t xml:space="preserve">
These FERC rates changed in July and again October</t>
        </r>
      </text>
    </comment>
  </commentList>
</comments>
</file>

<file path=xl/comments2.xml><?xml version="1.0" encoding="utf-8"?>
<comments xmlns="http://schemas.openxmlformats.org/spreadsheetml/2006/main">
  <authors>
    <author>Taylor, Marsha</author>
  </authors>
  <commentList>
    <comment ref="D84" authorId="0" shapeId="0">
      <text>
        <r>
          <rPr>
            <b/>
            <sz val="9"/>
            <color indexed="81"/>
            <rFont val="Tahoma"/>
            <family val="2"/>
          </rPr>
          <t>Taylor, Marsha:</t>
        </r>
        <r>
          <rPr>
            <sz val="9"/>
            <color indexed="81"/>
            <rFont val="Tahoma"/>
            <family val="2"/>
          </rPr>
          <t xml:space="preserve">
I updated these amounts to actuals, and for Sept and Oct the forecasted amounts
</t>
        </r>
      </text>
    </comment>
    <comment ref="F88" authorId="0" shapeId="0">
      <text>
        <r>
          <rPr>
            <b/>
            <sz val="9"/>
            <color indexed="81"/>
            <rFont val="Tahoma"/>
            <family val="2"/>
          </rPr>
          <t>Taylor, Marsha:</t>
        </r>
        <r>
          <rPr>
            <sz val="9"/>
            <color indexed="81"/>
            <rFont val="Tahoma"/>
            <family val="2"/>
          </rPr>
          <t xml:space="preserve">
Updated FERC interest rates</t>
        </r>
      </text>
    </comment>
  </commentList>
</comments>
</file>

<file path=xl/sharedStrings.xml><?xml version="1.0" encoding="utf-8"?>
<sst xmlns="http://schemas.openxmlformats.org/spreadsheetml/2006/main" count="2256" uniqueCount="347">
  <si>
    <t>Company:</t>
  </si>
  <si>
    <t>Northwest Natural Gas Company</t>
  </si>
  <si>
    <t>State:</t>
  </si>
  <si>
    <t>Washington</t>
  </si>
  <si>
    <t>Description:</t>
  </si>
  <si>
    <t>Washington Energy Efficiency Programs - General Admin</t>
  </si>
  <si>
    <t>Account Number:</t>
  </si>
  <si>
    <t>Other Info:</t>
  </si>
  <si>
    <t>Program under Schedule G</t>
  </si>
  <si>
    <t>Temp Increment under Schedule 215</t>
  </si>
  <si>
    <t>Debit    (Credit)</t>
  </si>
  <si>
    <t>Interest</t>
  </si>
  <si>
    <t>Calendar</t>
  </si>
  <si>
    <t>Total</t>
  </si>
  <si>
    <t xml:space="preserve">Month/Year </t>
  </si>
  <si>
    <t>Note</t>
  </si>
  <si>
    <t>Deferral</t>
  </si>
  <si>
    <t>Transfers</t>
  </si>
  <si>
    <t>Rate</t>
  </si>
  <si>
    <t>Activity</t>
  </si>
  <si>
    <t>Balance</t>
  </si>
  <si>
    <t>(a)</t>
  </si>
  <si>
    <t>(b)</t>
  </si>
  <si>
    <t>(c)</t>
  </si>
  <si>
    <t>(d)</t>
  </si>
  <si>
    <t>(e1)</t>
  </si>
  <si>
    <t>(e2)</t>
  </si>
  <si>
    <t>(e3)</t>
  </si>
  <si>
    <t>(e4)</t>
  </si>
  <si>
    <t>(e5)</t>
  </si>
  <si>
    <t>(e6)</t>
  </si>
  <si>
    <t>(f)</t>
  </si>
  <si>
    <t>(g1)</t>
  </si>
  <si>
    <t>(g2)</t>
  </si>
  <si>
    <t>(g3)</t>
  </si>
  <si>
    <t>(g4)</t>
  </si>
  <si>
    <t>(g5)</t>
  </si>
  <si>
    <t>Beginning Balance</t>
  </si>
  <si>
    <t>1</t>
  </si>
  <si>
    <t>2</t>
  </si>
  <si>
    <t>Notes:</t>
  </si>
  <si>
    <t>Washington Energy Efficiency - Res &amp; Comm</t>
  </si>
  <si>
    <t>Program under Schedules G</t>
  </si>
  <si>
    <t>Washington DSM Amortization</t>
  </si>
  <si>
    <t>Amortization</t>
  </si>
  <si>
    <t>Interest Rate</t>
  </si>
  <si>
    <t>(g)</t>
  </si>
  <si>
    <t>old rates</t>
  </si>
  <si>
    <r>
      <t xml:space="preserve">new rates </t>
    </r>
    <r>
      <rPr>
        <b/>
        <sz val="10"/>
        <rFont val="Tahoma"/>
        <family val="2"/>
      </rPr>
      <t>(1)</t>
    </r>
  </si>
  <si>
    <r>
      <t xml:space="preserve">new </t>
    </r>
    <r>
      <rPr>
        <b/>
        <sz val="10"/>
        <rFont val="Tahoma"/>
        <family val="2"/>
      </rPr>
      <t>(1)</t>
    </r>
  </si>
  <si>
    <t>old</t>
  </si>
  <si>
    <t>Notes</t>
  </si>
  <si>
    <t>(g6)</t>
  </si>
  <si>
    <t>(g7)</t>
  </si>
  <si>
    <t>(g8)</t>
  </si>
  <si>
    <t>(g9)</t>
  </si>
  <si>
    <t>(e7)</t>
  </si>
  <si>
    <t>(e8)</t>
  </si>
  <si>
    <t>(e9)</t>
  </si>
  <si>
    <t>(e10)</t>
  </si>
  <si>
    <r>
      <rPr>
        <b/>
        <sz val="10"/>
        <rFont val="Tahoma"/>
        <family val="2"/>
      </rPr>
      <t xml:space="preserve">1 - </t>
    </r>
    <r>
      <rPr>
        <sz val="10"/>
        <rFont val="Tahoma"/>
        <family val="2"/>
      </rPr>
      <t xml:space="preserve">Transferred December  deferral balance of prior year plus current year interest on the balance to account 186316 for amortization. </t>
    </r>
  </si>
  <si>
    <t xml:space="preserve">     prior activity.  </t>
  </si>
  <si>
    <r>
      <rPr>
        <b/>
        <sz val="10"/>
        <rFont val="Tahoma"/>
        <family val="2"/>
      </rPr>
      <t>3</t>
    </r>
    <r>
      <rPr>
        <sz val="10"/>
        <rFont val="Tahoma"/>
        <family val="2"/>
      </rPr>
      <t xml:space="preserve"> - In addition, as the FERC rate for July 2019 through December 2019 is based on the published Second Quarter 2019 rate as Third </t>
    </r>
  </si>
  <si>
    <t xml:space="preserve">     and Fourth Quarter rates are not yet published.</t>
  </si>
  <si>
    <t>2, 3</t>
  </si>
  <si>
    <r>
      <rPr>
        <b/>
        <sz val="10"/>
        <rFont val="Tahoma"/>
        <family val="2"/>
      </rPr>
      <t>2</t>
    </r>
    <r>
      <rPr>
        <sz val="10"/>
        <rFont val="Tahoma"/>
        <family val="2"/>
      </rPr>
      <t xml:space="preserve"> - Deferrals for future periods cannot be estimated as amounts vary by month.  The activity for these periods represents interest on </t>
    </r>
  </si>
  <si>
    <r>
      <rPr>
        <b/>
        <sz val="10"/>
        <rFont val="Tahoma"/>
        <family val="2"/>
      </rPr>
      <t>2</t>
    </r>
    <r>
      <rPr>
        <sz val="10"/>
        <rFont val="Tahoma"/>
        <family val="2"/>
      </rPr>
      <t xml:space="preserve"> - Transferred December  deferral balance of prior year plus current year interest on the balance to account 186316 for amortization. </t>
    </r>
  </si>
  <si>
    <r>
      <rPr>
        <b/>
        <sz val="10"/>
        <rFont val="Tahoma"/>
        <family val="2"/>
      </rPr>
      <t xml:space="preserve">1 - </t>
    </r>
    <r>
      <rPr>
        <sz val="10"/>
        <rFont val="Tahoma"/>
        <family val="2"/>
      </rPr>
      <t>Deferral represents a contractual payment to the Energy Trust of Oregon.</t>
    </r>
  </si>
  <si>
    <t>4</t>
  </si>
  <si>
    <r>
      <rPr>
        <b/>
        <sz val="10"/>
        <rFont val="Tahoma"/>
        <family val="2"/>
      </rPr>
      <t>4</t>
    </r>
    <r>
      <rPr>
        <sz val="10"/>
        <rFont val="Tahoma"/>
        <family val="2"/>
      </rPr>
      <t xml:space="preserve"> - Deferral represents expected payment to the Energy Trust of Oregon based on the 2019 contractual funding schedule.</t>
    </r>
  </si>
  <si>
    <r>
      <rPr>
        <b/>
        <sz val="10"/>
        <rFont val="Tahoma"/>
        <family val="2"/>
      </rPr>
      <t>3</t>
    </r>
    <r>
      <rPr>
        <sz val="10"/>
        <rFont val="Tahoma"/>
        <family val="2"/>
      </rPr>
      <t xml:space="preserve"> - Deferral represents a contractual payment to the Northwest Energy Efficiency Alliance.</t>
    </r>
  </si>
  <si>
    <r>
      <rPr>
        <b/>
        <sz val="10"/>
        <rFont val="Tahoma"/>
        <family val="2"/>
      </rPr>
      <t>5</t>
    </r>
    <r>
      <rPr>
        <sz val="10"/>
        <rFont val="Tahoma"/>
        <family val="2"/>
      </rPr>
      <t xml:space="preserve"> - Deferral represents expected payment to the Northwest Energy Efficiency Alliance based on the 2019 contractual funding schedule.</t>
    </r>
  </si>
  <si>
    <t>4, 5</t>
  </si>
  <si>
    <t>5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</si>
  <si>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represents amounts from accounts 186310 and 186312 approved for amortization.</t>
    </r>
  </si>
  <si>
    <t>UTC Staff DR 164, Part D</t>
  </si>
  <si>
    <t>2/28/19 remaining balance to be collected</t>
  </si>
  <si>
    <t>NW Natural</t>
  </si>
  <si>
    <t>Rates &amp; Regulatory Affairs</t>
  </si>
  <si>
    <t>2018-2019 PGA Filing - Washington: September Filing</t>
  </si>
  <si>
    <t>Amortization Rates are calculated by taking the Temporary Adjustment Rate and multiplying by 1 minus the revenue sensitive rate of 4.372% and taking the opposite sign</t>
  </si>
  <si>
    <t>State</t>
  </si>
  <si>
    <t>Block</t>
  </si>
  <si>
    <t>1R (R01)</t>
  </si>
  <si>
    <t>WA</t>
  </si>
  <si>
    <t xml:space="preserve">R01  </t>
  </si>
  <si>
    <t>1C (C01)</t>
  </si>
  <si>
    <t xml:space="preserve">C01  </t>
  </si>
  <si>
    <t>2R (R02)</t>
  </si>
  <si>
    <t xml:space="preserve">R02  </t>
  </si>
  <si>
    <t>3 CFS (C03)</t>
  </si>
  <si>
    <t xml:space="preserve">C03  </t>
  </si>
  <si>
    <t>3 IFS (I03)</t>
  </si>
  <si>
    <t xml:space="preserve">I03  </t>
  </si>
  <si>
    <t xml:space="preserve">R27  </t>
  </si>
  <si>
    <t>41C Firm Sales</t>
  </si>
  <si>
    <t>C41SF</t>
  </si>
  <si>
    <t>Block 1</t>
  </si>
  <si>
    <t>Block 2</t>
  </si>
  <si>
    <t>41C Interr Sales</t>
  </si>
  <si>
    <t>C41SI</t>
  </si>
  <si>
    <t>41I Firm Trans</t>
  </si>
  <si>
    <t>I41TF</t>
  </si>
  <si>
    <t>41C Firm Trans</t>
  </si>
  <si>
    <t>C41TF</t>
  </si>
  <si>
    <t>41I Firm Sales</t>
  </si>
  <si>
    <t>I41SF</t>
  </si>
  <si>
    <t>41I Interr Sales</t>
  </si>
  <si>
    <t>I41SI</t>
  </si>
  <si>
    <t>42C Firm Sales</t>
  </si>
  <si>
    <t>C42SF</t>
  </si>
  <si>
    <t>Block 3</t>
  </si>
  <si>
    <t>Block 4</t>
  </si>
  <si>
    <t>Block 5</t>
  </si>
  <si>
    <t>Block 6</t>
  </si>
  <si>
    <t>42I Firm Sales</t>
  </si>
  <si>
    <t>I42SF</t>
  </si>
  <si>
    <t>42C Firm Trans</t>
  </si>
  <si>
    <t>C42TF</t>
  </si>
  <si>
    <t>42I Firm Trans</t>
  </si>
  <si>
    <t>I42TF</t>
  </si>
  <si>
    <t>42C Interr Sales</t>
  </si>
  <si>
    <t>C42SI</t>
  </si>
  <si>
    <t>42I Interr Sales</t>
  </si>
  <si>
    <t>I42SI</t>
  </si>
  <si>
    <t>42C Inter Trans</t>
  </si>
  <si>
    <t>C42TI</t>
  </si>
  <si>
    <t>42I Inter Trans</t>
  </si>
  <si>
    <t>I42TI</t>
  </si>
  <si>
    <t>Rates</t>
  </si>
  <si>
    <t>Rate Schedule</t>
  </si>
  <si>
    <t>Summary of Residential and Commercial Efficiency Amortization</t>
  </si>
  <si>
    <t>Volumes (therms)</t>
  </si>
  <si>
    <t>Nov 2018 (new)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</si>
  <si>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</si>
  <si>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</si>
  <si>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</si>
  <si>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</si>
  <si>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</si>
  <si>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</si>
  <si>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</si>
  <si>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</si>
  <si>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</si>
  <si>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</si>
  <si>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</si>
  <si>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Actuals</t>
  </si>
  <si>
    <t>Forecast</t>
  </si>
  <si>
    <t>R&amp;C EE</t>
  </si>
  <si>
    <t>TOTAL</t>
  </si>
  <si>
    <t>Nov 2019 (old)</t>
  </si>
  <si>
    <t>N/A</t>
  </si>
  <si>
    <t>VOLUMES</t>
  </si>
  <si>
    <t>Test Period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</si>
  <si>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</si>
  <si>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</si>
  <si>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</si>
  <si>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</si>
  <si>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</si>
  <si>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</si>
  <si>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</si>
  <si>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</si>
  <si>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</si>
  <si>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</si>
  <si>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</si>
  <si>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</si>
  <si>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Sales</t>
  </si>
  <si>
    <t>Residential - 1</t>
  </si>
  <si>
    <t>Residential - 2</t>
  </si>
  <si>
    <t>Commercial - 1</t>
  </si>
  <si>
    <t>Commercial - 3</t>
  </si>
  <si>
    <t>Commercial - 27</t>
  </si>
  <si>
    <t>41 CFS Block 1</t>
  </si>
  <si>
    <t>41 CFS Block 2</t>
  </si>
  <si>
    <t>Commercial - 41</t>
  </si>
  <si>
    <t>42 CFS Block 1</t>
  </si>
  <si>
    <t>42 CFS Block 2</t>
  </si>
  <si>
    <t>42 CFS Block 3</t>
  </si>
  <si>
    <t>42 CFS Block 4</t>
  </si>
  <si>
    <t>42 CFS Block 5</t>
  </si>
  <si>
    <t>42 CFS Block 6</t>
  </si>
  <si>
    <t>Commercial - 42</t>
  </si>
  <si>
    <t>Industrial - 3</t>
  </si>
  <si>
    <t>41 IFS Block 1</t>
  </si>
  <si>
    <t>41 IFS Block 2</t>
  </si>
  <si>
    <t>Industrial - 41</t>
  </si>
  <si>
    <t>42 IFS Block 1</t>
  </si>
  <si>
    <t>42 IFS Block 2</t>
  </si>
  <si>
    <t>42 IFS Block 3</t>
  </si>
  <si>
    <t>42 IFS Block 4</t>
  </si>
  <si>
    <t>42 IFS Block 5</t>
  </si>
  <si>
    <t>42 IFS Block 6</t>
  </si>
  <si>
    <t>Industrial - 42</t>
  </si>
  <si>
    <t>42 IIS Block 1</t>
  </si>
  <si>
    <t>42 IIS Block 2</t>
  </si>
  <si>
    <t>42 IIS Block 3</t>
  </si>
  <si>
    <t>42 IIS Block 4</t>
  </si>
  <si>
    <t>42 IIS Block 5</t>
  </si>
  <si>
    <t>42 IIS Block 6</t>
  </si>
  <si>
    <t>Interruptible - 42</t>
  </si>
  <si>
    <t>Transp</t>
  </si>
  <si>
    <t>41 CFT Block 1</t>
  </si>
  <si>
    <t>41 CFT Block 2</t>
  </si>
  <si>
    <t>42 CFT Block 1</t>
  </si>
  <si>
    <t>42 CFT Block 2</t>
  </si>
  <si>
    <t>42 CFT Block 3</t>
  </si>
  <si>
    <t>42 CFT Block 4</t>
  </si>
  <si>
    <t>42 CFT Block 5</t>
  </si>
  <si>
    <t>42 CFT Block 6</t>
  </si>
  <si>
    <t>42 IFT Block 1</t>
  </si>
  <si>
    <t>42 IFT Block 2</t>
  </si>
  <si>
    <t>42 IFT Block 3</t>
  </si>
  <si>
    <t>42 IFT Block 4</t>
  </si>
  <si>
    <t>42 IFT Block 5</t>
  </si>
  <si>
    <t>42 IFT Block 6</t>
  </si>
  <si>
    <t>Industrial Firm - 42</t>
  </si>
  <si>
    <t>42 IIT Block 1</t>
  </si>
  <si>
    <t>42 IIT Block 2</t>
  </si>
  <si>
    <t>42 IIT Block 3</t>
  </si>
  <si>
    <t>42 IIT Block 4</t>
  </si>
  <si>
    <t>42 IIT Block 5</t>
  </si>
  <si>
    <t>42 IIT Block 6</t>
  </si>
  <si>
    <t>Special Contract</t>
  </si>
  <si>
    <t>VOLUMES SUMMARY - BY CLASS</t>
  </si>
  <si>
    <t>Residential</t>
  </si>
  <si>
    <t>Commercial</t>
  </si>
  <si>
    <t>Industrial Firm</t>
  </si>
  <si>
    <t>Interruptible</t>
  </si>
  <si>
    <t>GRAND TOTAL</t>
  </si>
  <si>
    <t>System</t>
  </si>
  <si>
    <t>GRAND TOTAL THROUGHPUT</t>
  </si>
  <si>
    <t>Line Loss @ 0%</t>
  </si>
  <si>
    <t>Summary of Amortization by Rate Schedule</t>
  </si>
  <si>
    <t>1R</t>
  </si>
  <si>
    <t>1C</t>
  </si>
  <si>
    <t>3 CFS</t>
  </si>
  <si>
    <t>3 IFS</t>
  </si>
  <si>
    <t>Nov 2017 (new)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</si>
  <si>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</si>
  <si>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</si>
  <si>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</si>
  <si>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</si>
  <si>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</si>
  <si>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</si>
  <si>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</si>
  <si>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</si>
  <si>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</si>
  <si>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</si>
  <si>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</si>
  <si>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 (old)</t>
  </si>
  <si>
    <t>2017-2018 PGA Filing - Washington: September Filing</t>
  </si>
  <si>
    <t>2016-2017 PGA Filing - Washington: September Filing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</si>
  <si>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</si>
  <si>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</si>
  <si>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</si>
  <si>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</si>
  <si>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</si>
  <si>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</si>
  <si>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</si>
  <si>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</si>
  <si>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</si>
  <si>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</si>
  <si>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 (old)</t>
  </si>
  <si>
    <t>Nov 2016 (new)</t>
  </si>
  <si>
    <t>Dec 2016</t>
  </si>
  <si>
    <t>Nov 2015 (new)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</si>
  <si>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</si>
  <si>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</si>
  <si>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</si>
  <si>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</si>
  <si>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</si>
  <si>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</si>
  <si>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</si>
  <si>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</si>
  <si>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</si>
  <si>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</si>
  <si>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</si>
  <si>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 (old)</t>
  </si>
  <si>
    <t>Nov 2014 (new)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</si>
  <si>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</si>
  <si>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</si>
  <si>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</si>
  <si>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</si>
  <si>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</si>
  <si>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</si>
  <si>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</si>
  <si>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</si>
  <si>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</si>
  <si>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</si>
  <si>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</si>
  <si>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 (old)</t>
  </si>
  <si>
    <t>2014-2015 PGA Filing - Washington: September Filing</t>
  </si>
  <si>
    <t>2015-2016 PGA Filing - Washington: September Filing</t>
  </si>
  <si>
    <t>2013-2014 PGA Filing - Washington: September Filing</t>
  </si>
  <si>
    <t>Nov 2013 (new)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</si>
  <si>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</si>
  <si>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</si>
  <si>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</si>
  <si>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</si>
  <si>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</si>
  <si>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</si>
  <si>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</si>
  <si>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</si>
  <si>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</si>
  <si>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</si>
  <si>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</si>
  <si>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 (old)</t>
  </si>
  <si>
    <r>
      <rPr>
        <b/>
        <sz val="10"/>
        <rFont val="Tahoma"/>
        <family val="2"/>
      </rPr>
      <t>2</t>
    </r>
    <r>
      <rPr>
        <sz val="10"/>
        <rFont val="Tahoma"/>
        <family val="2"/>
      </rPr>
      <t xml:space="preserve"> - Amortization is an estimate based on test year volumes multiplied by the 2018-19 PGA year increments (with revenue sensitive removed).</t>
    </r>
  </si>
  <si>
    <t>TOTAL AMORT</t>
  </si>
  <si>
    <t xml:space="preserve">REVENUES </t>
  </si>
  <si>
    <t>Nov 2018 - Feb 2019</t>
  </si>
  <si>
    <r>
      <t xml:space="preserve">3 - </t>
    </r>
    <r>
      <rPr>
        <sz val="10"/>
        <rFont val="Tahoma"/>
        <family val="2"/>
      </rPr>
      <t xml:space="preserve">Amortization is dertived from test year volumes multipled by the amortization rate </t>
    </r>
  </si>
  <si>
    <t>Compliance Filing</t>
  </si>
  <si>
    <t>Administrative Cost</t>
  </si>
  <si>
    <t>EE Program</t>
  </si>
  <si>
    <t>2018-19</t>
  </si>
  <si>
    <t>2017-18</t>
  </si>
  <si>
    <t>2016-17</t>
  </si>
  <si>
    <t>2015-16</t>
  </si>
  <si>
    <t>n/a</t>
  </si>
  <si>
    <t>WA RES</t>
  </si>
  <si>
    <t>WA COM</t>
  </si>
  <si>
    <t>Source:  2019-20 OR PGA forecast 072319 (Rob Wyman)</t>
  </si>
  <si>
    <t xml:space="preserve">Washington Energy Efficiency Programs </t>
  </si>
  <si>
    <t>Amort. Interest</t>
  </si>
  <si>
    <t>Deferral Balance</t>
  </si>
  <si>
    <t>as of 10/31/2019</t>
  </si>
  <si>
    <t>Amount to be collected in rates</t>
  </si>
  <si>
    <t>Principal Amortization</t>
  </si>
  <si>
    <t>All Amortization*</t>
  </si>
  <si>
    <t>*Inclusive of interest</t>
  </si>
  <si>
    <t>Source:  2019-20 OR PGA forecast 072319 (R. Wyman)</t>
  </si>
  <si>
    <t>Shaping Ratio</t>
  </si>
  <si>
    <t>Deferral Interest</t>
  </si>
  <si>
    <t>Amount to be collected in rates - 4 Years</t>
  </si>
  <si>
    <t>Amount to be collected in rates - Annually</t>
  </si>
  <si>
    <t xml:space="preserve"> Interest</t>
  </si>
  <si>
    <t>Amortization / Deferral</t>
  </si>
  <si>
    <t>Amort Interest</t>
  </si>
  <si>
    <t>(e)</t>
  </si>
  <si>
    <t>(h)</t>
  </si>
  <si>
    <t>(i)</t>
  </si>
  <si>
    <t>Source:  2019-20 OR PGA forecast 072319</t>
  </si>
  <si>
    <t>NW Natural Gas Company</t>
  </si>
  <si>
    <t>UG - 181053</t>
  </si>
  <si>
    <t>Est. amount to be collected in rates - 4 Years</t>
  </si>
  <si>
    <t>Est. amount to be collected in rates - Annually</t>
  </si>
  <si>
    <t>EE Compliance Filing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</si>
</sst>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_);\(0\)"/>
    <numFmt numFmtId="166" formatCode="0.00_);\(0.00\)"/>
    <numFmt numFmtId="167" formatCode="#,##0.00000_);\(#,##0.00000\)"/>
    <numFmt numFmtId="168" formatCode="_(* #,##0_);_(* \(#,##0\);_(* &quot;-&quot;??_);_(@_)"/>
    <numFmt numFmtId="169" formatCode="#,##0.0_);\(#,##0.0\)"/>
    <numFmt numFmtId="170" formatCode="_(&quot;$&quot;* #,##0.00000_);_(&quot;$&quot;* \(#,##0.00000\);_(&quot;$&quot;* &quot;-&quot;??_);_(@_)"/>
    <numFmt numFmtId="171" formatCode="_-* #,##0.00\ _D_M_-;\-* #,##0.00\ _D_M_-;_-* &quot;-&quot;??\ _D_M_-;_-@_-"/>
    <numFmt numFmtId="172" formatCode="0.000%"/>
    <numFmt numFmtId="173" formatCode="0.0000%"/>
    <numFmt numFmtId="174" formatCode="_(&quot;$&quot;* #,##0_);_(&quot;$&quot;* \(#,##0\);_(&quot;$&quot;* &quot;-&quot;??_);_(@_)"/>
  </numFmts>
  <fonts count="22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12"/>
      <name val="Tahoma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rgb="FF3333FF"/>
      <name val="Tahoma"/>
      <family val="2"/>
    </font>
    <font>
      <sz val="10"/>
      <color rgb="FF0000FF"/>
      <name val="Tahoma"/>
      <family val="2"/>
    </font>
    <font>
      <sz val="10"/>
      <color rgb="FFFF0000"/>
      <name val="Tahoma"/>
      <family val="2"/>
    </font>
    <font>
      <i/>
      <sz val="10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164" fontId="0" fillId="0" borderId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3" fillId="0" borderId="0"/>
    <xf numFmtId="0" fontId="9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164" fontId="8" fillId="0" borderId="0"/>
    <xf numFmtId="171" fontId="9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312">
    <xf numFmtId="164" fontId="0" fillId="0" borderId="0" xfId="0"/>
    <xf numFmtId="37" fontId="4" fillId="0" borderId="0" xfId="4" applyNumberFormat="1" applyFont="1"/>
    <xf numFmtId="164" fontId="5" fillId="0" borderId="0" xfId="4" applyFont="1"/>
    <xf numFmtId="39" fontId="5" fillId="0" borderId="0" xfId="4" applyNumberFormat="1" applyFont="1"/>
    <xf numFmtId="39" fontId="5" fillId="0" borderId="0" xfId="4" applyNumberFormat="1" applyFont="1" applyAlignment="1">
      <alignment horizontal="left"/>
    </xf>
    <xf numFmtId="0" fontId="5" fillId="0" borderId="0" xfId="4" applyNumberFormat="1" applyFont="1" applyAlignment="1">
      <alignment horizontal="left"/>
    </xf>
    <xf numFmtId="164" fontId="5" fillId="0" borderId="0" xfId="4" applyFont="1" applyFill="1"/>
    <xf numFmtId="39" fontId="6" fillId="0" borderId="0" xfId="4" applyNumberFormat="1" applyFont="1"/>
    <xf numFmtId="37" fontId="4" fillId="0" borderId="0" xfId="4" applyNumberFormat="1" applyFont="1" applyAlignment="1">
      <alignment horizontal="center"/>
    </xf>
    <xf numFmtId="39" fontId="5" fillId="0" borderId="0" xfId="4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64" fontId="5" fillId="0" borderId="0" xfId="4" applyFont="1" applyAlignment="1">
      <alignment horizontal="center"/>
    </xf>
    <xf numFmtId="164" fontId="5" fillId="0" borderId="1" xfId="4" applyFont="1" applyBorder="1" applyAlignment="1">
      <alignment horizontal="center"/>
    </xf>
    <xf numFmtId="39" fontId="5" fillId="0" borderId="1" xfId="4" applyNumberFormat="1" applyFont="1" applyBorder="1" applyAlignment="1">
      <alignment horizontal="center"/>
    </xf>
    <xf numFmtId="164" fontId="5" fillId="0" borderId="0" xfId="4" applyFont="1" applyAlignment="1">
      <alignment horizontal="left"/>
    </xf>
    <xf numFmtId="39" fontId="5" fillId="0" borderId="0" xfId="4" applyNumberFormat="1" applyFont="1" applyBorder="1"/>
    <xf numFmtId="164" fontId="5" fillId="0" borderId="0" xfId="4" applyNumberFormat="1" applyFont="1"/>
    <xf numFmtId="39" fontId="7" fillId="0" borderId="0" xfId="4" applyNumberFormat="1" applyFont="1"/>
    <xf numFmtId="39" fontId="5" fillId="0" borderId="0" xfId="1" applyNumberFormat="1" applyFont="1"/>
    <xf numFmtId="39" fontId="7" fillId="0" borderId="0" xfId="0" applyNumberFormat="1" applyFont="1"/>
    <xf numFmtId="164" fontId="5" fillId="0" borderId="2" xfId="4" applyFont="1" applyBorder="1"/>
    <xf numFmtId="39" fontId="7" fillId="0" borderId="2" xfId="4" applyNumberFormat="1" applyFont="1" applyBorder="1"/>
    <xf numFmtId="39" fontId="5" fillId="0" borderId="2" xfId="4" applyNumberFormat="1" applyFont="1" applyBorder="1"/>
    <xf numFmtId="39" fontId="5" fillId="0" borderId="2" xfId="1" applyNumberFormat="1" applyFont="1" applyBorder="1"/>
    <xf numFmtId="39" fontId="5" fillId="0" borderId="2" xfId="0" applyNumberFormat="1" applyFont="1" applyBorder="1"/>
    <xf numFmtId="10" fontId="7" fillId="0" borderId="0" xfId="3" applyNumberFormat="1" applyFont="1"/>
    <xf numFmtId="39" fontId="5" fillId="0" borderId="0" xfId="1" applyNumberFormat="1" applyFont="1" applyBorder="1"/>
    <xf numFmtId="10" fontId="7" fillId="0" borderId="2" xfId="3" applyNumberFormat="1" applyFont="1" applyBorder="1"/>
    <xf numFmtId="39" fontId="5" fillId="0" borderId="0" xfId="0" applyNumberFormat="1" applyFont="1"/>
    <xf numFmtId="39" fontId="5" fillId="0" borderId="0" xfId="1" applyNumberFormat="1" applyFont="1" applyFill="1"/>
    <xf numFmtId="39" fontId="5" fillId="0" borderId="0" xfId="1" applyNumberFormat="1" applyFont="1" applyFill="1" applyBorder="1"/>
    <xf numFmtId="39" fontId="5" fillId="0" borderId="2" xfId="1" applyNumberFormat="1" applyFont="1" applyFill="1" applyBorder="1"/>
    <xf numFmtId="39" fontId="10" fillId="0" borderId="0" xfId="0" applyNumberFormat="1" applyFont="1"/>
    <xf numFmtId="39" fontId="11" fillId="0" borderId="0" xfId="0" applyNumberFormat="1" applyFont="1"/>
    <xf numFmtId="3" fontId="6" fillId="0" borderId="0" xfId="4" applyNumberFormat="1" applyFont="1" applyAlignment="1">
      <alignment horizontal="center"/>
    </xf>
    <xf numFmtId="3" fontId="6" fillId="0" borderId="2" xfId="4" applyNumberFormat="1" applyFont="1" applyBorder="1" applyAlignment="1">
      <alignment horizontal="center"/>
    </xf>
    <xf numFmtId="39" fontId="11" fillId="0" borderId="2" xfId="0" applyNumberFormat="1" applyFont="1" applyBorder="1"/>
    <xf numFmtId="164" fontId="5" fillId="0" borderId="0" xfId="4" applyFont="1" applyBorder="1"/>
    <xf numFmtId="39" fontId="7" fillId="0" borderId="0" xfId="0" applyNumberFormat="1" applyFont="1" applyFill="1"/>
    <xf numFmtId="43" fontId="5" fillId="0" borderId="0" xfId="1" applyFont="1"/>
    <xf numFmtId="39" fontId="7" fillId="0" borderId="0" xfId="5" applyNumberFormat="1" applyFont="1" applyFill="1"/>
    <xf numFmtId="164" fontId="12" fillId="0" borderId="0" xfId="4" applyFont="1"/>
    <xf numFmtId="39" fontId="5" fillId="0" borderId="0" xfId="0" applyNumberFormat="1" applyFont="1" applyFill="1"/>
    <xf numFmtId="39" fontId="7" fillId="0" borderId="2" xfId="0" applyNumberFormat="1" applyFont="1" applyFill="1" applyBorder="1"/>
    <xf numFmtId="39" fontId="5" fillId="0" borderId="2" xfId="0" applyNumberFormat="1" applyFont="1" applyFill="1" applyBorder="1"/>
    <xf numFmtId="43" fontId="5" fillId="0" borderId="2" xfId="1" applyFont="1" applyBorder="1"/>
    <xf numFmtId="164" fontId="12" fillId="0" borderId="2" xfId="4" applyFont="1" applyBorder="1"/>
    <xf numFmtId="39" fontId="11" fillId="0" borderId="0" xfId="6" applyNumberFormat="1" applyFont="1" applyFill="1"/>
    <xf numFmtId="10" fontId="5" fillId="0" borderId="0" xfId="3" applyNumberFormat="1" applyFont="1"/>
    <xf numFmtId="10" fontId="5" fillId="0" borderId="0" xfId="3" applyNumberFormat="1" applyFont="1" applyFill="1"/>
    <xf numFmtId="39" fontId="5" fillId="0" borderId="0" xfId="4" applyNumberFormat="1" applyFont="1" applyFill="1" applyBorder="1"/>
    <xf numFmtId="43" fontId="5" fillId="0" borderId="0" xfId="1" applyFont="1" applyFill="1"/>
    <xf numFmtId="164" fontId="6" fillId="0" borderId="0" xfId="4" quotePrefix="1" applyFont="1" applyAlignment="1">
      <alignment horizontal="center"/>
    </xf>
    <xf numFmtId="10" fontId="5" fillId="0" borderId="2" xfId="3" applyNumberFormat="1" applyFont="1" applyFill="1" applyBorder="1"/>
    <xf numFmtId="39" fontId="5" fillId="0" borderId="2" xfId="4" applyNumberFormat="1" applyFont="1" applyFill="1" applyBorder="1"/>
    <xf numFmtId="164" fontId="5" fillId="0" borderId="2" xfId="4" applyFont="1" applyFill="1" applyBorder="1"/>
    <xf numFmtId="43" fontId="5" fillId="0" borderId="2" xfId="1" applyFont="1" applyFill="1" applyBorder="1"/>
    <xf numFmtId="39" fontId="5" fillId="0" borderId="0" xfId="3" applyNumberFormat="1" applyFont="1" applyFill="1" applyBorder="1"/>
    <xf numFmtId="39" fontId="5" fillId="0" borderId="0" xfId="4" applyNumberFormat="1" applyFont="1" applyFill="1"/>
    <xf numFmtId="164" fontId="6" fillId="0" borderId="0" xfId="4" quotePrefix="1" applyFont="1" applyBorder="1" applyAlignment="1">
      <alignment horizontal="center"/>
    </xf>
    <xf numFmtId="164" fontId="13" fillId="0" borderId="0" xfId="4" applyFont="1"/>
    <xf numFmtId="164" fontId="5" fillId="0" borderId="0" xfId="7" applyNumberFormat="1" applyFont="1" applyFill="1"/>
    <xf numFmtId="10" fontId="5" fillId="0" borderId="0" xfId="8" applyNumberFormat="1" applyFont="1" applyFill="1" applyBorder="1"/>
    <xf numFmtId="0" fontId="5" fillId="0" borderId="0" xfId="7" applyFont="1" applyFill="1"/>
    <xf numFmtId="164" fontId="5" fillId="0" borderId="2" xfId="7" applyNumberFormat="1" applyFont="1" applyFill="1" applyBorder="1"/>
    <xf numFmtId="0" fontId="5" fillId="0" borderId="2" xfId="7" applyFont="1" applyFill="1" applyBorder="1"/>
    <xf numFmtId="10" fontId="5" fillId="0" borderId="2" xfId="8" applyNumberFormat="1" applyFont="1" applyFill="1" applyBorder="1"/>
    <xf numFmtId="39" fontId="5" fillId="0" borderId="2" xfId="3" applyNumberFormat="1" applyFont="1" applyFill="1" applyBorder="1"/>
    <xf numFmtId="10" fontId="5" fillId="0" borderId="0" xfId="1" applyNumberFormat="1" applyFont="1" applyBorder="1"/>
    <xf numFmtId="10" fontId="5" fillId="0" borderId="2" xfId="1" applyNumberFormat="1" applyFont="1" applyBorder="1"/>
    <xf numFmtId="164" fontId="14" fillId="0" borderId="0" xfId="4" applyFont="1"/>
    <xf numFmtId="164" fontId="5" fillId="0" borderId="0" xfId="4" quotePrefix="1" applyFont="1" applyAlignment="1">
      <alignment horizontal="left"/>
    </xf>
    <xf numFmtId="164" fontId="5" fillId="0" borderId="0" xfId="4" quotePrefix="1" applyFont="1"/>
    <xf numFmtId="39" fontId="5" fillId="0" borderId="0" xfId="4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39" fontId="7" fillId="0" borderId="0" xfId="3" applyNumberFormat="1" applyFont="1"/>
    <xf numFmtId="39" fontId="7" fillId="0" borderId="0" xfId="3" applyNumberFormat="1" applyFont="1" applyBorder="1"/>
    <xf numFmtId="10" fontId="7" fillId="0" borderId="0" xfId="3" applyNumberFormat="1" applyFont="1" applyBorder="1"/>
    <xf numFmtId="39" fontId="5" fillId="0" borderId="0" xfId="3" applyNumberFormat="1" applyFont="1" applyBorder="1"/>
    <xf numFmtId="39" fontId="5" fillId="0" borderId="2" xfId="3" applyNumberFormat="1" applyFont="1" applyBorder="1"/>
    <xf numFmtId="39" fontId="11" fillId="0" borderId="0" xfId="4" applyNumberFormat="1" applyFont="1" applyBorder="1"/>
    <xf numFmtId="10" fontId="5" fillId="0" borderId="0" xfId="3" applyNumberFormat="1" applyFont="1" applyBorder="1"/>
    <xf numFmtId="166" fontId="5" fillId="0" borderId="0" xfId="4" applyNumberFormat="1" applyFont="1" applyBorder="1"/>
    <xf numFmtId="0" fontId="13" fillId="0" borderId="0" xfId="7" applyFont="1"/>
    <xf numFmtId="164" fontId="5" fillId="0" borderId="0" xfId="4" applyFont="1" applyFill="1" applyBorder="1"/>
    <xf numFmtId="0" fontId="13" fillId="0" borderId="0" xfId="7" applyFont="1" applyFill="1"/>
    <xf numFmtId="39" fontId="11" fillId="0" borderId="0" xfId="4" applyNumberFormat="1" applyFont="1" applyFill="1" applyBorder="1"/>
    <xf numFmtId="10" fontId="5" fillId="0" borderId="0" xfId="3" applyNumberFormat="1" applyFont="1" applyFill="1" applyBorder="1"/>
    <xf numFmtId="39" fontId="11" fillId="0" borderId="0" xfId="4" applyNumberFormat="1" applyFont="1"/>
    <xf numFmtId="37" fontId="4" fillId="0" borderId="2" xfId="4" applyNumberFormat="1" applyFont="1" applyBorder="1" applyAlignment="1">
      <alignment horizontal="center"/>
    </xf>
    <xf numFmtId="39" fontId="11" fillId="0" borderId="2" xfId="4" applyNumberFormat="1" applyFont="1" applyBorder="1"/>
    <xf numFmtId="39" fontId="11" fillId="0" borderId="0" xfId="4" applyNumberFormat="1" applyFont="1" applyFill="1"/>
    <xf numFmtId="43" fontId="5" fillId="0" borderId="0" xfId="9" applyFont="1" applyFill="1" applyBorder="1"/>
    <xf numFmtId="39" fontId="7" fillId="0" borderId="0" xfId="4" applyNumberFormat="1" applyFont="1" applyFill="1"/>
    <xf numFmtId="164" fontId="13" fillId="0" borderId="2" xfId="4" applyFont="1" applyBorder="1"/>
    <xf numFmtId="39" fontId="10" fillId="0" borderId="0" xfId="4" applyNumberFormat="1" applyFont="1"/>
    <xf numFmtId="37" fontId="5" fillId="0" borderId="0" xfId="4" applyNumberFormat="1" applyFont="1"/>
    <xf numFmtId="10" fontId="5" fillId="0" borderId="0" xfId="4" applyNumberFormat="1" applyFont="1"/>
    <xf numFmtId="4" fontId="5" fillId="0" borderId="0" xfId="4" applyNumberFormat="1" applyFont="1"/>
    <xf numFmtId="164" fontId="11" fillId="0" borderId="0" xfId="4" applyFont="1"/>
    <xf numFmtId="164" fontId="11" fillId="0" borderId="0" xfId="4" applyFont="1" applyFill="1"/>
    <xf numFmtId="10" fontId="5" fillId="0" borderId="0" xfId="4" applyNumberFormat="1" applyFont="1" applyFill="1"/>
    <xf numFmtId="39" fontId="5" fillId="0" borderId="0" xfId="7" applyNumberFormat="1" applyFont="1" applyFill="1"/>
    <xf numFmtId="2" fontId="5" fillId="0" borderId="0" xfId="4" applyNumberFormat="1" applyFont="1"/>
    <xf numFmtId="164" fontId="5" fillId="2" borderId="0" xfId="4" applyFont="1" applyFill="1"/>
    <xf numFmtId="43" fontId="5" fillId="2" borderId="0" xfId="1" applyFont="1" applyFill="1"/>
    <xf numFmtId="39" fontId="5" fillId="2" borderId="0" xfId="4" applyNumberFormat="1" applyFont="1" applyFill="1"/>
    <xf numFmtId="164" fontId="6" fillId="0" borderId="2" xfId="4" quotePrefix="1" applyFont="1" applyBorder="1" applyAlignment="1">
      <alignment horizontal="center"/>
    </xf>
    <xf numFmtId="164" fontId="13" fillId="0" borderId="0" xfId="4" applyFont="1" applyBorder="1"/>
    <xf numFmtId="164" fontId="5" fillId="0" borderId="0" xfId="4" quotePrefix="1" applyFont="1" applyFill="1"/>
    <xf numFmtId="4" fontId="5" fillId="0" borderId="0" xfId="4" applyNumberFormat="1" applyFont="1" applyAlignment="1">
      <alignment horizontal="center"/>
    </xf>
    <xf numFmtId="39" fontId="6" fillId="2" borderId="0" xfId="4" applyNumberFormat="1" applyFont="1" applyFill="1"/>
    <xf numFmtId="0" fontId="5" fillId="0" borderId="0" xfId="6" applyFont="1" applyFill="1" applyBorder="1"/>
    <xf numFmtId="0" fontId="15" fillId="0" borderId="0" xfId="10" applyFont="1" applyFill="1" applyBorder="1"/>
    <xf numFmtId="0" fontId="5" fillId="0" borderId="0" xfId="6" applyFont="1" applyFill="1"/>
    <xf numFmtId="0" fontId="15" fillId="0" borderId="0" xfId="6" applyFont="1" applyFill="1" applyBorder="1"/>
    <xf numFmtId="0" fontId="5" fillId="0" borderId="0" xfId="10" applyFont="1" applyFill="1" applyBorder="1"/>
    <xf numFmtId="0" fontId="4" fillId="0" borderId="0" xfId="6" applyFont="1" applyFill="1" applyBorder="1" applyAlignment="1">
      <alignment horizontal="center"/>
    </xf>
    <xf numFmtId="0" fontId="16" fillId="0" borderId="0" xfId="10" applyFont="1" applyFill="1"/>
    <xf numFmtId="0" fontId="6" fillId="0" borderId="0" xfId="6" applyFont="1" applyFill="1" applyAlignment="1">
      <alignment horizontal="center"/>
    </xf>
    <xf numFmtId="0" fontId="6" fillId="0" borderId="0" xfId="6" applyFont="1" applyFill="1"/>
    <xf numFmtId="0" fontId="4" fillId="0" borderId="0" xfId="10" applyFont="1" applyFill="1" applyBorder="1" applyAlignment="1">
      <alignment horizontal="center"/>
    </xf>
    <xf numFmtId="0" fontId="5" fillId="0" borderId="0" xfId="10" applyFont="1" applyFill="1"/>
    <xf numFmtId="0" fontId="6" fillId="0" borderId="0" xfId="6" applyFont="1" applyFill="1" applyBorder="1" applyAlignment="1">
      <alignment horizontal="right"/>
    </xf>
    <xf numFmtId="0" fontId="6" fillId="0" borderId="0" xfId="6" applyFont="1" applyFill="1" applyBorder="1" applyAlignment="1">
      <alignment horizontal="center"/>
    </xf>
    <xf numFmtId="0" fontId="6" fillId="0" borderId="0" xfId="10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167" fontId="6" fillId="0" borderId="1" xfId="6" applyNumberFormat="1" applyFont="1" applyFill="1" applyBorder="1" applyAlignment="1">
      <alignment horizontal="center"/>
    </xf>
    <xf numFmtId="39" fontId="5" fillId="0" borderId="0" xfId="6" applyNumberFormat="1" applyFont="1" applyFill="1" applyBorder="1"/>
    <xf numFmtId="167" fontId="6" fillId="0" borderId="0" xfId="6" applyNumberFormat="1" applyFont="1" applyFill="1" applyBorder="1" applyAlignment="1">
      <alignment horizontal="center"/>
    </xf>
    <xf numFmtId="169" fontId="5" fillId="0" borderId="0" xfId="6" applyNumberFormat="1" applyFont="1" applyFill="1"/>
    <xf numFmtId="37" fontId="5" fillId="0" borderId="0" xfId="6" applyNumberFormat="1" applyFont="1" applyFill="1" applyBorder="1"/>
    <xf numFmtId="37" fontId="5" fillId="0" borderId="0" xfId="6" applyNumberFormat="1" applyFont="1" applyFill="1"/>
    <xf numFmtId="0" fontId="6" fillId="0" borderId="0" xfId="6" applyFont="1" applyFill="1" applyBorder="1"/>
    <xf numFmtId="37" fontId="6" fillId="0" borderId="1" xfId="11" applyNumberFormat="1" applyFont="1" applyFill="1" applyBorder="1" applyAlignment="1">
      <alignment horizontal="center"/>
    </xf>
    <xf numFmtId="0" fontId="6" fillId="0" borderId="0" xfId="10" applyFont="1" applyFill="1" applyBorder="1" applyAlignment="1">
      <alignment horizontal="center" wrapText="1"/>
    </xf>
    <xf numFmtId="0" fontId="6" fillId="0" borderId="1" xfId="10" applyFont="1" applyFill="1" applyBorder="1" applyAlignment="1">
      <alignment horizontal="center"/>
    </xf>
    <xf numFmtId="0" fontId="6" fillId="0" borderId="1" xfId="6" quotePrefix="1" applyFont="1" applyFill="1" applyBorder="1" applyAlignment="1">
      <alignment horizontal="center"/>
    </xf>
    <xf numFmtId="17" fontId="6" fillId="0" borderId="1" xfId="6" quotePrefix="1" applyNumberFormat="1" applyFont="1" applyFill="1" applyBorder="1" applyAlignment="1">
      <alignment horizontal="center"/>
    </xf>
    <xf numFmtId="0" fontId="5" fillId="0" borderId="0" xfId="6" applyFont="1" applyFill="1" applyAlignment="1">
      <alignment horizontal="center"/>
    </xf>
    <xf numFmtId="0" fontId="5" fillId="0" borderId="0" xfId="10" applyFont="1" applyFill="1" applyAlignment="1">
      <alignment horizontal="center"/>
    </xf>
    <xf numFmtId="39" fontId="5" fillId="0" borderId="0" xfId="6" applyNumberFormat="1" applyFont="1" applyFill="1" applyAlignment="1">
      <alignment horizontal="center"/>
    </xf>
    <xf numFmtId="44" fontId="5" fillId="0" borderId="1" xfId="2" applyFont="1" applyFill="1" applyBorder="1"/>
    <xf numFmtId="44" fontId="5" fillId="0" borderId="0" xfId="2" applyFont="1" applyFill="1" applyBorder="1"/>
    <xf numFmtId="44" fontId="5" fillId="0" borderId="0" xfId="2" applyFont="1" applyFill="1"/>
    <xf numFmtId="44" fontId="5" fillId="0" borderId="1" xfId="2" applyFont="1" applyFill="1" applyBorder="1" applyAlignment="1"/>
    <xf numFmtId="44" fontId="5" fillId="0" borderId="0" xfId="2" applyFont="1" applyFill="1" applyAlignment="1"/>
    <xf numFmtId="44" fontId="5" fillId="0" borderId="1" xfId="2" applyFont="1" applyFill="1" applyBorder="1" applyAlignment="1">
      <alignment horizontal="center"/>
    </xf>
    <xf numFmtId="44" fontId="5" fillId="0" borderId="0" xfId="2" applyFont="1" applyFill="1" applyBorder="1" applyAlignment="1">
      <alignment horizontal="center"/>
    </xf>
    <xf numFmtId="170" fontId="5" fillId="0" borderId="1" xfId="2" applyNumberFormat="1" applyFont="1" applyFill="1" applyBorder="1" applyAlignment="1">
      <alignment horizontal="center"/>
    </xf>
    <xf numFmtId="170" fontId="5" fillId="0" borderId="0" xfId="2" applyNumberFormat="1" applyFont="1" applyFill="1" applyBorder="1" applyAlignment="1">
      <alignment horizontal="center"/>
    </xf>
    <xf numFmtId="44" fontId="5" fillId="0" borderId="0" xfId="2" applyFont="1" applyFill="1" applyAlignment="1">
      <alignment horizontal="center"/>
    </xf>
    <xf numFmtId="39" fontId="6" fillId="0" borderId="0" xfId="6" applyNumberFormat="1" applyFont="1" applyFill="1" applyAlignment="1">
      <alignment horizontal="center"/>
    </xf>
    <xf numFmtId="39" fontId="6" fillId="0" borderId="0" xfId="6" applyNumberFormat="1" applyFont="1" applyFill="1" applyBorder="1"/>
    <xf numFmtId="44" fontId="6" fillId="0" borderId="0" xfId="6" applyNumberFormat="1" applyFont="1" applyFill="1" applyBorder="1"/>
    <xf numFmtId="44" fontId="6" fillId="0" borderId="0" xfId="6" applyNumberFormat="1" applyFont="1" applyFill="1" applyBorder="1" applyAlignment="1">
      <alignment horizontal="center"/>
    </xf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3" xfId="10" applyFont="1" applyFill="1" applyBorder="1" applyAlignment="1">
      <alignment horizontal="center"/>
    </xf>
    <xf numFmtId="166" fontId="5" fillId="0" borderId="0" xfId="10" applyNumberFormat="1" applyFont="1" applyFill="1" applyBorder="1" applyAlignment="1">
      <alignment horizontal="center"/>
    </xf>
    <xf numFmtId="166" fontId="5" fillId="0" borderId="1" xfId="10" applyNumberFormat="1" applyFont="1" applyFill="1" applyBorder="1" applyAlignment="1">
      <alignment horizontal="center"/>
    </xf>
    <xf numFmtId="168" fontId="5" fillId="0" borderId="1" xfId="1" applyNumberFormat="1" applyFont="1" applyFill="1" applyBorder="1"/>
    <xf numFmtId="168" fontId="5" fillId="0" borderId="1" xfId="1" applyNumberFormat="1" applyFont="1" applyFill="1" applyBorder="1" applyAlignment="1">
      <alignment horizontal="center"/>
    </xf>
    <xf numFmtId="168" fontId="5" fillId="0" borderId="0" xfId="1" applyNumberFormat="1" applyFont="1" applyFill="1" applyBorder="1"/>
    <xf numFmtId="168" fontId="5" fillId="0" borderId="0" xfId="1" applyNumberFormat="1" applyFont="1" applyFill="1" applyBorder="1" applyAlignment="1">
      <alignment horizontal="center"/>
    </xf>
    <xf numFmtId="168" fontId="5" fillId="0" borderId="0" xfId="1" applyNumberFormat="1" applyFont="1" applyFill="1"/>
    <xf numFmtId="168" fontId="5" fillId="0" borderId="1" xfId="1" applyNumberFormat="1" applyFont="1" applyFill="1" applyBorder="1" applyAlignment="1"/>
    <xf numFmtId="168" fontId="5" fillId="0" borderId="0" xfId="1" applyNumberFormat="1" applyFont="1" applyFill="1" applyAlignment="1"/>
    <xf numFmtId="168" fontId="6" fillId="0" borderId="0" xfId="1" applyNumberFormat="1" applyFont="1" applyFill="1" applyBorder="1"/>
    <xf numFmtId="0" fontId="17" fillId="0" borderId="0" xfId="6" applyFont="1" applyFill="1"/>
    <xf numFmtId="0" fontId="9" fillId="0" borderId="0" xfId="6"/>
    <xf numFmtId="0" fontId="15" fillId="0" borderId="0" xfId="6" applyFont="1" applyFill="1"/>
    <xf numFmtId="0" fontId="6" fillId="0" borderId="0" xfId="6" applyFont="1" applyAlignment="1">
      <alignment horizontal="center"/>
    </xf>
    <xf numFmtId="22" fontId="4" fillId="0" borderId="0" xfId="6" applyNumberFormat="1" applyFont="1" applyFill="1"/>
    <xf numFmtId="0" fontId="15" fillId="0" borderId="0" xfId="6" applyNumberFormat="1" applyFont="1" applyFill="1"/>
    <xf numFmtId="0" fontId="6" fillId="0" borderId="0" xfId="12" applyNumberFormat="1" applyFont="1" applyFill="1"/>
    <xf numFmtId="0" fontId="6" fillId="0" borderId="0" xfId="6" applyNumberFormat="1" applyFont="1" applyFill="1" applyAlignment="1"/>
    <xf numFmtId="37" fontId="5" fillId="0" borderId="0" xfId="12" applyNumberFormat="1" applyFont="1" applyFill="1"/>
    <xf numFmtId="37" fontId="9" fillId="0" borderId="0" xfId="12" applyNumberFormat="1"/>
    <xf numFmtId="0" fontId="6" fillId="0" borderId="0" xfId="12" applyNumberFormat="1" applyFont="1" applyFill="1" applyAlignment="1"/>
    <xf numFmtId="0" fontId="9" fillId="0" borderId="0" xfId="6" applyAlignment="1">
      <alignment horizontal="center"/>
    </xf>
    <xf numFmtId="0" fontId="6" fillId="0" borderId="0" xfId="12" applyNumberFormat="1" applyFont="1" applyFill="1" applyAlignment="1">
      <alignment horizontal="left" indent="2"/>
    </xf>
    <xf numFmtId="37" fontId="5" fillId="0" borderId="0" xfId="12" applyNumberFormat="1" applyFont="1" applyFill="1" applyBorder="1"/>
    <xf numFmtId="37" fontId="5" fillId="0" borderId="1" xfId="12" applyNumberFormat="1" applyFont="1" applyFill="1" applyBorder="1"/>
    <xf numFmtId="37" fontId="9" fillId="0" borderId="1" xfId="12" applyNumberFormat="1" applyBorder="1"/>
    <xf numFmtId="37" fontId="6" fillId="0" borderId="0" xfId="12" applyNumberFormat="1" applyFont="1" applyFill="1"/>
    <xf numFmtId="0" fontId="5" fillId="0" borderId="0" xfId="12" applyNumberFormat="1" applyFont="1" applyFill="1"/>
    <xf numFmtId="0" fontId="6" fillId="0" borderId="0" xfId="6" applyNumberFormat="1" applyFont="1" applyFill="1"/>
    <xf numFmtId="0" fontId="15" fillId="0" borderId="0" xfId="12" applyNumberFormat="1" applyFont="1" applyFill="1"/>
    <xf numFmtId="168" fontId="5" fillId="0" borderId="0" xfId="12" applyNumberFormat="1" applyFont="1" applyFill="1"/>
    <xf numFmtId="0" fontId="17" fillId="0" borderId="3" xfId="6" applyNumberFormat="1" applyFont="1" applyFill="1" applyBorder="1"/>
    <xf numFmtId="0" fontId="17" fillId="0" borderId="3" xfId="12" applyNumberFormat="1" applyFont="1" applyFill="1" applyBorder="1"/>
    <xf numFmtId="0" fontId="17" fillId="0" borderId="3" xfId="12" applyNumberFormat="1" applyFont="1" applyFill="1" applyBorder="1" applyAlignment="1"/>
    <xf numFmtId="37" fontId="9" fillId="0" borderId="0" xfId="12" applyNumberFormat="1" applyBorder="1"/>
    <xf numFmtId="37" fontId="15" fillId="0" borderId="0" xfId="6" applyNumberFormat="1" applyFont="1" applyFill="1"/>
    <xf numFmtId="37" fontId="6" fillId="0" borderId="0" xfId="6" applyNumberFormat="1" applyFont="1" applyFill="1"/>
    <xf numFmtId="37" fontId="6" fillId="0" borderId="0" xfId="12" applyNumberFormat="1" applyFont="1" applyFill="1" applyAlignment="1"/>
    <xf numFmtId="0" fontId="9" fillId="0" borderId="1" xfId="6" applyBorder="1"/>
    <xf numFmtId="169" fontId="15" fillId="0" borderId="0" xfId="12" applyNumberFormat="1" applyFont="1" applyFill="1"/>
    <xf numFmtId="169" fontId="6" fillId="0" borderId="0" xfId="6" applyNumberFormat="1" applyFont="1" applyFill="1"/>
    <xf numFmtId="169" fontId="6" fillId="0" borderId="0" xfId="12" applyNumberFormat="1" applyFont="1" applyFill="1" applyAlignment="1"/>
    <xf numFmtId="169" fontId="5" fillId="0" borderId="0" xfId="12" applyNumberFormat="1" applyFont="1" applyFill="1"/>
    <xf numFmtId="37" fontId="6" fillId="0" borderId="0" xfId="12" applyNumberFormat="1" applyFont="1" applyFill="1" applyBorder="1"/>
    <xf numFmtId="37" fontId="6" fillId="0" borderId="1" xfId="12" applyNumberFormat="1" applyFont="1" applyFill="1" applyBorder="1"/>
    <xf numFmtId="168" fontId="5" fillId="3" borderId="0" xfId="1" applyNumberFormat="1" applyFont="1" applyFill="1" applyBorder="1"/>
    <xf numFmtId="168" fontId="5" fillId="3" borderId="1" xfId="1" applyNumberFormat="1" applyFont="1" applyFill="1" applyBorder="1"/>
    <xf numFmtId="44" fontId="5" fillId="0" borderId="0" xfId="6" applyNumberFormat="1" applyFont="1" applyFill="1" applyBorder="1"/>
    <xf numFmtId="0" fontId="5" fillId="0" borderId="1" xfId="6" applyFont="1" applyFill="1" applyBorder="1"/>
    <xf numFmtId="39" fontId="5" fillId="0" borderId="1" xfId="6" applyNumberFormat="1" applyFont="1" applyFill="1" applyBorder="1" applyAlignment="1">
      <alignment horizontal="center"/>
    </xf>
    <xf numFmtId="39" fontId="5" fillId="0" borderId="1" xfId="6" applyNumberFormat="1" applyFont="1" applyFill="1" applyBorder="1"/>
    <xf numFmtId="44" fontId="5" fillId="0" borderId="1" xfId="6" applyNumberFormat="1" applyFont="1" applyFill="1" applyBorder="1"/>
    <xf numFmtId="44" fontId="6" fillId="0" borderId="1" xfId="2" applyFont="1" applyFill="1" applyBorder="1"/>
    <xf numFmtId="44" fontId="6" fillId="0" borderId="0" xfId="2" applyFont="1" applyFill="1" applyBorder="1"/>
    <xf numFmtId="44" fontId="6" fillId="0" borderId="0" xfId="2" applyFont="1" applyFill="1"/>
    <xf numFmtId="44" fontId="6" fillId="0" borderId="1" xfId="2" applyFont="1" applyFill="1" applyBorder="1" applyAlignment="1"/>
    <xf numFmtId="44" fontId="6" fillId="0" borderId="0" xfId="2" applyFont="1" applyFill="1" applyAlignment="1"/>
    <xf numFmtId="44" fontId="6" fillId="0" borderId="1" xfId="6" applyNumberFormat="1" applyFont="1" applyFill="1" applyBorder="1"/>
    <xf numFmtId="164" fontId="15" fillId="0" borderId="0" xfId="0" applyFont="1" applyFill="1" applyBorder="1"/>
    <xf numFmtId="164" fontId="6" fillId="3" borderId="0" xfId="4" applyFont="1" applyFill="1"/>
    <xf numFmtId="39" fontId="6" fillId="0" borderId="0" xfId="0" applyNumberFormat="1" applyFont="1"/>
    <xf numFmtId="39" fontId="5" fillId="0" borderId="7" xfId="4" applyNumberFormat="1" applyFont="1" applyBorder="1"/>
    <xf numFmtId="164" fontId="6" fillId="0" borderId="0" xfId="4" applyFont="1"/>
    <xf numFmtId="39" fontId="11" fillId="3" borderId="0" xfId="4" applyNumberFormat="1" applyFont="1" applyFill="1"/>
    <xf numFmtId="0" fontId="6" fillId="5" borderId="0" xfId="6" applyFont="1" applyFill="1" applyBorder="1" applyAlignment="1">
      <alignment horizontal="center"/>
    </xf>
    <xf numFmtId="0" fontId="6" fillId="5" borderId="0" xfId="6" applyFont="1" applyFill="1" applyBorder="1" applyAlignment="1">
      <alignment horizontal="right"/>
    </xf>
    <xf numFmtId="44" fontId="6" fillId="5" borderId="1" xfId="2" applyFont="1" applyFill="1" applyBorder="1"/>
    <xf numFmtId="44" fontId="6" fillId="5" borderId="0" xfId="2" applyFont="1" applyFill="1" applyBorder="1"/>
    <xf numFmtId="44" fontId="6" fillId="5" borderId="0" xfId="2" applyFont="1" applyFill="1"/>
    <xf numFmtId="44" fontId="6" fillId="5" borderId="1" xfId="2" applyFont="1" applyFill="1" applyBorder="1" applyAlignment="1"/>
    <xf numFmtId="44" fontId="6" fillId="5" borderId="0" xfId="2" applyFont="1" applyFill="1" applyAlignment="1"/>
    <xf numFmtId="44" fontId="6" fillId="5" borderId="0" xfId="6" applyNumberFormat="1" applyFont="1" applyFill="1" applyBorder="1"/>
    <xf numFmtId="0" fontId="5" fillId="5" borderId="0" xfId="6" applyFont="1" applyFill="1" applyBorder="1"/>
    <xf numFmtId="44" fontId="6" fillId="5" borderId="1" xfId="6" applyNumberFormat="1" applyFont="1" applyFill="1" applyBorder="1"/>
    <xf numFmtId="0" fontId="6" fillId="5" borderId="0" xfId="6" applyFont="1" applyFill="1" applyBorder="1"/>
    <xf numFmtId="0" fontId="6" fillId="5" borderId="8" xfId="6" applyFont="1" applyFill="1" applyBorder="1" applyAlignment="1">
      <alignment horizontal="right"/>
    </xf>
    <xf numFmtId="0" fontId="6" fillId="5" borderId="9" xfId="6" applyFont="1" applyFill="1" applyBorder="1" applyAlignment="1">
      <alignment horizontal="right"/>
    </xf>
    <xf numFmtId="44" fontId="6" fillId="5" borderId="9" xfId="6" applyNumberFormat="1" applyFont="1" applyFill="1" applyBorder="1"/>
    <xf numFmtId="44" fontId="6" fillId="5" borderId="10" xfId="6" applyNumberFormat="1" applyFont="1" applyFill="1" applyBorder="1"/>
    <xf numFmtId="39" fontId="6" fillId="0" borderId="0" xfId="4" applyNumberFormat="1" applyFont="1" applyFill="1"/>
    <xf numFmtId="39" fontId="5" fillId="0" borderId="0" xfId="4" applyNumberFormat="1" applyFont="1" applyFill="1" applyAlignment="1">
      <alignment horizontal="left"/>
    </xf>
    <xf numFmtId="0" fontId="5" fillId="0" borderId="0" xfId="4" applyNumberFormat="1" applyFont="1" applyFill="1" applyAlignment="1">
      <alignment horizontal="left"/>
    </xf>
    <xf numFmtId="39" fontId="6" fillId="0" borderId="0" xfId="1" applyNumberFormat="1" applyFont="1"/>
    <xf numFmtId="164" fontId="21" fillId="0" borderId="0" xfId="0" applyFont="1"/>
    <xf numFmtId="164" fontId="9" fillId="0" borderId="0" xfId="0" applyFont="1"/>
    <xf numFmtId="43" fontId="9" fillId="0" borderId="7" xfId="1" applyFont="1" applyBorder="1"/>
    <xf numFmtId="43" fontId="9" fillId="0" borderId="11" xfId="1" applyFont="1" applyBorder="1"/>
    <xf numFmtId="43" fontId="9" fillId="0" borderId="0" xfId="1" applyFont="1" applyBorder="1"/>
    <xf numFmtId="43" fontId="9" fillId="0" borderId="12" xfId="1" applyFont="1" applyBorder="1"/>
    <xf numFmtId="43" fontId="9" fillId="0" borderId="1" xfId="1" applyFont="1" applyBorder="1"/>
    <xf numFmtId="43" fontId="9" fillId="0" borderId="13" xfId="1" applyFont="1" applyBorder="1"/>
    <xf numFmtId="174" fontId="5" fillId="0" borderId="0" xfId="2" applyNumberFormat="1" applyFont="1"/>
    <xf numFmtId="44" fontId="5" fillId="0" borderId="0" xfId="2" applyFont="1"/>
    <xf numFmtId="164" fontId="6" fillId="0" borderId="7" xfId="4" applyFont="1" applyBorder="1"/>
    <xf numFmtId="164" fontId="5" fillId="0" borderId="7" xfId="4" applyFont="1" applyBorder="1"/>
    <xf numFmtId="39" fontId="6" fillId="0" borderId="7" xfId="4" applyNumberFormat="1" applyFont="1" applyBorder="1"/>
    <xf numFmtId="164" fontId="21" fillId="0" borderId="14" xfId="0" applyFont="1" applyBorder="1"/>
    <xf numFmtId="164" fontId="9" fillId="0" borderId="15" xfId="0" applyFont="1" applyBorder="1"/>
    <xf numFmtId="164" fontId="9" fillId="0" borderId="16" xfId="0" applyFont="1" applyBorder="1"/>
    <xf numFmtId="164" fontId="9" fillId="0" borderId="17" xfId="0" applyFont="1" applyBorder="1"/>
    <xf numFmtId="164" fontId="9" fillId="0" borderId="0" xfId="0" applyFont="1" applyBorder="1"/>
    <xf numFmtId="164" fontId="9" fillId="0" borderId="18" xfId="0" applyFont="1" applyBorder="1"/>
    <xf numFmtId="164" fontId="21" fillId="0" borderId="0" xfId="0" applyFont="1" applyBorder="1" applyAlignment="1">
      <alignment horizontal="center"/>
    </xf>
    <xf numFmtId="17" fontId="9" fillId="0" borderId="19" xfId="0" applyNumberFormat="1" applyFont="1" applyBorder="1"/>
    <xf numFmtId="173" fontId="9" fillId="0" borderId="18" xfId="3" applyNumberFormat="1" applyFont="1" applyBorder="1"/>
    <xf numFmtId="17" fontId="9" fillId="0" borderId="17" xfId="0" applyNumberFormat="1" applyFont="1" applyBorder="1"/>
    <xf numFmtId="17" fontId="9" fillId="0" borderId="20" xfId="0" applyNumberFormat="1" applyFont="1" applyBorder="1"/>
    <xf numFmtId="164" fontId="21" fillId="0" borderId="21" xfId="0" applyFont="1" applyBorder="1"/>
    <xf numFmtId="43" fontId="21" fillId="0" borderId="2" xfId="1" applyFont="1" applyBorder="1"/>
    <xf numFmtId="164" fontId="9" fillId="0" borderId="22" xfId="0" applyFont="1" applyBorder="1"/>
    <xf numFmtId="39" fontId="6" fillId="0" borderId="4" xfId="4" applyNumberFormat="1" applyFont="1" applyBorder="1"/>
    <xf numFmtId="39" fontId="6" fillId="0" borderId="5" xfId="4" applyNumberFormat="1" applyFont="1" applyBorder="1"/>
    <xf numFmtId="39" fontId="6" fillId="0" borderId="6" xfId="4" applyNumberFormat="1" applyFont="1" applyBorder="1"/>
    <xf numFmtId="172" fontId="5" fillId="0" borderId="0" xfId="3" applyNumberFormat="1" applyFont="1"/>
    <xf numFmtId="43" fontId="21" fillId="0" borderId="0" xfId="1" applyFont="1"/>
    <xf numFmtId="164" fontId="5" fillId="0" borderId="0" xfId="4" applyNumberFormat="1" applyFont="1" applyFill="1"/>
    <xf numFmtId="164" fontId="5" fillId="6" borderId="0" xfId="7" applyNumberFormat="1" applyFont="1" applyFill="1"/>
    <xf numFmtId="164" fontId="5" fillId="6" borderId="0" xfId="4" applyFont="1" applyFill="1"/>
    <xf numFmtId="164" fontId="5" fillId="7" borderId="0" xfId="4" applyFont="1" applyFill="1"/>
    <xf numFmtId="164" fontId="5" fillId="7" borderId="0" xfId="7" applyNumberFormat="1" applyFont="1" applyFill="1"/>
    <xf numFmtId="44" fontId="5" fillId="0" borderId="0" xfId="14" applyFont="1"/>
    <xf numFmtId="164" fontId="5" fillId="8" borderId="0" xfId="4" applyFont="1" applyFill="1"/>
    <xf numFmtId="164" fontId="5" fillId="8" borderId="0" xfId="4" applyNumberFormat="1" applyFont="1" applyFill="1"/>
    <xf numFmtId="164" fontId="5" fillId="8" borderId="0" xfId="4" applyFont="1" applyFill="1" applyBorder="1"/>
    <xf numFmtId="164" fontId="6" fillId="0" borderId="23" xfId="7" applyNumberFormat="1" applyFont="1" applyFill="1" applyBorder="1"/>
    <xf numFmtId="0" fontId="6" fillId="0" borderId="23" xfId="7" applyFont="1" applyFill="1" applyBorder="1"/>
    <xf numFmtId="39" fontId="6" fillId="0" borderId="23" xfId="4" applyNumberFormat="1" applyFont="1" applyBorder="1"/>
    <xf numFmtId="10" fontId="6" fillId="0" borderId="23" xfId="4" applyNumberFormat="1" applyFont="1" applyBorder="1"/>
    <xf numFmtId="39" fontId="6" fillId="0" borderId="23" xfId="1" applyNumberFormat="1" applyFont="1" applyFill="1" applyBorder="1"/>
    <xf numFmtId="44" fontId="6" fillId="0" borderId="0" xfId="2" applyFont="1"/>
    <xf numFmtId="164" fontId="21" fillId="0" borderId="24" xfId="0" applyFont="1" applyBorder="1"/>
    <xf numFmtId="164" fontId="6" fillId="0" borderId="0" xfId="4" applyFont="1" applyAlignment="1">
      <alignment horizontal="left"/>
    </xf>
    <xf numFmtId="14" fontId="6" fillId="0" borderId="0" xfId="4" applyNumberFormat="1" applyFont="1" applyAlignment="1">
      <alignment horizontal="center"/>
    </xf>
    <xf numFmtId="39" fontId="6" fillId="0" borderId="0" xfId="4" applyNumberFormat="1" applyFont="1" applyBorder="1"/>
    <xf numFmtId="39" fontId="5" fillId="0" borderId="1" xfId="4" applyNumberFormat="1" applyFont="1" applyBorder="1" applyAlignment="1">
      <alignment horizontal="center" wrapText="1"/>
    </xf>
    <xf numFmtId="39" fontId="5" fillId="0" borderId="0" xfId="2" applyNumberFormat="1" applyFont="1"/>
    <xf numFmtId="39" fontId="5" fillId="0" borderId="0" xfId="2" applyNumberFormat="1" applyFont="1" applyFill="1"/>
    <xf numFmtId="10" fontId="5" fillId="0" borderId="0" xfId="1" applyNumberFormat="1" applyFont="1" applyFill="1" applyBorder="1"/>
    <xf numFmtId="39" fontId="5" fillId="9" borderId="0" xfId="1" applyNumberFormat="1" applyFont="1" applyFill="1"/>
    <xf numFmtId="39" fontId="5" fillId="9" borderId="0" xfId="0" applyNumberFormat="1" applyFont="1" applyFill="1"/>
    <xf numFmtId="39" fontId="5" fillId="9" borderId="0" xfId="1" applyNumberFormat="1" applyFont="1" applyFill="1" applyBorder="1"/>
    <xf numFmtId="39" fontId="5" fillId="0" borderId="0" xfId="0" applyNumberFormat="1" applyFont="1" applyFill="1" applyBorder="1"/>
    <xf numFmtId="39" fontId="6" fillId="0" borderId="0" xfId="0" applyNumberFormat="1" applyFont="1" applyFill="1" applyBorder="1"/>
    <xf numFmtId="164" fontId="5" fillId="0" borderId="0" xfId="0" applyFont="1" applyFill="1" applyBorder="1"/>
    <xf numFmtId="164" fontId="6" fillId="0" borderId="0" xfId="4" applyFont="1" applyFill="1"/>
    <xf numFmtId="164" fontId="5" fillId="0" borderId="0" xfId="4" applyFont="1" applyFill="1" applyAlignment="1">
      <alignment horizontal="center"/>
    </xf>
    <xf numFmtId="164" fontId="5" fillId="0" borderId="1" xfId="4" applyFont="1" applyFill="1" applyBorder="1" applyAlignment="1">
      <alignment horizontal="center"/>
    </xf>
    <xf numFmtId="164" fontId="6" fillId="0" borderId="0" xfId="4" applyFont="1" applyFill="1" applyAlignment="1">
      <alignment horizontal="left"/>
    </xf>
    <xf numFmtId="39" fontId="6" fillId="0" borderId="0" xfId="4" applyNumberFormat="1" applyFont="1" applyFill="1" applyBorder="1"/>
    <xf numFmtId="0" fontId="6" fillId="4" borderId="2" xfId="6" applyFont="1" applyFill="1" applyBorder="1" applyAlignment="1">
      <alignment horizontal="center"/>
    </xf>
    <xf numFmtId="0" fontId="6" fillId="0" borderId="4" xfId="6" applyFont="1" applyFill="1" applyBorder="1" applyAlignment="1">
      <alignment horizontal="center"/>
    </xf>
    <xf numFmtId="0" fontId="6" fillId="0" borderId="5" xfId="6" applyFont="1" applyFill="1" applyBorder="1" applyAlignment="1">
      <alignment horizontal="center"/>
    </xf>
    <xf numFmtId="0" fontId="6" fillId="0" borderId="6" xfId="6" applyFont="1" applyFill="1" applyBorder="1" applyAlignment="1">
      <alignment horizontal="center"/>
    </xf>
  </cellXfs>
  <cellStyles count="15">
    <cellStyle name="Comma" xfId="1" builtinId="3"/>
    <cellStyle name="Comma 10 2" xfId="9"/>
    <cellStyle name="Comma 2" xfId="12"/>
    <cellStyle name="Currency" xfId="2" builtinId="4"/>
    <cellStyle name="Currency 2" xfId="14"/>
    <cellStyle name="Normal" xfId="0" builtinId="0"/>
    <cellStyle name="Normal 147" xfId="6"/>
    <cellStyle name="Normal 2" xfId="13"/>
    <cellStyle name="Normal 2 2" xfId="11"/>
    <cellStyle name="Normal 43" xfId="5"/>
    <cellStyle name="Normal 6" xfId="10"/>
    <cellStyle name="Normal_4th quarter corrections with staff expanded" xfId="4"/>
    <cellStyle name="Normal_4th quarter corrections with staff expanded 2 3" xfId="7"/>
    <cellStyle name="Percent" xfId="3" builtinId="5"/>
    <cellStyle name="Percent 3" xfId="8"/>
  </cellStyles>
  <dxfs count="0"/>
  <tableStyles count="0" defaultTableStyle="TableStyleMedium2" defaultPivotStyle="PivotStyleLight16"/>
  <colors>
    <mruColors>
      <color rgb="FF66FF99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JV'S/DEC_JV9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PGA%20-%20OREGON\2016\September%20Filing\Rate%20Development\NWN%20Oregon%20PGA%20Rate%20Development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ocuments%20and%20Settings\jzs\Local%20Settings\Temporary%20Internet%20Files\OLK17C\Income%20Statement%20Budget%20-%20Version%2005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b\Local%20Settings\Temporary%20Internet%20Files\OLKB8\Oregon%20accounts%2010-1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as%20Accounting/JE%2029%20Amortization/2018/2018-11/JE%2029-2%20Amortization%20NOV%202018%20NEW%20RA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Regulatory%20Accounting\Deferred%20Accounts\OPUC%20Qtrly%20files\2012\Q3%202012\Deferred%20Accounts%20Summary%2003QTR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Regulatory%20Accounting\Deferred%20Accounts\OPUC%20Qtrly%20files\2012\Q3%202012\Deferred%20Accounts%20Summary%2003QTR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Board\201105%20Forecast\Margin\FCST%20Amortizations%20for%20May%20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Forecast%20-%20Board\201009%20Forecast\FCST%20Amortizations%2006-24-10%20for%20LS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2004Oregon%20PGA\flowingdispatch_og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2004Oregon%20PGA\flowingdispatch_og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Corp_Taxation\My_Documents\1120_98\101plant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_Taxation\My_Documents\1120_98\101plant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PGA%20-%20WASHINGTON\2006\Natasha%20worksheets\October%20Re-Filing\NWN%20AL%202006-07%20Washington%20PGA%20re-fil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06/Natasha%20worksheets/October%20Re-Filing/NWN%20AL%202006-07%20Washington%20PGA%20re-fil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%20PGA\2004%20Oregon\ot2004al%20%20sept14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2004%20PGA\2004%20Oregon\ot2004al%20%20sept14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orecast\2007%20Budget\proposed%20temps%202006-2007%20masterforecast%20update%20w1910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\200804%20Forecast\Margin%20model%20&amp;%20support\Forecast%20Amortizations%20Model%202008%20APR%20Board%20Mt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Forecast%20-%20Board\201005%20Forecast\Margin\FCST%20Amortizations%2003-23-10%20for%20L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"/>
      <sheetName val="OH DISTB"/>
      <sheetName val="JV 92"/>
      <sheetName val="ESTIMATE"/>
      <sheetName val="DEP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erage Bill by RS"/>
      <sheetName val="Rates in detail"/>
      <sheetName val="Rates in summary"/>
      <sheetName val="Class Price for Decoupling"/>
      <sheetName val="Permanents"/>
      <sheetName val="_@RISKFitInformation"/>
      <sheetName val="Temporaries"/>
      <sheetName val="Allocation equal ¢ per therm"/>
      <sheetName val="Allocation equal % of margin"/>
      <sheetName val="Equal % of margin_Sch 182"/>
      <sheetName val="Inputs"/>
      <sheetName val="Oregon volumes"/>
      <sheetName val="Amortization Rates"/>
      <sheetName val="Rev Chng Detail"/>
      <sheetName val="Attach A"/>
      <sheetName val="Attach B"/>
      <sheetName val="Attach C"/>
      <sheetName val="Attach D"/>
      <sheetName val="Attach E"/>
      <sheetName val="Rates for MAS GS"/>
      <sheetName val="Inputs for FCST MGN"/>
      <sheetName val="Rates for Tariff Sheets"/>
      <sheetName val="Cover"/>
      <sheetName val="OR Index"/>
      <sheetName val="F Goldenrod"/>
      <sheetName val="Statement of Rates"/>
      <sheetName val="Summary of Sales Rates"/>
      <sheetName val="Summary of Transportation Rates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2 Billing Rate History"/>
      <sheetName val="RS 3 Sales Billing Rate History"/>
      <sheetName val="RS 27 Sales Billing Rate Histor"/>
      <sheetName val="RS 31 Firm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 1 History 2002-2012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9 History 2002-2012"/>
      <sheetName val="RS 31 IntpSalesHist 2003-2012"/>
      <sheetName val="RS 1R Perm. Rates 1994-2012"/>
      <sheetName val="RS 2 Perm. Rates"/>
      <sheetName val="RS 3 Perm. Rates"/>
      <sheetName val="OR RS 54 History 2003-200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B30">
            <v>2.7320000000000001E-2</v>
          </cell>
        </row>
        <row r="82">
          <cell r="B82">
            <v>42309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Amort forecas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 refreshError="1"/>
      <sheetData sheetId="1" refreshError="1"/>
      <sheetData sheetId="2">
        <row r="17">
          <cell r="B17">
            <v>7.0800000000000002E-2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Upload"/>
      <sheetName val="Journal Page"/>
      <sheetName val="UNBILLED BLOCK MODEL"/>
      <sheetName val="Totals from Amort Schedules"/>
      <sheetName val="Old Journal Page"/>
      <sheetName val="CIS Data"/>
      <sheetName val="OR AMORT"/>
      <sheetName val="186231 Int Res"/>
      <sheetName val="186274 SEC Defer Int Amort"/>
      <sheetName val="186183"/>
      <sheetName val="186232"/>
      <sheetName val="186233"/>
      <sheetName val="186236"/>
      <sheetName val="186237"/>
      <sheetName val="186238"/>
      <sheetName val="186239"/>
      <sheetName val="186244"/>
      <sheetName val="186245"/>
      <sheetName val="186271"/>
      <sheetName val="186277"/>
      <sheetName val="186286"/>
      <sheetName val="186288"/>
      <sheetName val="186420"/>
      <sheetName val="191401"/>
      <sheetName val="191411"/>
      <sheetName val="186311"/>
      <sheetName val="254115"/>
      <sheetName val="186307"/>
      <sheetName val="191031"/>
      <sheetName val="254315"/>
      <sheetName val="254309"/>
      <sheetName val="191442"/>
      <sheetName val="254305"/>
      <sheetName val="191440"/>
      <sheetName val="191030"/>
      <sheetName val="184301"/>
      <sheetName val="186401"/>
      <sheetName val="254303"/>
      <sheetName val="186279"/>
      <sheetName val="WA AMORT"/>
      <sheetName val="186234"/>
      <sheetName val="186235"/>
      <sheetName val="186310"/>
      <sheetName val="186312"/>
      <sheetName val="186314"/>
      <sheetName val="186315"/>
      <sheetName val="186316"/>
      <sheetName val="191421"/>
      <sheetName val="254317"/>
      <sheetName val="254307"/>
      <sheetName val="186365"/>
      <sheetName val="SB 408 McBit"/>
      <sheetName val="OR WACOG Refd 201206"/>
      <sheetName val="WA WACOG Refd 201206"/>
      <sheetName val="191431"/>
      <sheetName val="254120"/>
      <sheetName val="Storage Credit "/>
      <sheetName val="Change Control Tab"/>
      <sheetName val="Instructions"/>
    </sheetNames>
    <sheetDataSet>
      <sheetData sheetId="0"/>
      <sheetData sheetId="1"/>
      <sheetData sheetId="2"/>
      <sheetData sheetId="3"/>
      <sheetData sheetId="4">
        <row r="6">
          <cell r="D6">
            <v>3312013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112"/>
      <sheetName val="GL"/>
      <sheetName val="Qtrly Report Summary"/>
      <sheetName val="186277 Amort Res Decoup"/>
      <sheetName val="186271 Amort Comm Decoup"/>
      <sheetName val="186275 Defer Res Decoup"/>
      <sheetName val="186270 Defer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370 Pension Expense Credit"/>
      <sheetName val="186401 SB408 Surcharge"/>
      <sheetName val="184301 McBIT Reserve"/>
      <sheetName val="186308 Defer AMR"/>
      <sheetName val="186307 AMR Amortization"/>
      <sheetName val="186232 Industrial DSM"/>
      <sheetName val="186292 Amort IMP Refund"/>
      <sheetName val="186229"/>
      <sheetName val="186259 Amort Tax Kicker"/>
      <sheetName val="186360 Amort Albany Refund"/>
      <sheetName val="186233 Industrial DSM AMORT"/>
      <sheetName val="186306 Amort Smart Energy"/>
      <sheetName val="186237 PUC Fee Amort"/>
      <sheetName val="254303 Earnings Test"/>
      <sheetName val="186279 Earnings Test Amort"/>
      <sheetName val="186231 Amort DSM"/>
      <sheetName val="186267 Amort Coos Bay"/>
      <sheetName val="191401 Amort WACOG"/>
      <sheetName val="191031 Amort Storage Adj"/>
      <sheetName val="191411 Amort Demand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17">
          <cell r="B17">
            <v>7.0800000000000002E-2</v>
          </cell>
        </row>
      </sheetData>
      <sheetData sheetId="1"/>
      <sheetData sheetId="2"/>
      <sheetData sheetId="3"/>
      <sheetData sheetId="4"/>
      <sheetData sheetId="5">
        <row r="11">
          <cell r="I11">
            <v>1.47E-2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112"/>
      <sheetName val="GL"/>
      <sheetName val="Qtrly Report Summary"/>
      <sheetName val="186277 Amort Res Decoup"/>
      <sheetName val="186271 Amort Comm Decoup"/>
      <sheetName val="186275 Defer Res Decoup"/>
      <sheetName val="186270 Defer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370 Pension Expense Credit"/>
      <sheetName val="186401 SB408 Surcharge"/>
      <sheetName val="184301 McBIT Reserve"/>
      <sheetName val="186308 Defer AMR"/>
      <sheetName val="186307 AMR Amortization"/>
      <sheetName val="186232 Industrial DSM"/>
      <sheetName val="186292 Amort IMP Refund"/>
      <sheetName val="186229"/>
      <sheetName val="186259 Amort Tax Kicker"/>
      <sheetName val="186360 Amort Albany Refund"/>
      <sheetName val="186233 Industrial DSM AMORT"/>
      <sheetName val="186306 Amort Smart Energy"/>
      <sheetName val="186237 PUC Fee Amort"/>
      <sheetName val="254303 Earnings Test"/>
      <sheetName val="186279 Earnings Test Amort"/>
      <sheetName val="186231 Amort DSM"/>
      <sheetName val="186267 Amort Coos Bay"/>
      <sheetName val="191401 Amort WACOG"/>
      <sheetName val="191031 Amort Storage Adj"/>
      <sheetName val="191411 Amort Demand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17">
          <cell r="B17">
            <v>7.0800000000000002E-2</v>
          </cell>
        </row>
      </sheetData>
      <sheetData sheetId="1"/>
      <sheetData sheetId="2"/>
      <sheetData sheetId="3"/>
      <sheetData sheetId="4"/>
      <sheetData sheetId="5">
        <row r="11">
          <cell r="I11">
            <v>1.47E-2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1011"/>
      <sheetName val="OR Amort Rates1011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86237 Amort PUC Fee"/>
      <sheetName val="186233 Amort Ind DSM"/>
      <sheetName val="186307 Amort AMR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0 WA Furn now EE GEN"/>
      <sheetName val="186312 WA EE (ETO)"/>
      <sheetName val="186316 WA Amort catchall"/>
      <sheetName val="186314 WA LIEE"/>
      <sheetName val="186315 WA Amort WA LIEE"/>
      <sheetName val="186234 GREAT"/>
      <sheetName val="186235 GREAT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E3">
            <v>2.24E-2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dec 09 balances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2.24E-2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</sheetNames>
    <sheetDataSet>
      <sheetData sheetId="0"/>
      <sheetData sheetId="1"/>
      <sheetData sheetId="2"/>
      <sheetData sheetId="3"/>
      <sheetData sheetId="4" refreshError="1">
        <row r="3">
          <cell r="B3" t="str">
            <v>PIPELINE CHARGES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5">
          <cell r="B5" t="str">
            <v>CURSOR AT A3</v>
          </cell>
        </row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4">
          <cell r="B4" t="str">
            <v>CURFSOR AT q93</v>
          </cell>
        </row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3">
          <cell r="K3">
            <v>0</v>
          </cell>
        </row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3">
          <cell r="C3" t="str">
            <v>From Dispatch</v>
          </cell>
        </row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</sheetNames>
    <sheetDataSet>
      <sheetData sheetId="0"/>
      <sheetData sheetId="1"/>
      <sheetData sheetId="2"/>
      <sheetData sheetId="3"/>
      <sheetData sheetId="4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>
        <row r="5">
          <cell r="C5" t="str">
            <v xml:space="preserve">NORTHWEST NATURAL GAS </v>
          </cell>
          <cell r="P5">
            <v>0.39773000000000053</v>
          </cell>
          <cell r="AI5">
            <v>31371054.446440294</v>
          </cell>
          <cell r="AJ5">
            <v>0.44963999999999998</v>
          </cell>
        </row>
        <row r="6">
          <cell r="C6" t="str">
            <v>WACOG Summary</v>
          </cell>
          <cell r="AI6">
            <v>119167734.22158545</v>
          </cell>
          <cell r="AJ6">
            <v>0.53</v>
          </cell>
        </row>
        <row r="7">
          <cell r="P7">
            <v>0.43986999999999982</v>
          </cell>
          <cell r="R7" t="e">
            <v>#DIV/0!</v>
          </cell>
        </row>
        <row r="9">
          <cell r="D9" t="str">
            <v xml:space="preserve">          OCTOBER </v>
          </cell>
          <cell r="F9" t="str">
            <v xml:space="preserve">          NOVEMBER</v>
          </cell>
          <cell r="H9" t="str">
            <v xml:space="preserve">          DECEMBER</v>
          </cell>
          <cell r="J9" t="str">
            <v xml:space="preserve">          JANUARY</v>
          </cell>
          <cell r="L9" t="str">
            <v xml:space="preserve">          FEBRUARY</v>
          </cell>
          <cell r="N9" t="str">
            <v xml:space="preserve">          MARCH</v>
          </cell>
          <cell r="P9" t="str">
            <v xml:space="preserve">          APRIL</v>
          </cell>
          <cell r="R9" t="str">
            <v xml:space="preserve">            MAY</v>
          </cell>
          <cell r="T9" t="str">
            <v xml:space="preserve">           JUNE </v>
          </cell>
          <cell r="V9" t="str">
            <v xml:space="preserve">           JULY </v>
          </cell>
          <cell r="X9" t="str">
            <v xml:space="preserve">           AUGUST </v>
          </cell>
          <cell r="Z9" t="str">
            <v xml:space="preserve">          SEPTEMBER </v>
          </cell>
          <cell r="AB9" t="str">
            <v xml:space="preserve">          TOTAL </v>
          </cell>
          <cell r="AC9" t="str">
            <v xml:space="preserve">          TOTAL </v>
          </cell>
          <cell r="AD9" t="str">
            <v>AVERAGE</v>
          </cell>
        </row>
        <row r="10">
          <cell r="C10" t="str">
            <v>Supply Source</v>
          </cell>
          <cell r="D10" t="str">
            <v>Volumes</v>
          </cell>
          <cell r="E10" t="str">
            <v>Cost</v>
          </cell>
          <cell r="F10" t="str">
            <v>Volumes</v>
          </cell>
          <cell r="G10" t="str">
            <v>Cost</v>
          </cell>
          <cell r="H10" t="str">
            <v>Volumes</v>
          </cell>
          <cell r="I10" t="str">
            <v>Cost</v>
          </cell>
          <cell r="J10" t="str">
            <v>Volumes</v>
          </cell>
          <cell r="K10" t="str">
            <v>Cost</v>
          </cell>
          <cell r="L10" t="str">
            <v>Volumes</v>
          </cell>
          <cell r="M10" t="str">
            <v>Cost</v>
          </cell>
          <cell r="N10" t="str">
            <v>Volumes</v>
          </cell>
          <cell r="O10" t="str">
            <v>Cost</v>
          </cell>
          <cell r="P10" t="str">
            <v>Volumes</v>
          </cell>
          <cell r="Q10" t="str">
            <v>Cost</v>
          </cell>
          <cell r="R10" t="str">
            <v>Volumes</v>
          </cell>
          <cell r="S10" t="str">
            <v>Cost</v>
          </cell>
          <cell r="T10" t="str">
            <v>Volumes</v>
          </cell>
          <cell r="U10" t="str">
            <v>Cost</v>
          </cell>
          <cell r="V10" t="str">
            <v>Volumes</v>
          </cell>
          <cell r="W10" t="str">
            <v>Cost</v>
          </cell>
          <cell r="X10" t="str">
            <v>Volumes</v>
          </cell>
          <cell r="Y10" t="str">
            <v>Cost</v>
          </cell>
          <cell r="Z10" t="str">
            <v>Volumes</v>
          </cell>
          <cell r="AA10" t="str">
            <v>Cost</v>
          </cell>
          <cell r="AB10" t="str">
            <v>Volumes</v>
          </cell>
          <cell r="AC10" t="str">
            <v>Cost</v>
          </cell>
          <cell r="AD10" t="str">
            <v>COST</v>
          </cell>
          <cell r="AF10" t="str">
            <v>PRICE</v>
          </cell>
        </row>
        <row r="11">
          <cell r="AF11" t="str">
            <v>CHECK</v>
          </cell>
        </row>
        <row r="12">
          <cell r="C12" t="str">
            <v>Storage</v>
          </cell>
          <cell r="AG12" t="str">
            <v>Storage</v>
          </cell>
        </row>
        <row r="13">
          <cell r="C13" t="str">
            <v>Mist</v>
          </cell>
          <cell r="D13">
            <v>5024371</v>
          </cell>
          <cell r="E13">
            <v>2242326.5335900001</v>
          </cell>
          <cell r="F13">
            <v>20241101</v>
          </cell>
          <cell r="G13">
            <v>9033400.9652900007</v>
          </cell>
          <cell r="H13">
            <v>27483343</v>
          </cell>
          <cell r="I13">
            <v>12265541.147469997</v>
          </cell>
          <cell r="J13">
            <v>30227347</v>
          </cell>
          <cell r="K13">
            <v>13490162.692630002</v>
          </cell>
          <cell r="L13">
            <v>6655018</v>
          </cell>
          <cell r="M13">
            <v>2970067.9832199994</v>
          </cell>
          <cell r="N13">
            <v>738900</v>
          </cell>
          <cell r="O13">
            <v>329763.68099999998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90370080</v>
          </cell>
          <cell r="AC13">
            <v>40331263.003199995</v>
          </cell>
          <cell r="AD13">
            <v>0.44629000000000002</v>
          </cell>
          <cell r="AE13">
            <v>0</v>
          </cell>
          <cell r="AF13" t="str">
            <v xml:space="preserve">    OK</v>
          </cell>
          <cell r="AG13" t="str">
            <v>Mist</v>
          </cell>
          <cell r="AJ13">
            <v>0</v>
          </cell>
        </row>
        <row r="14">
          <cell r="C14" t="str">
            <v>SGS-1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 xml:space="preserve">                   N/A</v>
          </cell>
          <cell r="AE14">
            <v>0</v>
          </cell>
          <cell r="AF14" t="str">
            <v xml:space="preserve">    N/A</v>
          </cell>
          <cell r="AG14" t="str">
            <v>SGS-1</v>
          </cell>
        </row>
        <row r="15">
          <cell r="C15" t="str">
            <v>SGS-2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2334536</v>
          </cell>
          <cell r="I15">
            <v>1089434.5697600001</v>
          </cell>
          <cell r="J15">
            <v>4005240</v>
          </cell>
          <cell r="K15">
            <v>1869085.2983999997</v>
          </cell>
          <cell r="L15">
            <v>2797207</v>
          </cell>
          <cell r="M15">
            <v>1305344.6186199998</v>
          </cell>
          <cell r="N15">
            <v>1621468</v>
          </cell>
          <cell r="O15">
            <v>756674.25688000012</v>
          </cell>
          <cell r="P15">
            <v>444416</v>
          </cell>
          <cell r="Q15">
            <v>207391.17056000003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11202867</v>
          </cell>
          <cell r="AC15">
            <v>5227929.9142199997</v>
          </cell>
          <cell r="AD15">
            <v>0.46666000000000002</v>
          </cell>
          <cell r="AE15">
            <v>0</v>
          </cell>
          <cell r="AF15" t="str">
            <v xml:space="preserve">    OK</v>
          </cell>
          <cell r="AG15" t="str">
            <v>SGS-2</v>
          </cell>
        </row>
        <row r="16">
          <cell r="C16" t="str">
            <v>Gasco</v>
          </cell>
          <cell r="D16">
            <v>62000</v>
          </cell>
          <cell r="E16">
            <v>24659.259999999984</v>
          </cell>
          <cell r="F16">
            <v>60000</v>
          </cell>
          <cell r="G16">
            <v>23863.799999999985</v>
          </cell>
          <cell r="H16">
            <v>62000</v>
          </cell>
          <cell r="I16">
            <v>24659.259999999984</v>
          </cell>
          <cell r="J16">
            <v>544578</v>
          </cell>
          <cell r="K16">
            <v>216595.00793999978</v>
          </cell>
          <cell r="L16">
            <v>56000</v>
          </cell>
          <cell r="M16">
            <v>22272.879999999986</v>
          </cell>
          <cell r="N16">
            <v>1208117</v>
          </cell>
          <cell r="O16">
            <v>480504.37441000005</v>
          </cell>
          <cell r="P16">
            <v>855608</v>
          </cell>
          <cell r="Q16">
            <v>340300.96984000044</v>
          </cell>
          <cell r="R16">
            <v>62000</v>
          </cell>
          <cell r="S16">
            <v>24659.259999999984</v>
          </cell>
          <cell r="T16">
            <v>60000</v>
          </cell>
          <cell r="U16">
            <v>23863.799999999985</v>
          </cell>
          <cell r="V16">
            <v>62000</v>
          </cell>
          <cell r="W16">
            <v>24659.259999999984</v>
          </cell>
          <cell r="X16">
            <v>62000</v>
          </cell>
          <cell r="Y16">
            <v>24659.259999999984</v>
          </cell>
          <cell r="Z16">
            <v>60000</v>
          </cell>
          <cell r="AA16">
            <v>23863.799999999985</v>
          </cell>
          <cell r="AB16">
            <v>3154303</v>
          </cell>
          <cell r="AC16">
            <v>1254560.9321900003</v>
          </cell>
          <cell r="AD16">
            <v>0.39772999999999997</v>
          </cell>
          <cell r="AE16">
            <v>0</v>
          </cell>
          <cell r="AF16" t="str">
            <v xml:space="preserve">    OK</v>
          </cell>
          <cell r="AG16" t="str">
            <v>Gasco</v>
          </cell>
        </row>
        <row r="17">
          <cell r="C17" t="str">
            <v>LS-1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1248345</v>
          </cell>
          <cell r="K17">
            <v>678425.57370000007</v>
          </cell>
          <cell r="L17">
            <v>1129916</v>
          </cell>
          <cell r="M17">
            <v>614064.14936000016</v>
          </cell>
          <cell r="N17">
            <v>1059002</v>
          </cell>
          <cell r="O17">
            <v>575525.22692000004</v>
          </cell>
          <cell r="P17">
            <v>1351729</v>
          </cell>
          <cell r="Q17">
            <v>734610.64234000002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4788992</v>
          </cell>
          <cell r="AC17">
            <v>2602625.5923200003</v>
          </cell>
          <cell r="AD17">
            <v>0.54346000000000005</v>
          </cell>
          <cell r="AE17">
            <v>0</v>
          </cell>
          <cell r="AF17" t="str">
            <v xml:space="preserve">    OK</v>
          </cell>
          <cell r="AG17" t="str">
            <v>LS-1</v>
          </cell>
        </row>
        <row r="18">
          <cell r="C18" t="str">
            <v>Newport</v>
          </cell>
          <cell r="D18">
            <v>155000</v>
          </cell>
          <cell r="E18">
            <v>68179.849999999977</v>
          </cell>
          <cell r="F18">
            <v>150000</v>
          </cell>
          <cell r="G18">
            <v>65980.499999999971</v>
          </cell>
          <cell r="H18">
            <v>155000</v>
          </cell>
          <cell r="I18">
            <v>68179.849999999977</v>
          </cell>
          <cell r="J18">
            <v>1345000</v>
          </cell>
          <cell r="K18">
            <v>591625.14999999944</v>
          </cell>
          <cell r="L18">
            <v>2327141</v>
          </cell>
          <cell r="M18">
            <v>1023639.5116699997</v>
          </cell>
          <cell r="N18">
            <v>3308910</v>
          </cell>
          <cell r="O18">
            <v>1455490.2416999997</v>
          </cell>
          <cell r="P18">
            <v>1752792</v>
          </cell>
          <cell r="Q18">
            <v>771000.61703999969</v>
          </cell>
          <cell r="R18">
            <v>155000</v>
          </cell>
          <cell r="S18">
            <v>68179.849999999977</v>
          </cell>
          <cell r="T18">
            <v>150000</v>
          </cell>
          <cell r="U18">
            <v>65980.499999999971</v>
          </cell>
          <cell r="V18">
            <v>155000</v>
          </cell>
          <cell r="W18">
            <v>68179.849999999977</v>
          </cell>
          <cell r="X18">
            <v>155000</v>
          </cell>
          <cell r="Y18">
            <v>68179.849999999977</v>
          </cell>
          <cell r="Z18">
            <v>150000</v>
          </cell>
          <cell r="AA18">
            <v>65980.499999999971</v>
          </cell>
          <cell r="AB18">
            <v>9958843</v>
          </cell>
          <cell r="AC18">
            <v>4380596.2704099976</v>
          </cell>
          <cell r="AD18">
            <v>0.43986999999999998</v>
          </cell>
          <cell r="AE18">
            <v>0</v>
          </cell>
          <cell r="AF18" t="str">
            <v xml:space="preserve">    OK</v>
          </cell>
          <cell r="AG18" t="str">
            <v>Newport</v>
          </cell>
        </row>
        <row r="19">
          <cell r="C19" t="str">
            <v>Engage1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                   N/A</v>
          </cell>
          <cell r="AE19">
            <v>0</v>
          </cell>
          <cell r="AF19" t="str">
            <v xml:space="preserve">    N/A</v>
          </cell>
          <cell r="AG19" t="str">
            <v>Engage1</v>
          </cell>
        </row>
        <row r="20">
          <cell r="C20" t="str">
            <v>Engage2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                   N/A</v>
          </cell>
          <cell r="AE20">
            <v>0</v>
          </cell>
          <cell r="AF20" t="str">
            <v xml:space="preserve">    N/A</v>
          </cell>
          <cell r="AG20" t="str">
            <v>Engage2</v>
          </cell>
        </row>
        <row r="21">
          <cell r="C21" t="str">
            <v>Engage3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 xml:space="preserve">                   N/A</v>
          </cell>
          <cell r="AE21">
            <v>0</v>
          </cell>
          <cell r="AF21" t="str">
            <v xml:space="preserve">    N/A</v>
          </cell>
          <cell r="AG21" t="str">
            <v>Engage3</v>
          </cell>
        </row>
        <row r="22">
          <cell r="C22" t="str">
            <v>Total</v>
          </cell>
          <cell r="D22">
            <v>5241371</v>
          </cell>
          <cell r="E22">
            <v>2335165.64359</v>
          </cell>
          <cell r="F22">
            <v>20451101</v>
          </cell>
          <cell r="G22">
            <v>9123245.2652900014</v>
          </cell>
          <cell r="H22">
            <v>30034879</v>
          </cell>
          <cell r="I22">
            <v>13447814.827229997</v>
          </cell>
          <cell r="J22">
            <v>37370510</v>
          </cell>
          <cell r="K22">
            <v>16845893.72267</v>
          </cell>
          <cell r="L22">
            <v>12965282</v>
          </cell>
          <cell r="M22">
            <v>5935389.1428699987</v>
          </cell>
          <cell r="N22">
            <v>7936397</v>
          </cell>
          <cell r="O22">
            <v>3597957.7809099997</v>
          </cell>
          <cell r="P22">
            <v>4404545</v>
          </cell>
          <cell r="Q22">
            <v>2053303.3997800003</v>
          </cell>
          <cell r="R22">
            <v>217000</v>
          </cell>
          <cell r="S22">
            <v>92839.109999999957</v>
          </cell>
          <cell r="T22">
            <v>210000</v>
          </cell>
          <cell r="U22">
            <v>89844.299999999959</v>
          </cell>
          <cell r="V22">
            <v>217000</v>
          </cell>
          <cell r="W22">
            <v>92839.109999999957</v>
          </cell>
          <cell r="X22">
            <v>217000</v>
          </cell>
          <cell r="Y22">
            <v>92839.109999999957</v>
          </cell>
          <cell r="Z22">
            <v>210000</v>
          </cell>
          <cell r="AA22">
            <v>89844.299999999959</v>
          </cell>
          <cell r="AB22">
            <v>119475085</v>
          </cell>
          <cell r="AC22">
            <v>53796975.712339997</v>
          </cell>
          <cell r="AD22">
            <v>0.45027777726494189</v>
          </cell>
          <cell r="AE22">
            <v>0</v>
          </cell>
          <cell r="AF22" t="str">
            <v xml:space="preserve"> </v>
          </cell>
        </row>
        <row r="23">
          <cell r="E23">
            <v>0.38008665398613845</v>
          </cell>
        </row>
        <row r="24">
          <cell r="D24">
            <v>21350320</v>
          </cell>
          <cell r="E24">
            <v>8114971.690333331</v>
          </cell>
        </row>
        <row r="25">
          <cell r="C25" t="str">
            <v>Portfolio Supplies</v>
          </cell>
          <cell r="D25" t="str">
            <v xml:space="preserve">          OCTOBER </v>
          </cell>
          <cell r="F25" t="str">
            <v xml:space="preserve">          NOVEMBER</v>
          </cell>
          <cell r="H25" t="str">
            <v xml:space="preserve">          DECEMBER</v>
          </cell>
          <cell r="J25" t="str">
            <v xml:space="preserve">          JANUARY</v>
          </cell>
          <cell r="L25" t="str">
            <v xml:space="preserve">          FEBRUARY</v>
          </cell>
          <cell r="N25" t="str">
            <v xml:space="preserve">          MARCH</v>
          </cell>
          <cell r="P25" t="str">
            <v xml:space="preserve">          APRIL</v>
          </cell>
          <cell r="R25" t="str">
            <v xml:space="preserve">            MAY</v>
          </cell>
          <cell r="T25" t="str">
            <v xml:space="preserve">           JUNE </v>
          </cell>
          <cell r="V25" t="str">
            <v xml:space="preserve">           JULY </v>
          </cell>
          <cell r="X25" t="str">
            <v xml:space="preserve">           AUGUST </v>
          </cell>
          <cell r="Z25" t="str">
            <v xml:space="preserve">          SEPTEMBER </v>
          </cell>
          <cell r="AB25" t="str">
            <v xml:space="preserve">          TOTAL </v>
          </cell>
          <cell r="AD25" t="str">
            <v>AVERAGE</v>
          </cell>
        </row>
        <row r="26">
          <cell r="D26" t="str">
            <v>Volumes</v>
          </cell>
          <cell r="E26" t="str">
            <v>Cost</v>
          </cell>
          <cell r="F26" t="str">
            <v>Volumes</v>
          </cell>
          <cell r="G26" t="str">
            <v>Cost</v>
          </cell>
          <cell r="H26" t="str">
            <v>Volumes</v>
          </cell>
          <cell r="I26" t="str">
            <v>Cost</v>
          </cell>
          <cell r="J26" t="str">
            <v>Volumes</v>
          </cell>
          <cell r="K26" t="str">
            <v>Cost</v>
          </cell>
          <cell r="L26" t="str">
            <v>Volumes</v>
          </cell>
          <cell r="M26" t="str">
            <v>Cost</v>
          </cell>
          <cell r="N26" t="str">
            <v>Volumes</v>
          </cell>
          <cell r="O26" t="str">
            <v>Cost</v>
          </cell>
          <cell r="P26" t="str">
            <v>Volumes</v>
          </cell>
          <cell r="Q26" t="str">
            <v>Cost</v>
          </cell>
          <cell r="R26" t="str">
            <v>Volumes</v>
          </cell>
          <cell r="S26" t="str">
            <v>Cost</v>
          </cell>
          <cell r="T26" t="str">
            <v>Volumes</v>
          </cell>
          <cell r="U26" t="str">
            <v>Cost</v>
          </cell>
          <cell r="V26" t="str">
            <v>Volumes</v>
          </cell>
          <cell r="W26" t="str">
            <v>Cost</v>
          </cell>
          <cell r="X26" t="str">
            <v>Volumes</v>
          </cell>
          <cell r="Y26" t="str">
            <v>Cost</v>
          </cell>
          <cell r="Z26" t="str">
            <v>Volumes</v>
          </cell>
          <cell r="AA26" t="str">
            <v>Cost</v>
          </cell>
          <cell r="AB26" t="str">
            <v>Volumes</v>
          </cell>
          <cell r="AC26" t="str">
            <v>Cost</v>
          </cell>
          <cell r="AD26" t="str">
            <v>COST</v>
          </cell>
          <cell r="AE26" t="str">
            <v xml:space="preserve">   MIST PROD PRICE ROUTINE</v>
          </cell>
        </row>
        <row r="27">
          <cell r="C27" t="str">
            <v>Annual Contracts</v>
          </cell>
          <cell r="AE27" t="str">
            <v>FLOWING GAS</v>
          </cell>
          <cell r="AF27" t="str">
            <v>FLOWING GAS</v>
          </cell>
          <cell r="AH27" t="str">
            <v>Annual Contracts</v>
          </cell>
          <cell r="AI27" t="str">
            <v>Flowing Dispatch</v>
          </cell>
          <cell r="AJ27" t="str">
            <v>Prices</v>
          </cell>
          <cell r="AK27" t="str">
            <v>Flowing Cost</v>
          </cell>
        </row>
        <row r="28">
          <cell r="C28" t="str">
            <v>Mist Production</v>
          </cell>
          <cell r="D28">
            <v>406100</v>
          </cell>
          <cell r="E28">
            <v>199037.73199999984</v>
          </cell>
          <cell r="F28">
            <v>393000</v>
          </cell>
          <cell r="G28">
            <v>192617.15999999986</v>
          </cell>
          <cell r="H28">
            <v>406100</v>
          </cell>
          <cell r="I28">
            <v>199037.73199999984</v>
          </cell>
          <cell r="J28">
            <v>406100</v>
          </cell>
          <cell r="K28">
            <v>199037.73199999984</v>
          </cell>
          <cell r="L28">
            <v>366800</v>
          </cell>
          <cell r="M28">
            <v>179776.01599999989</v>
          </cell>
          <cell r="N28">
            <v>406100</v>
          </cell>
          <cell r="O28">
            <v>199037.73199999984</v>
          </cell>
          <cell r="P28">
            <v>386953.51027964638</v>
          </cell>
          <cell r="Q28">
            <v>189653.65445826022</v>
          </cell>
          <cell r="R28">
            <v>391690.92593158828</v>
          </cell>
          <cell r="S28">
            <v>191975.55661759007</v>
          </cell>
          <cell r="T28">
            <v>345431.93483693205</v>
          </cell>
          <cell r="U28">
            <v>169303.09990227711</v>
          </cell>
          <cell r="V28">
            <v>237208.79672250213</v>
          </cell>
          <cell r="W28">
            <v>116260.77544963274</v>
          </cell>
          <cell r="X28">
            <v>236889.37349633285</v>
          </cell>
          <cell r="Y28">
            <v>116104.21973802269</v>
          </cell>
          <cell r="Z28">
            <v>279593.28593434754</v>
          </cell>
          <cell r="AA28">
            <v>137034.26130214243</v>
          </cell>
          <cell r="AB28">
            <v>4261967.8272013497</v>
          </cell>
          <cell r="AC28">
            <v>2088875.6714679243</v>
          </cell>
          <cell r="AD28">
            <v>0.49011999999999972</v>
          </cell>
          <cell r="AE28" t="str">
            <v>COST</v>
          </cell>
          <cell r="AF28" t="str">
            <v>VOLUMES</v>
          </cell>
          <cell r="AG28">
            <v>0.49012</v>
          </cell>
          <cell r="AH28" t="str">
            <v>Mist Production</v>
          </cell>
          <cell r="AI28" t="str">
            <v>Mist Production</v>
          </cell>
          <cell r="AJ28" t="str">
            <v>Mist Production</v>
          </cell>
          <cell r="AK28" t="str">
            <v>Mist Production</v>
          </cell>
        </row>
        <row r="29">
          <cell r="C29" t="str">
            <v>DukeBCS2BS</v>
          </cell>
          <cell r="D29">
            <v>5980520</v>
          </cell>
          <cell r="E29">
            <v>1628463.583333333</v>
          </cell>
          <cell r="F29">
            <v>5787600</v>
          </cell>
          <cell r="G29">
            <v>2830842.1170742284</v>
          </cell>
          <cell r="H29">
            <v>5980520</v>
          </cell>
          <cell r="I29">
            <v>2925203.5209767027</v>
          </cell>
          <cell r="J29">
            <v>5980520</v>
          </cell>
          <cell r="K29">
            <v>2925203.5209767027</v>
          </cell>
          <cell r="L29">
            <v>5401760</v>
          </cell>
          <cell r="M29">
            <v>2642119.3092692797</v>
          </cell>
          <cell r="N29">
            <v>5980520</v>
          </cell>
          <cell r="O29">
            <v>2925203.5209767027</v>
          </cell>
          <cell r="P29">
            <v>5698555.0536755258</v>
          </cell>
          <cell r="Q29">
            <v>2787288.2805326679</v>
          </cell>
          <cell r="R29">
            <v>5768321.6359329792</v>
          </cell>
          <cell r="S29">
            <v>2821412.6463179188</v>
          </cell>
          <cell r="T29">
            <v>5087078.5395985441</v>
          </cell>
          <cell r="U29">
            <v>2488201.7041191533</v>
          </cell>
          <cell r="V29">
            <v>3493306.9514278714</v>
          </cell>
          <cell r="W29">
            <v>1708653.0592940412</v>
          </cell>
          <cell r="X29">
            <v>3488602.8957948512</v>
          </cell>
          <cell r="Y29">
            <v>1706352.2024955379</v>
          </cell>
          <cell r="Z29">
            <v>3964983.6035543191</v>
          </cell>
          <cell r="AA29">
            <v>1939360.4565709974</v>
          </cell>
          <cell r="AB29">
            <v>62612288.679984093</v>
          </cell>
          <cell r="AC29">
            <v>29328303.921937265</v>
          </cell>
          <cell r="AD29">
            <v>0.46841130615487214</v>
          </cell>
          <cell r="AE29">
            <v>29328303.921937265</v>
          </cell>
          <cell r="AF29">
            <v>62612288.679984093</v>
          </cell>
          <cell r="AG29">
            <v>0.47105299530917383</v>
          </cell>
          <cell r="AH29" t="str">
            <v>DukeBCS2BS</v>
          </cell>
          <cell r="AI29" t="str">
            <v>DukeBCS2BS</v>
          </cell>
          <cell r="AJ29" t="str">
            <v>DukeBCS2BS</v>
          </cell>
          <cell r="AK29" t="str">
            <v>DukeBCS2BS</v>
          </cell>
        </row>
        <row r="30">
          <cell r="C30" t="str">
            <v>Duke1ABSTBS</v>
          </cell>
          <cell r="D30">
            <v>2996460</v>
          </cell>
          <cell r="E30">
            <v>1387250</v>
          </cell>
          <cell r="F30">
            <v>2899800</v>
          </cell>
          <cell r="G30">
            <v>1343250</v>
          </cell>
          <cell r="H30">
            <v>2996460</v>
          </cell>
          <cell r="I30">
            <v>1388025</v>
          </cell>
          <cell r="J30">
            <v>2996460</v>
          </cell>
          <cell r="K30">
            <v>1388025</v>
          </cell>
          <cell r="L30">
            <v>2706480</v>
          </cell>
          <cell r="M30">
            <v>1253700</v>
          </cell>
          <cell r="N30">
            <v>2996460</v>
          </cell>
          <cell r="O30">
            <v>1388025</v>
          </cell>
          <cell r="P30">
            <v>2855185.2140176049</v>
          </cell>
          <cell r="Q30">
            <v>1322583.4673871123</v>
          </cell>
          <cell r="R30">
            <v>2890140.8321028501</v>
          </cell>
          <cell r="S30">
            <v>1338775.6647776235</v>
          </cell>
          <cell r="T30">
            <v>2548813.0397967817</v>
          </cell>
          <cell r="U30">
            <v>1180665.2581926435</v>
          </cell>
          <cell r="V30">
            <v>1750274.9840608442</v>
          </cell>
          <cell r="W30">
            <v>810765.1811641244</v>
          </cell>
          <cell r="X30">
            <v>1747918.0795538572</v>
          </cell>
          <cell r="Y30">
            <v>809673.41208384</v>
          </cell>
          <cell r="Z30">
            <v>1986602.2969083576</v>
          </cell>
          <cell r="AA30">
            <v>920237.09749712097</v>
          </cell>
          <cell r="AB30">
            <v>31371054.446440294</v>
          </cell>
          <cell r="AC30">
            <v>14530975.081102464</v>
          </cell>
          <cell r="AD30">
            <v>0.46319689718785684</v>
          </cell>
          <cell r="AE30">
            <v>14530975.081102464</v>
          </cell>
          <cell r="AF30">
            <v>31371054.446440294</v>
          </cell>
          <cell r="AG30">
            <v>0.46320004827919165</v>
          </cell>
          <cell r="AH30" t="str">
            <v>Duke1ABSTBS</v>
          </cell>
          <cell r="AI30" t="str">
            <v>Duke1ABSTBS</v>
          </cell>
          <cell r="AJ30" t="str">
            <v>Duke1ABSTBS</v>
          </cell>
          <cell r="AK30" t="str">
            <v>Duke1ABSTBS</v>
          </cell>
        </row>
        <row r="31">
          <cell r="C31" t="str">
            <v>CoralABSTBS</v>
          </cell>
          <cell r="D31">
            <v>2996460</v>
          </cell>
          <cell r="E31">
            <v>1416700.0000000002</v>
          </cell>
          <cell r="F31">
            <v>2899800</v>
          </cell>
          <cell r="G31">
            <v>1371000.0000000002</v>
          </cell>
          <cell r="H31">
            <v>2996460</v>
          </cell>
          <cell r="I31">
            <v>1416700.0000000002</v>
          </cell>
          <cell r="J31">
            <v>2996460</v>
          </cell>
          <cell r="K31">
            <v>1416700.0000000002</v>
          </cell>
          <cell r="L31">
            <v>2706480</v>
          </cell>
          <cell r="M31">
            <v>1279600.0000000002</v>
          </cell>
          <cell r="N31">
            <v>2996460</v>
          </cell>
          <cell r="O31">
            <v>1416700.0000000002</v>
          </cell>
          <cell r="P31">
            <v>2855185.2140176049</v>
          </cell>
          <cell r="Q31">
            <v>1349906.5205938811</v>
          </cell>
          <cell r="R31">
            <v>2890140.8321028501</v>
          </cell>
          <cell r="S31">
            <v>1366433.230158289</v>
          </cell>
          <cell r="T31">
            <v>2548813.0397967817</v>
          </cell>
          <cell r="U31">
            <v>1205056.4444311294</v>
          </cell>
          <cell r="V31">
            <v>1750274.9840608442</v>
          </cell>
          <cell r="W31">
            <v>827514.65726857621</v>
          </cell>
          <cell r="X31">
            <v>1747918.0795538572</v>
          </cell>
          <cell r="Y31">
            <v>826400.33349484089</v>
          </cell>
          <cell r="Z31">
            <v>2063014.276214812</v>
          </cell>
          <cell r="AA31">
            <v>975375.05093127384</v>
          </cell>
          <cell r="AB31">
            <v>31447466.425746754</v>
          </cell>
          <cell r="AC31">
            <v>14868086.236877991</v>
          </cell>
          <cell r="AD31">
            <v>0.4727912269811711</v>
          </cell>
          <cell r="AE31">
            <v>14868086.236877991</v>
          </cell>
          <cell r="AF31">
            <v>31447466.425746754</v>
          </cell>
          <cell r="AG31">
            <v>0.47279122698117099</v>
          </cell>
          <cell r="AH31" t="str">
            <v>CoralABSTBS</v>
          </cell>
          <cell r="AI31" t="str">
            <v>CoralABSTBS</v>
          </cell>
          <cell r="AJ31" t="str">
            <v>CoralABSTBS</v>
          </cell>
          <cell r="AK31" t="str">
            <v>CoralABSTBS</v>
          </cell>
        </row>
        <row r="32">
          <cell r="C32" t="str">
            <v>CoralBCS2BS</v>
          </cell>
          <cell r="D32">
            <v>2990260</v>
          </cell>
          <cell r="E32">
            <v>1202506.7916666665</v>
          </cell>
          <cell r="F32">
            <v>2893800</v>
          </cell>
          <cell r="G32">
            <v>1100421.0585371142</v>
          </cell>
          <cell r="H32">
            <v>2990260</v>
          </cell>
          <cell r="I32">
            <v>1137101.7604883513</v>
          </cell>
          <cell r="J32">
            <v>2990260</v>
          </cell>
          <cell r="K32">
            <v>1137101.7604883513</v>
          </cell>
          <cell r="L32">
            <v>2700880</v>
          </cell>
          <cell r="M32">
            <v>1027059.6546346399</v>
          </cell>
          <cell r="N32">
            <v>2990260</v>
          </cell>
          <cell r="O32">
            <v>1137101.7604883513</v>
          </cell>
          <cell r="P32">
            <v>2849277.5268377629</v>
          </cell>
          <cell r="Q32">
            <v>1083490.5633246326</v>
          </cell>
          <cell r="R32">
            <v>2884160.8179664896</v>
          </cell>
          <cell r="S32">
            <v>1096755.5810000529</v>
          </cell>
          <cell r="T32">
            <v>2543539.2697992721</v>
          </cell>
          <cell r="U32">
            <v>967227.92719027982</v>
          </cell>
          <cell r="V32">
            <v>1746653.4757139357</v>
          </cell>
          <cell r="W32">
            <v>664197.34143432789</v>
          </cell>
          <cell r="X32">
            <v>1744301.4478974256</v>
          </cell>
          <cell r="Y32">
            <v>663302.93928505958</v>
          </cell>
          <cell r="Z32">
            <v>1982491.8017771596</v>
          </cell>
          <cell r="AA32">
            <v>753879.23389756435</v>
          </cell>
          <cell r="AB32">
            <v>31306144.339992046</v>
          </cell>
          <cell r="AC32">
            <v>11970146.372435393</v>
          </cell>
          <cell r="AD32">
            <v>0.38235773279637392</v>
          </cell>
          <cell r="AE32">
            <v>11970146.372435393</v>
          </cell>
          <cell r="AF32">
            <v>31306144.339992046</v>
          </cell>
          <cell r="AG32">
            <v>0.38026852530828453</v>
          </cell>
          <cell r="AH32" t="str">
            <v>CoralBCS2BS</v>
          </cell>
          <cell r="AI32" t="str">
            <v>CoralBCS2BS</v>
          </cell>
          <cell r="AJ32" t="str">
            <v>CoralBCS2BS</v>
          </cell>
          <cell r="AK32" t="str">
            <v>CoralBCS2BS</v>
          </cell>
        </row>
        <row r="33">
          <cell r="C33" t="str">
            <v>SempraBCS2BS</v>
          </cell>
          <cell r="D33">
            <v>2990260</v>
          </cell>
          <cell r="E33">
            <v>1151356.7916666665</v>
          </cell>
          <cell r="F33">
            <v>2893800</v>
          </cell>
          <cell r="G33">
            <v>1112421.0585371142</v>
          </cell>
          <cell r="H33">
            <v>2990260</v>
          </cell>
          <cell r="I33">
            <v>1149501.7604883513</v>
          </cell>
          <cell r="J33">
            <v>2990260</v>
          </cell>
          <cell r="K33">
            <v>1149501.7604883513</v>
          </cell>
          <cell r="L33">
            <v>2700880</v>
          </cell>
          <cell r="M33">
            <v>1038259.6546346399</v>
          </cell>
          <cell r="N33">
            <v>2990260</v>
          </cell>
          <cell r="O33">
            <v>1149501.7604883513</v>
          </cell>
          <cell r="P33">
            <v>2849277.5268377629</v>
          </cell>
          <cell r="Q33">
            <v>1095305.9376843167</v>
          </cell>
          <cell r="R33">
            <v>2884160.8179664896</v>
          </cell>
          <cell r="S33">
            <v>1108715.6092727729</v>
          </cell>
          <cell r="T33">
            <v>2543539.2697992721</v>
          </cell>
          <cell r="U33">
            <v>977775.46718530066</v>
          </cell>
          <cell r="V33">
            <v>1746653.4757139357</v>
          </cell>
          <cell r="W33">
            <v>671440.35812814476</v>
          </cell>
          <cell r="X33">
            <v>1744301.4478974256</v>
          </cell>
          <cell r="Y33">
            <v>670536.20259792451</v>
          </cell>
          <cell r="Z33">
            <v>1982491.8017771596</v>
          </cell>
          <cell r="AA33">
            <v>762100.22415996168</v>
          </cell>
          <cell r="AB33">
            <v>31306144.339992046</v>
          </cell>
          <cell r="AC33">
            <v>12036416.585331896</v>
          </cell>
          <cell r="AD33">
            <v>0.38447457644779243</v>
          </cell>
          <cell r="AE33">
            <v>12036416.585331896</v>
          </cell>
          <cell r="AF33">
            <v>31306144.339992046</v>
          </cell>
          <cell r="AG33">
            <v>0.38441532190791128</v>
          </cell>
          <cell r="AH33" t="str">
            <v>SempraBCS2BS</v>
          </cell>
          <cell r="AI33" t="str">
            <v>SempraBCS2BS</v>
          </cell>
          <cell r="AJ33" t="str">
            <v>SempraBCS2BS</v>
          </cell>
          <cell r="AK33" t="str">
            <v>SempraBCS2BS</v>
          </cell>
        </row>
        <row r="34">
          <cell r="C34" t="str">
            <v>BPCanadaBCS2BS</v>
          </cell>
          <cell r="D34">
            <v>2990260</v>
          </cell>
          <cell r="E34">
            <v>1129656.7916666665</v>
          </cell>
          <cell r="F34">
            <v>2893800</v>
          </cell>
          <cell r="G34">
            <v>1091421.0585371142</v>
          </cell>
          <cell r="H34">
            <v>2990260</v>
          </cell>
          <cell r="I34">
            <v>1127801.7604883513</v>
          </cell>
          <cell r="J34">
            <v>2990260</v>
          </cell>
          <cell r="K34">
            <v>1127801.7604883513</v>
          </cell>
          <cell r="L34">
            <v>2700880</v>
          </cell>
          <cell r="M34">
            <v>1018659.6546346399</v>
          </cell>
          <cell r="N34">
            <v>2990260</v>
          </cell>
          <cell r="O34">
            <v>1127801.7604883513</v>
          </cell>
          <cell r="P34">
            <v>2849277.5268377629</v>
          </cell>
          <cell r="Q34">
            <v>1074629.0325548698</v>
          </cell>
          <cell r="R34">
            <v>2884160.8179664896</v>
          </cell>
          <cell r="S34">
            <v>1087785.5597955126</v>
          </cell>
          <cell r="T34">
            <v>2543539.2697992721</v>
          </cell>
          <cell r="U34">
            <v>959317.2721940144</v>
          </cell>
          <cell r="V34">
            <v>1746653.4757139357</v>
          </cell>
          <cell r="W34">
            <v>658765.07891396515</v>
          </cell>
          <cell r="X34">
            <v>1744301.4478974256</v>
          </cell>
          <cell r="Y34">
            <v>657877.99180041079</v>
          </cell>
          <cell r="Z34">
            <v>1982491.8017771596</v>
          </cell>
          <cell r="AA34">
            <v>747713.49120076606</v>
          </cell>
          <cell r="AB34">
            <v>31306144.339992046</v>
          </cell>
          <cell r="AC34">
            <v>11809231.212763013</v>
          </cell>
          <cell r="AD34">
            <v>0.37721768239844555</v>
          </cell>
          <cell r="AE34">
            <v>11809231.212763013</v>
          </cell>
          <cell r="AF34">
            <v>31306144.339992046</v>
          </cell>
          <cell r="AG34">
            <v>0.3771584278585644</v>
          </cell>
          <cell r="AH34" t="str">
            <v>BPCanadaBCS2BS</v>
          </cell>
          <cell r="AI34" t="str">
            <v>BPCanadaBCS2BS</v>
          </cell>
          <cell r="AJ34" t="str">
            <v>BPCanadaBCS2BS</v>
          </cell>
          <cell r="AK34" t="str">
            <v>BPCanadaBCS2BS</v>
          </cell>
        </row>
        <row r="35">
          <cell r="C35" t="str">
            <v>SempraABTCBS</v>
          </cell>
          <cell r="D35">
            <v>0</v>
          </cell>
          <cell r="E35">
            <v>0</v>
          </cell>
          <cell r="F35">
            <v>2880000</v>
          </cell>
          <cell r="G35">
            <v>1409421.0585371146</v>
          </cell>
          <cell r="H35">
            <v>2976000</v>
          </cell>
          <cell r="I35">
            <v>1456401.7604883518</v>
          </cell>
          <cell r="J35">
            <v>2976000</v>
          </cell>
          <cell r="K35">
            <v>1456401.7604883518</v>
          </cell>
          <cell r="L35">
            <v>2688000</v>
          </cell>
          <cell r="M35">
            <v>1315459.6546346403</v>
          </cell>
          <cell r="N35">
            <v>2976000</v>
          </cell>
          <cell r="O35">
            <v>1456401.7604883518</v>
          </cell>
          <cell r="P35">
            <v>2835689.8463241262</v>
          </cell>
          <cell r="Q35">
            <v>1387736.4530864921</v>
          </cell>
          <cell r="R35">
            <v>2870406.7854528618</v>
          </cell>
          <cell r="S35">
            <v>1404726.3090225998</v>
          </cell>
          <cell r="T35">
            <v>2531409.5988049977</v>
          </cell>
          <cell r="U35">
            <v>1238827.0820620665</v>
          </cell>
          <cell r="V35">
            <v>1738324.0065160466</v>
          </cell>
          <cell r="W35">
            <v>850705.02130011201</v>
          </cell>
          <cell r="X35">
            <v>1735983.1950876305</v>
          </cell>
          <cell r="Y35">
            <v>849559.46959133679</v>
          </cell>
          <cell r="Z35">
            <v>1973037.6629754019</v>
          </cell>
          <cell r="AA35">
            <v>965569.73315430013</v>
          </cell>
          <cell r="AB35">
            <v>28180851.095161065</v>
          </cell>
          <cell r="AC35">
            <v>13791210.062853716</v>
          </cell>
          <cell r="AD35">
            <v>0.48938231199205356</v>
          </cell>
          <cell r="AE35">
            <v>13791210.062853716</v>
          </cell>
          <cell r="AF35">
            <v>28180851.095161065</v>
          </cell>
          <cell r="AG35">
            <v>0.48938231199205345</v>
          </cell>
          <cell r="AH35" t="str">
            <v>SempraABTCBS</v>
          </cell>
          <cell r="AI35" t="str">
            <v>SempraABTCBS</v>
          </cell>
          <cell r="AJ35" t="str">
            <v>SempraABTCBS</v>
          </cell>
          <cell r="AK35" t="str">
            <v>SempraABTCBS</v>
          </cell>
        </row>
        <row r="36">
          <cell r="C36" t="str">
            <v>HuskeyABSTBS</v>
          </cell>
          <cell r="D36">
            <v>0</v>
          </cell>
          <cell r="E36">
            <v>0</v>
          </cell>
          <cell r="F36">
            <v>2899800</v>
          </cell>
          <cell r="G36">
            <v>1606500</v>
          </cell>
          <cell r="H36">
            <v>2996460</v>
          </cell>
          <cell r="I36">
            <v>1660050</v>
          </cell>
          <cell r="J36">
            <v>2996460</v>
          </cell>
          <cell r="K36">
            <v>1660050</v>
          </cell>
          <cell r="L36">
            <v>2706480</v>
          </cell>
          <cell r="M36">
            <v>1499400</v>
          </cell>
          <cell r="N36">
            <v>2996460</v>
          </cell>
          <cell r="O36">
            <v>1660050</v>
          </cell>
          <cell r="P36">
            <v>2855185.2140176049</v>
          </cell>
          <cell r="Q36">
            <v>1581783.242402677</v>
          </cell>
          <cell r="R36">
            <v>2890140.8321028501</v>
          </cell>
          <cell r="S36">
            <v>1601148.7850104244</v>
          </cell>
          <cell r="T36">
            <v>2548813.0397967817</v>
          </cell>
          <cell r="U36">
            <v>1412051.9168334133</v>
          </cell>
          <cell r="V36">
            <v>1750274.9840608442</v>
          </cell>
          <cell r="W36">
            <v>969658.85988473182</v>
          </cell>
          <cell r="X36">
            <v>1747918.0795538572</v>
          </cell>
          <cell r="Y36">
            <v>968353.12600981875</v>
          </cell>
          <cell r="Z36">
            <v>1986602.2969083576</v>
          </cell>
          <cell r="AA36">
            <v>1100585.0713784664</v>
          </cell>
          <cell r="AB36">
            <v>28374594.446440294</v>
          </cell>
          <cell r="AC36">
            <v>15719631.001519533</v>
          </cell>
          <cell r="AD36">
            <v>0.55400372439478596</v>
          </cell>
          <cell r="AE36">
            <v>15719631.001519533</v>
          </cell>
          <cell r="AF36">
            <v>28374594.446440294</v>
          </cell>
          <cell r="AG36">
            <v>0.55400372439478585</v>
          </cell>
          <cell r="AH36" t="str">
            <v>HuskeyABSTBS</v>
          </cell>
          <cell r="AI36" t="str">
            <v>HuskeyABSTBS</v>
          </cell>
          <cell r="AJ36" t="str">
            <v>HuskeyABSTBS</v>
          </cell>
          <cell r="AK36" t="str">
            <v>HuskeyABSTBS</v>
          </cell>
        </row>
        <row r="37">
          <cell r="C37" t="str">
            <v>BurlingtonABSTBS</v>
          </cell>
          <cell r="D37">
            <v>0</v>
          </cell>
          <cell r="E37">
            <v>0</v>
          </cell>
          <cell r="F37">
            <v>4349700</v>
          </cell>
          <cell r="G37">
            <v>2468250</v>
          </cell>
          <cell r="H37">
            <v>4494690</v>
          </cell>
          <cell r="I37">
            <v>2550525</v>
          </cell>
          <cell r="J37">
            <v>4494690</v>
          </cell>
          <cell r="K37">
            <v>2550525</v>
          </cell>
          <cell r="L37">
            <v>4059720</v>
          </cell>
          <cell r="M37">
            <v>2303700</v>
          </cell>
          <cell r="N37">
            <v>4494690</v>
          </cell>
          <cell r="O37">
            <v>2550525</v>
          </cell>
          <cell r="P37">
            <v>4282777.8210264072</v>
          </cell>
          <cell r="Q37">
            <v>2430274.8136074743</v>
          </cell>
          <cell r="R37">
            <v>4335211.2481542751</v>
          </cell>
          <cell r="S37">
            <v>2460028.3153451472</v>
          </cell>
          <cell r="T37">
            <v>3823219.5596951731</v>
          </cell>
          <cell r="U37">
            <v>2169497.1327258451</v>
          </cell>
          <cell r="V37">
            <v>2618762.7981440164</v>
          </cell>
          <cell r="W37">
            <v>1486024.6169894401</v>
          </cell>
          <cell r="X37">
            <v>2621739.9480202263</v>
          </cell>
          <cell r="Y37">
            <v>1487714.0094031594</v>
          </cell>
          <cell r="Z37">
            <v>2979903.4453625376</v>
          </cell>
          <cell r="AA37">
            <v>1690954.9345968873</v>
          </cell>
          <cell r="AB37">
            <v>42555104.820402637</v>
          </cell>
          <cell r="AC37">
            <v>24148018.822667956</v>
          </cell>
          <cell r="AD37">
            <v>0.56745292778812328</v>
          </cell>
          <cell r="AE37">
            <v>24148018.822667956</v>
          </cell>
          <cell r="AF37">
            <v>42555104.820402637</v>
          </cell>
          <cell r="AG37">
            <v>0.56745292778812317</v>
          </cell>
          <cell r="AH37" t="str">
            <v>BurlingtonABSTBS</v>
          </cell>
          <cell r="AI37" t="str">
            <v>BurlingtonABSTBS</v>
          </cell>
          <cell r="AJ37" t="str">
            <v>BurlingtonABSTBS</v>
          </cell>
          <cell r="AK37" t="str">
            <v>BurlingtonABSTBS</v>
          </cell>
        </row>
        <row r="38">
          <cell r="C38" t="str">
            <v>Unused "R"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 xml:space="preserve">                      N/A</v>
          </cell>
          <cell r="AE38">
            <v>0</v>
          </cell>
          <cell r="AF38">
            <v>0</v>
          </cell>
          <cell r="AG38" t="e">
            <v>#DIV/0!</v>
          </cell>
          <cell r="AH38" t="str">
            <v>Unused "R"</v>
          </cell>
          <cell r="AI38" t="str">
            <v>Unused "R"</v>
          </cell>
          <cell r="AJ38" t="str">
            <v>Unused "R"</v>
          </cell>
          <cell r="AK38" t="str">
            <v>Unused "R"</v>
          </cell>
        </row>
        <row r="39">
          <cell r="C39" t="str">
            <v>BPCanadaABTCBS</v>
          </cell>
          <cell r="D39">
            <v>0</v>
          </cell>
          <cell r="E39">
            <v>0</v>
          </cell>
          <cell r="F39">
            <v>2880000</v>
          </cell>
          <cell r="G39">
            <v>1302921.0585371142</v>
          </cell>
          <cell r="H39">
            <v>2976000</v>
          </cell>
          <cell r="I39">
            <v>1346351.7604883513</v>
          </cell>
          <cell r="J39">
            <v>2976000</v>
          </cell>
          <cell r="K39">
            <v>1346351.7604883513</v>
          </cell>
          <cell r="L39">
            <v>2688000</v>
          </cell>
          <cell r="M39">
            <v>1216059.6546346399</v>
          </cell>
          <cell r="N39">
            <v>2976000</v>
          </cell>
          <cell r="O39">
            <v>1346351.7604883513</v>
          </cell>
          <cell r="P39">
            <v>2835689.8463241262</v>
          </cell>
          <cell r="Q39">
            <v>1282875.0056442979</v>
          </cell>
          <cell r="R39">
            <v>2870406.7854528618</v>
          </cell>
          <cell r="S39">
            <v>1298581.0581022073</v>
          </cell>
          <cell r="T39">
            <v>2531409.5988049977</v>
          </cell>
          <cell r="U39">
            <v>1145217.6646062562</v>
          </cell>
          <cell r="V39">
            <v>1722648.4809007014</v>
          </cell>
          <cell r="W39">
            <v>779331.59104947664</v>
          </cell>
          <cell r="X39">
            <v>1720254.9316687325</v>
          </cell>
          <cell r="Y39">
            <v>778248.74184844282</v>
          </cell>
          <cell r="Z39">
            <v>1973037.6629754019</v>
          </cell>
          <cell r="AA39">
            <v>892608.44457552209</v>
          </cell>
          <cell r="AB39">
            <v>28149447.306126822</v>
          </cell>
          <cell r="AC39">
            <v>12734898.500463013</v>
          </cell>
          <cell r="AD39">
            <v>0.45240314532538689</v>
          </cell>
          <cell r="AE39">
            <v>12734898.500463013</v>
          </cell>
          <cell r="AF39">
            <v>28149447.306126822</v>
          </cell>
          <cell r="AG39">
            <v>0.45240314532538672</v>
          </cell>
          <cell r="AH39" t="str">
            <v>BPCanadaABTCBS</v>
          </cell>
          <cell r="AI39" t="str">
            <v>BPCanadaABTCBS</v>
          </cell>
          <cell r="AJ39" t="str">
            <v>BPCanadaABTCBS</v>
          </cell>
          <cell r="AK39" t="str">
            <v>BPCanadaABTCBS</v>
          </cell>
        </row>
        <row r="40">
          <cell r="C40" t="str">
            <v>Unused "T"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 xml:space="preserve">                      N/A</v>
          </cell>
          <cell r="AE40">
            <v>0</v>
          </cell>
          <cell r="AF40">
            <v>0</v>
          </cell>
          <cell r="AG40" t="e">
            <v>#DIV/0!</v>
          </cell>
          <cell r="AH40" t="str">
            <v>Unused "T"</v>
          </cell>
          <cell r="AI40" t="str">
            <v>Unused "T"</v>
          </cell>
          <cell r="AJ40" t="str">
            <v>Unused "T"</v>
          </cell>
          <cell r="AK40" t="str">
            <v>Unused "T"</v>
          </cell>
        </row>
        <row r="41">
          <cell r="C41" t="str">
            <v>BPCanadaABSTBS</v>
          </cell>
          <cell r="D41">
            <v>0</v>
          </cell>
          <cell r="E41">
            <v>0</v>
          </cell>
          <cell r="F41">
            <v>2899800</v>
          </cell>
          <cell r="G41">
            <v>1662000</v>
          </cell>
          <cell r="H41">
            <v>2996460</v>
          </cell>
          <cell r="I41">
            <v>1717400</v>
          </cell>
          <cell r="J41">
            <v>2996460</v>
          </cell>
          <cell r="K41">
            <v>1717400</v>
          </cell>
          <cell r="L41">
            <v>2706480</v>
          </cell>
          <cell r="M41">
            <v>1551200</v>
          </cell>
          <cell r="N41">
            <v>2996460</v>
          </cell>
          <cell r="O41">
            <v>1717400</v>
          </cell>
          <cell r="P41">
            <v>2815940.848838788</v>
          </cell>
          <cell r="Q41">
            <v>1613936.7165908217</v>
          </cell>
          <cell r="R41">
            <v>2801077.8371433723</v>
          </cell>
          <cell r="S41">
            <v>1605418.0858446392</v>
          </cell>
          <cell r="T41">
            <v>2268928.3069528341</v>
          </cell>
          <cell r="U41">
            <v>1300420.3207654352</v>
          </cell>
          <cell r="V41">
            <v>1051051.3979529366</v>
          </cell>
          <cell r="W41">
            <v>602402.72549754498</v>
          </cell>
          <cell r="X41">
            <v>1043170.7431930697</v>
          </cell>
          <cell r="Y41">
            <v>597885.98358055099</v>
          </cell>
          <cell r="Z41">
            <v>1436676.7033048626</v>
          </cell>
          <cell r="AA41">
            <v>823421.16038784815</v>
          </cell>
          <cell r="AB41">
            <v>26012505.837385863</v>
          </cell>
          <cell r="AC41">
            <v>14908884.992666841</v>
          </cell>
          <cell r="AD41">
            <v>0.57314297537761227</v>
          </cell>
          <cell r="AE41">
            <v>14908884.992666841</v>
          </cell>
          <cell r="AF41">
            <v>26012505.837385863</v>
          </cell>
          <cell r="AG41">
            <v>0.57314297537761227</v>
          </cell>
          <cell r="AH41" t="str">
            <v>BPCanadaABSTBS</v>
          </cell>
          <cell r="AI41" t="str">
            <v>BPCanadaABSTBS</v>
          </cell>
          <cell r="AJ41" t="str">
            <v>BPCanadaABSTBS</v>
          </cell>
          <cell r="AK41" t="str">
            <v>BPCanadaABSTBS</v>
          </cell>
        </row>
        <row r="42">
          <cell r="C42" t="str">
            <v>Unused "V"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 xml:space="preserve">                      N/A</v>
          </cell>
          <cell r="AE42">
            <v>0</v>
          </cell>
          <cell r="AF42">
            <v>0</v>
          </cell>
          <cell r="AG42" t="e">
            <v>#DIV/0!</v>
          </cell>
          <cell r="AH42" t="str">
            <v>Unused "V"</v>
          </cell>
          <cell r="AI42" t="str">
            <v>Unused "V"</v>
          </cell>
          <cell r="AJ42" t="str">
            <v>Unused "V"</v>
          </cell>
        </row>
        <row r="43">
          <cell r="C43" t="str">
            <v>Winter Only Base Supplies</v>
          </cell>
          <cell r="AH43" t="str">
            <v>Winter Only Base Supplies</v>
          </cell>
        </row>
        <row r="44">
          <cell r="C44" t="str">
            <v>Duke2ABSTBS</v>
          </cell>
          <cell r="D44">
            <v>0</v>
          </cell>
          <cell r="E44">
            <v>0</v>
          </cell>
          <cell r="F44">
            <v>1449900</v>
          </cell>
          <cell r="G44">
            <v>839625</v>
          </cell>
          <cell r="H44">
            <v>1498230</v>
          </cell>
          <cell r="I44">
            <v>867612.5</v>
          </cell>
          <cell r="J44">
            <v>1498230</v>
          </cell>
          <cell r="K44">
            <v>867612.5</v>
          </cell>
          <cell r="L44">
            <v>1353240</v>
          </cell>
          <cell r="M44">
            <v>783650</v>
          </cell>
          <cell r="N44">
            <v>1449900</v>
          </cell>
          <cell r="O44">
            <v>839625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7249500</v>
          </cell>
          <cell r="AC44">
            <v>4198125</v>
          </cell>
          <cell r="AD44">
            <v>0.57909166149389613</v>
          </cell>
          <cell r="AE44">
            <v>4198125</v>
          </cell>
          <cell r="AF44">
            <v>7249500</v>
          </cell>
          <cell r="AG44">
            <v>0.57909166149389613</v>
          </cell>
          <cell r="AH44" t="str">
            <v>Duke2ABSTBS</v>
          </cell>
          <cell r="AI44" t="str">
            <v>Duke2ABSTBS</v>
          </cell>
          <cell r="AJ44" t="str">
            <v>Duke2ABSTBS</v>
          </cell>
          <cell r="AK44" t="str">
            <v>Duke2ABSTBS</v>
          </cell>
        </row>
        <row r="45">
          <cell r="C45" t="str">
            <v>Duke3ABSTBS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4494690</v>
          </cell>
          <cell r="I45">
            <v>2798137.4999999995</v>
          </cell>
          <cell r="J45">
            <v>4494690</v>
          </cell>
          <cell r="K45">
            <v>2798137.4999999995</v>
          </cell>
          <cell r="L45">
            <v>4059720</v>
          </cell>
          <cell r="M45">
            <v>2527349.9999999995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13049100</v>
          </cell>
          <cell r="AC45">
            <v>8123624.9999999981</v>
          </cell>
          <cell r="AD45">
            <v>0.6225429339954478</v>
          </cell>
          <cell r="AE45">
            <v>8123624.9999999981</v>
          </cell>
          <cell r="AF45">
            <v>13049100</v>
          </cell>
          <cell r="AG45">
            <v>0.62254293399544791</v>
          </cell>
          <cell r="AH45" t="str">
            <v>Duke3ABSTBS</v>
          </cell>
          <cell r="AI45" t="str">
            <v>Duke3ABSTBS</v>
          </cell>
          <cell r="AJ45" t="str">
            <v>Duke3ABSTBS</v>
          </cell>
          <cell r="AK45" t="str">
            <v>Duke3ABSTBS</v>
          </cell>
        </row>
        <row r="46">
          <cell r="C46" t="str">
            <v>SempraABSTBS</v>
          </cell>
          <cell r="D46">
            <v>0</v>
          </cell>
          <cell r="E46">
            <v>0</v>
          </cell>
          <cell r="F46">
            <v>2899800</v>
          </cell>
          <cell r="G46">
            <v>1796999.9999999998</v>
          </cell>
          <cell r="H46">
            <v>2996460</v>
          </cell>
          <cell r="I46">
            <v>1856899.9999999998</v>
          </cell>
          <cell r="J46">
            <v>2996460</v>
          </cell>
          <cell r="K46">
            <v>1856899.9999999998</v>
          </cell>
          <cell r="L46">
            <v>2706480</v>
          </cell>
          <cell r="M46">
            <v>1677199.9999999998</v>
          </cell>
          <cell r="N46">
            <v>2899800</v>
          </cell>
          <cell r="O46">
            <v>1796999.9999999998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14499000</v>
          </cell>
          <cell r="AC46">
            <v>8984999.9999999981</v>
          </cell>
          <cell r="AD46">
            <v>0.61969791020070342</v>
          </cell>
          <cell r="AE46">
            <v>8984999.9999999981</v>
          </cell>
          <cell r="AF46">
            <v>14499000</v>
          </cell>
          <cell r="AG46">
            <v>0.61969791020070342</v>
          </cell>
          <cell r="AH46" t="str">
            <v>SempraABSTBS</v>
          </cell>
          <cell r="AI46" t="str">
            <v>SempraABSTBS</v>
          </cell>
          <cell r="AJ46" t="str">
            <v>SempraABSTBS</v>
          </cell>
          <cell r="AK46" t="str">
            <v>SempraABSTBS</v>
          </cell>
        </row>
        <row r="47">
          <cell r="C47" t="str">
            <v>CanadianresABTCBS</v>
          </cell>
          <cell r="D47">
            <v>0</v>
          </cell>
          <cell r="E47">
            <v>0</v>
          </cell>
          <cell r="F47">
            <v>2880000</v>
          </cell>
          <cell r="G47">
            <v>1557921.0585371142</v>
          </cell>
          <cell r="H47">
            <v>2976000</v>
          </cell>
          <cell r="I47">
            <v>1609851.7604883513</v>
          </cell>
          <cell r="J47">
            <v>2976000</v>
          </cell>
          <cell r="K47">
            <v>1609851.7604883513</v>
          </cell>
          <cell r="L47">
            <v>2688000</v>
          </cell>
          <cell r="M47">
            <v>1454059.6546346399</v>
          </cell>
          <cell r="N47">
            <v>2642149.8960673762</v>
          </cell>
          <cell r="O47">
            <v>1429257.2787829905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14162149.896067377</v>
          </cell>
          <cell r="AC47">
            <v>7660941.5129314475</v>
          </cell>
          <cell r="AD47">
            <v>0.54094481199205346</v>
          </cell>
          <cell r="AE47">
            <v>7660941.5129314475</v>
          </cell>
          <cell r="AF47">
            <v>14162149.896067377</v>
          </cell>
          <cell r="AG47">
            <v>0.54094481199205335</v>
          </cell>
          <cell r="AH47" t="str">
            <v>CanadianresABTCBS</v>
          </cell>
          <cell r="AI47" t="str">
            <v>CanadianresABTCBS</v>
          </cell>
          <cell r="AJ47" t="str">
            <v>CanadianresABTCBS</v>
          </cell>
          <cell r="AK47" t="str">
            <v>CanadianresABTCBS</v>
          </cell>
        </row>
        <row r="48">
          <cell r="C48" t="str">
            <v>NationalFuelRKBS</v>
          </cell>
          <cell r="D48">
            <v>0</v>
          </cell>
          <cell r="E48">
            <v>0</v>
          </cell>
          <cell r="F48">
            <v>2959800</v>
          </cell>
          <cell r="G48">
            <v>1845000</v>
          </cell>
          <cell r="H48">
            <v>3058460</v>
          </cell>
          <cell r="I48">
            <v>1906500</v>
          </cell>
          <cell r="J48">
            <v>3058460</v>
          </cell>
          <cell r="K48">
            <v>1906500</v>
          </cell>
          <cell r="L48">
            <v>2762480</v>
          </cell>
          <cell r="M48">
            <v>1722000</v>
          </cell>
          <cell r="N48">
            <v>2660815.8544119522</v>
          </cell>
          <cell r="O48">
            <v>1658627.3570477909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14500015.854411952</v>
          </cell>
          <cell r="AC48">
            <v>9038627.3570477907</v>
          </cell>
          <cell r="AD48">
            <v>0.6233529292519765</v>
          </cell>
          <cell r="AE48">
            <v>9038627.3570477907</v>
          </cell>
          <cell r="AF48">
            <v>14500015.854411952</v>
          </cell>
          <cell r="AG48">
            <v>0.6233529292519765</v>
          </cell>
          <cell r="AH48" t="str">
            <v>NationalFuelRKBS</v>
          </cell>
          <cell r="AI48" t="str">
            <v>NationalFuelRKBS</v>
          </cell>
          <cell r="AJ48" t="str">
            <v>NationalFuelRKBS</v>
          </cell>
          <cell r="AK48" t="str">
            <v>NationalFuelRKBS</v>
          </cell>
        </row>
        <row r="49">
          <cell r="C49" t="str">
            <v>OneokRKBS</v>
          </cell>
          <cell r="D49">
            <v>0</v>
          </cell>
          <cell r="E49">
            <v>0</v>
          </cell>
          <cell r="F49">
            <v>4439700</v>
          </cell>
          <cell r="G49">
            <v>2684250</v>
          </cell>
          <cell r="H49">
            <v>4587690</v>
          </cell>
          <cell r="I49">
            <v>2773725</v>
          </cell>
          <cell r="J49">
            <v>4587690</v>
          </cell>
          <cell r="K49">
            <v>2773725</v>
          </cell>
          <cell r="L49">
            <v>4143720</v>
          </cell>
          <cell r="M49">
            <v>2505300</v>
          </cell>
          <cell r="N49">
            <v>3824522.902745334</v>
          </cell>
          <cell r="O49">
            <v>2312312.9044066407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21583322.902745336</v>
          </cell>
          <cell r="AC49">
            <v>13049312.904406641</v>
          </cell>
          <cell r="AD49">
            <v>0.60460166227447798</v>
          </cell>
          <cell r="AE49">
            <v>13049312.904406641</v>
          </cell>
          <cell r="AF49">
            <v>21583322.902745336</v>
          </cell>
          <cell r="AG49">
            <v>0.60460166227447798</v>
          </cell>
          <cell r="AH49" t="str">
            <v>OneokRKBS</v>
          </cell>
          <cell r="AI49" t="str">
            <v>OneokRKBS</v>
          </cell>
          <cell r="AJ49" t="str">
            <v>OneokRKBS</v>
          </cell>
          <cell r="AK49" t="str">
            <v>OneokRKBS</v>
          </cell>
        </row>
        <row r="50">
          <cell r="C50" t="str">
            <v>EnsercoRKBS</v>
          </cell>
          <cell r="D50">
            <v>0</v>
          </cell>
          <cell r="E50">
            <v>0</v>
          </cell>
          <cell r="F50">
            <v>2959800</v>
          </cell>
          <cell r="G50">
            <v>1783499.9999999998</v>
          </cell>
          <cell r="H50">
            <v>3058460</v>
          </cell>
          <cell r="I50">
            <v>1842949.9999999998</v>
          </cell>
          <cell r="J50">
            <v>3058460</v>
          </cell>
          <cell r="K50">
            <v>1842949.9999999998</v>
          </cell>
          <cell r="L50">
            <v>2762480</v>
          </cell>
          <cell r="M50">
            <v>1664599.9999999998</v>
          </cell>
          <cell r="N50">
            <v>2350367.1097286339</v>
          </cell>
          <cell r="O50">
            <v>1416271.2819112837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14189567.109728634</v>
          </cell>
          <cell r="AC50">
            <v>8550271.2819112837</v>
          </cell>
          <cell r="AD50">
            <v>0.60257449827691056</v>
          </cell>
          <cell r="AE50">
            <v>8550271.2819112837</v>
          </cell>
          <cell r="AF50">
            <v>14189567.109728634</v>
          </cell>
          <cell r="AG50">
            <v>0.60257449827691056</v>
          </cell>
          <cell r="AH50" t="str">
            <v>EnsercoRKBS</v>
          </cell>
          <cell r="AI50" t="str">
            <v>EnsercoRKBS</v>
          </cell>
          <cell r="AJ50" t="str">
            <v>EnsercoRKBS</v>
          </cell>
          <cell r="AK50" t="str">
            <v>EnsercoRKBS</v>
          </cell>
        </row>
        <row r="51">
          <cell r="C51" t="str">
            <v>WesternGasRKBS</v>
          </cell>
          <cell r="D51">
            <v>0</v>
          </cell>
          <cell r="E51">
            <v>0</v>
          </cell>
          <cell r="F51">
            <v>2959800</v>
          </cell>
          <cell r="G51">
            <v>1787999.9999999998</v>
          </cell>
          <cell r="H51">
            <v>3058460</v>
          </cell>
          <cell r="I51">
            <v>1847599.9999999998</v>
          </cell>
          <cell r="J51">
            <v>3058460</v>
          </cell>
          <cell r="K51">
            <v>1847599.9999999998</v>
          </cell>
          <cell r="L51">
            <v>2762480</v>
          </cell>
          <cell r="M51">
            <v>1668799.9999999998</v>
          </cell>
          <cell r="N51">
            <v>2114592.6125032036</v>
          </cell>
          <cell r="O51">
            <v>1277414.5520493709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13953792.612503204</v>
          </cell>
          <cell r="AC51">
            <v>8429414.5520493705</v>
          </cell>
          <cell r="AD51">
            <v>0.6040948712750861</v>
          </cell>
          <cell r="AE51">
            <v>8429414.5520493705</v>
          </cell>
          <cell r="AF51">
            <v>13953792.612503204</v>
          </cell>
          <cell r="AG51">
            <v>0.6040948712750861</v>
          </cell>
          <cell r="AH51" t="str">
            <v>WesternGasRKBS</v>
          </cell>
          <cell r="AI51">
            <v>0</v>
          </cell>
          <cell r="AJ51">
            <v>0</v>
          </cell>
          <cell r="AK51">
            <v>0</v>
          </cell>
        </row>
        <row r="52">
          <cell r="C52" t="str">
            <v>ConocoPhRKBS</v>
          </cell>
          <cell r="D52">
            <v>0</v>
          </cell>
          <cell r="E52">
            <v>0</v>
          </cell>
          <cell r="F52">
            <v>1479900</v>
          </cell>
          <cell r="G52">
            <v>906000</v>
          </cell>
          <cell r="H52">
            <v>1529230</v>
          </cell>
          <cell r="I52">
            <v>936200</v>
          </cell>
          <cell r="J52">
            <v>1529230</v>
          </cell>
          <cell r="K52">
            <v>936200</v>
          </cell>
          <cell r="L52">
            <v>1381240</v>
          </cell>
          <cell r="M52">
            <v>845600</v>
          </cell>
          <cell r="N52">
            <v>986600</v>
          </cell>
          <cell r="O52">
            <v>604000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6906200</v>
          </cell>
          <cell r="AC52">
            <v>4228000</v>
          </cell>
          <cell r="AD52">
            <v>0.61220352726535576</v>
          </cell>
          <cell r="AE52">
            <v>4228000</v>
          </cell>
          <cell r="AF52">
            <v>6906200</v>
          </cell>
          <cell r="AG52">
            <v>0.61220352726535576</v>
          </cell>
          <cell r="AH52" t="str">
            <v>ConocoPhRKBS</v>
          </cell>
          <cell r="AI52" t="str">
            <v>ConocoPhRKBS</v>
          </cell>
          <cell r="AJ52" t="str">
            <v>ConocoPhRKBS</v>
          </cell>
          <cell r="AK52" t="str">
            <v>ConocoPhRKBS</v>
          </cell>
        </row>
        <row r="53">
          <cell r="C53" t="str">
            <v>SempraRKBS</v>
          </cell>
          <cell r="D53">
            <v>0</v>
          </cell>
          <cell r="E53">
            <v>0</v>
          </cell>
          <cell r="F53">
            <v>2367840</v>
          </cell>
          <cell r="G53">
            <v>1425599.9999999998</v>
          </cell>
          <cell r="H53">
            <v>2446768</v>
          </cell>
          <cell r="I53">
            <v>1473119.9999999998</v>
          </cell>
          <cell r="J53">
            <v>2446768</v>
          </cell>
          <cell r="K53">
            <v>1473119.9999999998</v>
          </cell>
          <cell r="L53">
            <v>2209984</v>
          </cell>
          <cell r="M53">
            <v>1330559.9999999998</v>
          </cell>
          <cell r="N53">
            <v>1469653.0654981101</v>
          </cell>
          <cell r="O53">
            <v>884830.6516378239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10941013.06549811</v>
          </cell>
          <cell r="AC53">
            <v>6587230.6516378233</v>
          </cell>
          <cell r="AD53">
            <v>0.60206770727751868</v>
          </cell>
          <cell r="AE53">
            <v>6587230.6516378233</v>
          </cell>
          <cell r="AF53">
            <v>10941013.06549811</v>
          </cell>
          <cell r="AG53">
            <v>0.60206770727751868</v>
          </cell>
          <cell r="AH53" t="str">
            <v>SempraRKBS</v>
          </cell>
          <cell r="AI53" t="str">
            <v>SempraRKBS</v>
          </cell>
          <cell r="AJ53" t="str">
            <v>SempraRKBS</v>
          </cell>
          <cell r="AK53" t="str">
            <v>SempraRKBS</v>
          </cell>
        </row>
        <row r="54">
          <cell r="C54" t="str">
            <v>NationalFuelRKBS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49330</v>
          </cell>
          <cell r="O54">
            <v>27050</v>
          </cell>
          <cell r="P54">
            <v>1216797.8353174513</v>
          </cell>
          <cell r="Q54">
            <v>667228.49068187817</v>
          </cell>
          <cell r="R54">
            <v>767128.48331559589</v>
          </cell>
          <cell r="S54">
            <v>420653.26320062572</v>
          </cell>
          <cell r="T54">
            <v>565918.87594256841</v>
          </cell>
          <cell r="U54">
            <v>310320.40531616611</v>
          </cell>
          <cell r="V54">
            <v>416835.79793938494</v>
          </cell>
          <cell r="W54">
            <v>228571.01833084048</v>
          </cell>
          <cell r="X54">
            <v>417033.62396473961</v>
          </cell>
          <cell r="Y54">
            <v>228679.49580876163</v>
          </cell>
          <cell r="Z54">
            <v>377456.40836453682</v>
          </cell>
          <cell r="AA54">
            <v>206977.41427651979</v>
          </cell>
          <cell r="AB54">
            <v>3810501.0248442767</v>
          </cell>
          <cell r="AC54">
            <v>2089480.0876147919</v>
          </cell>
          <cell r="AD54">
            <v>0.54834786134198255</v>
          </cell>
          <cell r="AE54">
            <v>2089480.0876147919</v>
          </cell>
          <cell r="AF54">
            <v>3810501.0248442767</v>
          </cell>
          <cell r="AG54">
            <v>0.54834786134198243</v>
          </cell>
          <cell r="AH54" t="str">
            <v>NationalFuelRKBS</v>
          </cell>
          <cell r="AI54" t="str">
            <v>NationalFuelRKBS</v>
          </cell>
          <cell r="AJ54" t="str">
            <v>NationalFuelRKBS</v>
          </cell>
          <cell r="AK54" t="str">
            <v>NationalFuelRKBS</v>
          </cell>
        </row>
        <row r="55">
          <cell r="C55" t="str">
            <v>Unused "AJ"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 xml:space="preserve">                      N/A</v>
          </cell>
          <cell r="AE55">
            <v>0</v>
          </cell>
          <cell r="AF55">
            <v>0</v>
          </cell>
          <cell r="AG55">
            <v>0</v>
          </cell>
          <cell r="AH55" t="str">
            <v>Unused "AJ"</v>
          </cell>
          <cell r="AI55" t="str">
            <v>Unused "AJ"</v>
          </cell>
          <cell r="AJ55" t="str">
            <v>Unused "AJ"</v>
          </cell>
          <cell r="AK55" t="str">
            <v>Unused "AJ"</v>
          </cell>
        </row>
        <row r="56">
          <cell r="C56" t="str">
            <v>Unused "AK"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                      N/A</v>
          </cell>
          <cell r="AE56">
            <v>0</v>
          </cell>
          <cell r="AF56">
            <v>0</v>
          </cell>
          <cell r="AG56">
            <v>0</v>
          </cell>
          <cell r="AH56" t="str">
            <v>Unused "AK"</v>
          </cell>
          <cell r="AI56" t="str">
            <v>Unused "AK"</v>
          </cell>
          <cell r="AJ56" t="str">
            <v>Unused "AK"</v>
          </cell>
          <cell r="AK56" t="str">
            <v>Unused "AK"</v>
          </cell>
        </row>
        <row r="57">
          <cell r="C57" t="str">
            <v>Unused "AL"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 xml:space="preserve">                      N/A</v>
          </cell>
          <cell r="AE57">
            <v>0</v>
          </cell>
          <cell r="AF57">
            <v>0</v>
          </cell>
          <cell r="AG57">
            <v>0</v>
          </cell>
          <cell r="AH57" t="str">
            <v>Unused "AL"</v>
          </cell>
          <cell r="AI57" t="str">
            <v>Unused "AL"</v>
          </cell>
          <cell r="AJ57" t="str">
            <v>Unused "AL"</v>
          </cell>
          <cell r="AK57" t="str">
            <v>Unused "AL"</v>
          </cell>
        </row>
        <row r="58">
          <cell r="C58" t="str">
            <v>Unused "AM"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 xml:space="preserve">                      N/A</v>
          </cell>
          <cell r="AE58">
            <v>0</v>
          </cell>
          <cell r="AF58">
            <v>0</v>
          </cell>
          <cell r="AG58">
            <v>0</v>
          </cell>
          <cell r="AH58" t="str">
            <v>Unused "AM"</v>
          </cell>
          <cell r="AI58" t="str">
            <v>Unused "AM"</v>
          </cell>
          <cell r="AJ58" t="str">
            <v>Unused "AM"</v>
          </cell>
          <cell r="AK58" t="str">
            <v>Unused "AM"</v>
          </cell>
        </row>
        <row r="59">
          <cell r="C59" t="str">
            <v>Unused "AN"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 xml:space="preserve">                      N/A</v>
          </cell>
          <cell r="AE59">
            <v>0</v>
          </cell>
          <cell r="AF59">
            <v>0</v>
          </cell>
          <cell r="AG59">
            <v>0</v>
          </cell>
          <cell r="AH59" t="str">
            <v>Unused "AN"</v>
          </cell>
          <cell r="AI59" t="str">
            <v>Unused "AN"</v>
          </cell>
          <cell r="AJ59" t="str">
            <v>Unused "AN"</v>
          </cell>
          <cell r="AK59" t="str">
            <v>Unused "AN"</v>
          </cell>
        </row>
        <row r="60">
          <cell r="C60" t="str">
            <v>Unused "AO"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 xml:space="preserve">                      N/A</v>
          </cell>
          <cell r="AE60">
            <v>0</v>
          </cell>
          <cell r="AF60">
            <v>0</v>
          </cell>
          <cell r="AG60">
            <v>0</v>
          </cell>
          <cell r="AH60" t="str">
            <v>Unused "AO"</v>
          </cell>
          <cell r="AI60" t="str">
            <v>Unused "AO"</v>
          </cell>
          <cell r="AJ60" t="str">
            <v>Unused "AO"</v>
          </cell>
          <cell r="AK60" t="str">
            <v>Unused "AO"</v>
          </cell>
        </row>
        <row r="61">
          <cell r="C61" t="str">
            <v>Unused "AP"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 xml:space="preserve">                      N/A</v>
          </cell>
          <cell r="AE61">
            <v>0</v>
          </cell>
          <cell r="AF61">
            <v>0</v>
          </cell>
          <cell r="AG61">
            <v>0</v>
          </cell>
          <cell r="AH61" t="str">
            <v>Unused "AP"</v>
          </cell>
          <cell r="AI61" t="str">
            <v>Unused "AP"</v>
          </cell>
          <cell r="AJ61" t="str">
            <v>Unused "AP"</v>
          </cell>
          <cell r="AK61" t="str">
            <v>Unused "AP"</v>
          </cell>
        </row>
        <row r="62">
          <cell r="C62" t="str">
            <v>Unused "AQ"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 xml:space="preserve">                      N/A</v>
          </cell>
          <cell r="AE62">
            <v>0</v>
          </cell>
          <cell r="AF62">
            <v>0</v>
          </cell>
          <cell r="AG62">
            <v>0</v>
          </cell>
          <cell r="AH62" t="str">
            <v>Unused "AQ"</v>
          </cell>
          <cell r="AI62" t="str">
            <v>Unused "AQ"</v>
          </cell>
          <cell r="AJ62" t="str">
            <v>Unused "AQ"</v>
          </cell>
          <cell r="AK62" t="str">
            <v>Unused "AQ"</v>
          </cell>
        </row>
        <row r="63">
          <cell r="C63" t="str">
            <v>Unused "AR"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 xml:space="preserve">                      N/A</v>
          </cell>
          <cell r="AE63">
            <v>0</v>
          </cell>
          <cell r="AF63">
            <v>0</v>
          </cell>
          <cell r="AG63">
            <v>0</v>
          </cell>
          <cell r="AH63" t="str">
            <v>Unused "AR"</v>
          </cell>
          <cell r="AI63" t="str">
            <v>Unused "AR"</v>
          </cell>
          <cell r="AJ63" t="str">
            <v>Unused "AR"</v>
          </cell>
          <cell r="AK63" t="str">
            <v>Unused "AR"</v>
          </cell>
        </row>
        <row r="64">
          <cell r="C64" t="str">
            <v>Winter Only Swing Supplies</v>
          </cell>
          <cell r="AH64" t="str">
            <v>Winter Only Swing Supplies</v>
          </cell>
        </row>
        <row r="65">
          <cell r="C65" t="str">
            <v>SEMPRAABSTSW</v>
          </cell>
          <cell r="D65">
            <v>0</v>
          </cell>
          <cell r="E65">
            <v>0</v>
          </cell>
          <cell r="F65">
            <v>2875556.8055170779</v>
          </cell>
          <cell r="G65">
            <v>2104601.947524461</v>
          </cell>
          <cell r="H65">
            <v>2996460</v>
          </cell>
          <cell r="I65">
            <v>2190150</v>
          </cell>
          <cell r="J65">
            <v>2996460</v>
          </cell>
          <cell r="K65">
            <v>2190150</v>
          </cell>
          <cell r="L65">
            <v>2706480</v>
          </cell>
          <cell r="M65">
            <v>1978200</v>
          </cell>
          <cell r="N65">
            <v>571425.99360278808</v>
          </cell>
          <cell r="O65">
            <v>688655.63852685294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12146382.799119866</v>
          </cell>
          <cell r="AC65">
            <v>9151757.5860513151</v>
          </cell>
          <cell r="AD65">
            <v>0.75345538975722526</v>
          </cell>
          <cell r="AE65">
            <v>9151757.5860513151</v>
          </cell>
          <cell r="AF65">
            <v>12146382.799119866</v>
          </cell>
          <cell r="AG65">
            <v>0.75438159142450789</v>
          </cell>
          <cell r="AH65" t="str">
            <v>SEMPRAABSTSW</v>
          </cell>
          <cell r="AI65" t="str">
            <v>SEMPRAABSTSW</v>
          </cell>
          <cell r="AJ65" t="str">
            <v>SEMPRAABSTSW</v>
          </cell>
          <cell r="AK65" t="str">
            <v>SEMPRAABSTSW</v>
          </cell>
          <cell r="AL65">
            <v>9163007.5860513151</v>
          </cell>
          <cell r="AN65">
            <v>1767101.947524461</v>
          </cell>
        </row>
        <row r="66">
          <cell r="C66" t="str">
            <v>CANADIANNRABTCSW</v>
          </cell>
          <cell r="D66">
            <v>0</v>
          </cell>
          <cell r="E66">
            <v>0</v>
          </cell>
          <cell r="F66">
            <v>4143209.2423476279</v>
          </cell>
          <cell r="G66">
            <v>3074729.032781037</v>
          </cell>
          <cell r="H66">
            <v>4464000</v>
          </cell>
          <cell r="I66">
            <v>3289875</v>
          </cell>
          <cell r="J66">
            <v>4464000</v>
          </cell>
          <cell r="K66">
            <v>3289875</v>
          </cell>
          <cell r="L66">
            <v>4003577.9587569777</v>
          </cell>
          <cell r="M66">
            <v>2953973.0745668034</v>
          </cell>
          <cell r="N66">
            <v>660427.248093592</v>
          </cell>
          <cell r="O66">
            <v>927013.46965771506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17735214.449198198</v>
          </cell>
          <cell r="AC66">
            <v>13535465.577005556</v>
          </cell>
          <cell r="AD66">
            <v>0.76319717564043832</v>
          </cell>
          <cell r="AE66">
            <v>13535465.577005556</v>
          </cell>
          <cell r="AF66">
            <v>17735214.449198198</v>
          </cell>
          <cell r="AG66">
            <v>0.76417404570026348</v>
          </cell>
          <cell r="AH66" t="str">
            <v>CANADIANNRABTCSW</v>
          </cell>
          <cell r="AI66" t="str">
            <v>CANADIANNRABTCSW</v>
          </cell>
          <cell r="AJ66" t="str">
            <v>CANADIANNRABTCSW</v>
          </cell>
          <cell r="AK66" t="str">
            <v>CANADIANNRABTCSW</v>
          </cell>
          <cell r="AN66">
            <v>337500</v>
          </cell>
        </row>
        <row r="67">
          <cell r="C67" t="str">
            <v>NationalFuelRKSW</v>
          </cell>
          <cell r="D67">
            <v>0</v>
          </cell>
          <cell r="E67">
            <v>0</v>
          </cell>
          <cell r="F67">
            <v>2631994.9100247798</v>
          </cell>
          <cell r="G67">
            <v>2003500.4502486959</v>
          </cell>
          <cell r="H67">
            <v>3058460</v>
          </cell>
          <cell r="I67">
            <v>2283150</v>
          </cell>
          <cell r="J67">
            <v>3058460</v>
          </cell>
          <cell r="K67">
            <v>2283150</v>
          </cell>
          <cell r="L67">
            <v>2273311.6584223788</v>
          </cell>
          <cell r="M67">
            <v>1754796.4202532687</v>
          </cell>
          <cell r="N67">
            <v>357992.47027460206</v>
          </cell>
          <cell r="O67">
            <v>574469.92861367657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11380219.038721763</v>
          </cell>
          <cell r="AC67">
            <v>8899066.799115641</v>
          </cell>
          <cell r="AD67">
            <v>0.78197675886871088</v>
          </cell>
          <cell r="AE67">
            <v>8899066.799115641</v>
          </cell>
          <cell r="AF67">
            <v>11380219.038721763</v>
          </cell>
          <cell r="AG67">
            <v>0.7830004649995298</v>
          </cell>
          <cell r="AH67" t="str">
            <v>NationalFuelRKSW</v>
          </cell>
          <cell r="AI67" t="str">
            <v>NationalFuelRKSW</v>
          </cell>
          <cell r="AJ67" t="str">
            <v>NationalFuelRKSW</v>
          </cell>
          <cell r="AK67" t="str">
            <v>NationalFuelRKSW</v>
          </cell>
          <cell r="AN67">
            <v>2104601.947524461</v>
          </cell>
        </row>
        <row r="68">
          <cell r="C68" t="str">
            <v>EnsercoRKSW</v>
          </cell>
          <cell r="D68">
            <v>0</v>
          </cell>
          <cell r="E68">
            <v>0</v>
          </cell>
          <cell r="F68">
            <v>2413753.358486312</v>
          </cell>
          <cell r="G68">
            <v>1816824.6623980827</v>
          </cell>
          <cell r="H68">
            <v>3058460</v>
          </cell>
          <cell r="I68">
            <v>2224250</v>
          </cell>
          <cell r="J68">
            <v>3058460</v>
          </cell>
          <cell r="K68">
            <v>2224250</v>
          </cell>
          <cell r="L68">
            <v>1895178.9294760553</v>
          </cell>
          <cell r="M68">
            <v>1475837.5235426999</v>
          </cell>
          <cell r="N68">
            <v>295980</v>
          </cell>
          <cell r="O68">
            <v>514950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10721832.287962368</v>
          </cell>
          <cell r="AC68">
            <v>8256112.1859407835</v>
          </cell>
          <cell r="AD68">
            <v>0.77002810379808861</v>
          </cell>
          <cell r="AE68">
            <v>8256112.1859407835</v>
          </cell>
          <cell r="AF68">
            <v>10721832.287962368</v>
          </cell>
          <cell r="AG68">
            <v>0.77106337460832697</v>
          </cell>
          <cell r="AH68" t="str">
            <v>EnsercoRKSW</v>
          </cell>
          <cell r="AI68" t="str">
            <v>EnsercoRKSW</v>
          </cell>
          <cell r="AJ68" t="str">
            <v>EnsercoRKSW</v>
          </cell>
          <cell r="AK68" t="str">
            <v>EnsercoRKSW</v>
          </cell>
        </row>
        <row r="69">
          <cell r="C69" t="str">
            <v>OneokRKSW</v>
          </cell>
          <cell r="D69">
            <v>0</v>
          </cell>
          <cell r="E69">
            <v>0</v>
          </cell>
          <cell r="F69">
            <v>53661.023543157615</v>
          </cell>
          <cell r="G69">
            <v>242310.32884736083</v>
          </cell>
          <cell r="H69">
            <v>218221.92449879833</v>
          </cell>
          <cell r="I69">
            <v>323844.6434547723</v>
          </cell>
          <cell r="J69">
            <v>2224719.318585061</v>
          </cell>
          <cell r="K69">
            <v>1400416.4359053632</v>
          </cell>
          <cell r="L69">
            <v>2386780.5364187099</v>
          </cell>
          <cell r="M69">
            <v>1432333.2778879849</v>
          </cell>
          <cell r="N69">
            <v>402582.98483908968</v>
          </cell>
          <cell r="O69">
            <v>400450.43210423528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5285965.7878848165</v>
          </cell>
          <cell r="AC69">
            <v>3799355.1181997163</v>
          </cell>
          <cell r="AD69">
            <v>0.71876271445185258</v>
          </cell>
          <cell r="AE69">
            <v>3799355.1181997163</v>
          </cell>
          <cell r="AF69">
            <v>5285965.7878848165</v>
          </cell>
          <cell r="AG69">
            <v>0.73043598770942919</v>
          </cell>
          <cell r="AH69" t="str">
            <v>OneokRKSW</v>
          </cell>
          <cell r="AI69" t="str">
            <v>OneokRKSW</v>
          </cell>
          <cell r="AJ69" t="str">
            <v>OneokRKSW</v>
          </cell>
          <cell r="AK69" t="str">
            <v>OneokRKSW</v>
          </cell>
        </row>
        <row r="70">
          <cell r="C70" t="str">
            <v>WesternGas1RKSW</v>
          </cell>
          <cell r="D70">
            <v>0</v>
          </cell>
          <cell r="E70">
            <v>0</v>
          </cell>
          <cell r="F70">
            <v>0</v>
          </cell>
          <cell r="G70">
            <v>138000</v>
          </cell>
          <cell r="H70">
            <v>56572.791732603684</v>
          </cell>
          <cell r="I70">
            <v>167314.0413913969</v>
          </cell>
          <cell r="J70">
            <v>1284552.1444142838</v>
          </cell>
          <cell r="K70">
            <v>815733.44684997434</v>
          </cell>
          <cell r="L70">
            <v>1197435.309611877</v>
          </cell>
          <cell r="M70">
            <v>740504.23276341578</v>
          </cell>
          <cell r="N70">
            <v>197320</v>
          </cell>
          <cell r="O70">
            <v>225600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2735880.2457587644</v>
          </cell>
          <cell r="AC70">
            <v>2087151.7210047869</v>
          </cell>
          <cell r="AD70">
            <v>0.76288124242292621</v>
          </cell>
          <cell r="AE70">
            <v>2087151.7210047869</v>
          </cell>
          <cell r="AF70">
            <v>2735880.2457587644</v>
          </cell>
          <cell r="AG70">
            <v>0.77131899190365039</v>
          </cell>
          <cell r="AH70" t="str">
            <v>WesternGas1RKSW</v>
          </cell>
          <cell r="AI70" t="str">
            <v>WesternGas1RKSW</v>
          </cell>
          <cell r="AJ70" t="str">
            <v>WesternGas1RKSW</v>
          </cell>
          <cell r="AK70" t="str">
            <v>WesternGas1RKSW</v>
          </cell>
        </row>
        <row r="71">
          <cell r="C71" t="str">
            <v>WesternGas2RKSW</v>
          </cell>
          <cell r="D71">
            <v>0</v>
          </cell>
          <cell r="E71">
            <v>0</v>
          </cell>
          <cell r="F71">
            <v>0</v>
          </cell>
          <cell r="G71">
            <v>153000</v>
          </cell>
          <cell r="H71">
            <v>0</v>
          </cell>
          <cell r="I71">
            <v>158100</v>
          </cell>
          <cell r="J71">
            <v>847632.72881678864</v>
          </cell>
          <cell r="K71">
            <v>602278.10743794811</v>
          </cell>
          <cell r="L71">
            <v>822531.63961094152</v>
          </cell>
          <cell r="M71">
            <v>562986.44472320541</v>
          </cell>
          <cell r="N71">
            <v>125013.57047605375</v>
          </cell>
          <cell r="O71">
            <v>208499.63903153408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1795177.9389037839</v>
          </cell>
          <cell r="AC71">
            <v>1684864.1911926875</v>
          </cell>
          <cell r="AD71">
            <v>0.9385499647024077</v>
          </cell>
          <cell r="AE71">
            <v>1684864.1911926875</v>
          </cell>
          <cell r="AF71">
            <v>1795177.9389037839</v>
          </cell>
          <cell r="AG71">
            <v>0.94641615484498243</v>
          </cell>
          <cell r="AH71" t="str">
            <v>WesternGas2RKSW</v>
          </cell>
          <cell r="AI71" t="str">
            <v>WesternGas2RKSW</v>
          </cell>
          <cell r="AJ71" t="str">
            <v>WesternGas2RKSW</v>
          </cell>
          <cell r="AK71" t="str">
            <v>WesternGas2RKSW</v>
          </cell>
        </row>
        <row r="72">
          <cell r="C72" t="str">
            <v>ConocoPhRKSW</v>
          </cell>
          <cell r="D72">
            <v>0</v>
          </cell>
          <cell r="E72">
            <v>0</v>
          </cell>
          <cell r="F72">
            <v>0</v>
          </cell>
          <cell r="G72">
            <v>70500</v>
          </cell>
          <cell r="H72">
            <v>0</v>
          </cell>
          <cell r="I72">
            <v>72850</v>
          </cell>
          <cell r="J72">
            <v>295980</v>
          </cell>
          <cell r="K72">
            <v>228850</v>
          </cell>
          <cell r="L72">
            <v>394640</v>
          </cell>
          <cell r="M72">
            <v>268600</v>
          </cell>
          <cell r="N72">
            <v>49330</v>
          </cell>
          <cell r="O72">
            <v>92550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739950</v>
          </cell>
          <cell r="AC72">
            <v>733350</v>
          </cell>
          <cell r="AD72">
            <v>0.99108047841070346</v>
          </cell>
          <cell r="AE72">
            <v>733350</v>
          </cell>
          <cell r="AF72">
            <v>739950</v>
          </cell>
          <cell r="AG72">
            <v>1.0000337860666262</v>
          </cell>
          <cell r="AH72" t="str">
            <v>ConocoPhRKSW</v>
          </cell>
          <cell r="AI72" t="str">
            <v>ConocoPhRKSW</v>
          </cell>
          <cell r="AJ72" t="str">
            <v>ConocoPhRKSW</v>
          </cell>
          <cell r="AK72" t="str">
            <v>ConocoPhRKSW</v>
          </cell>
        </row>
        <row r="73">
          <cell r="C73" t="str">
            <v>NationalFuelRKSW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49330</v>
          </cell>
          <cell r="O73">
            <v>21850</v>
          </cell>
          <cell r="P73">
            <v>874327.92356772884</v>
          </cell>
          <cell r="Q73">
            <v>387270.73038627353</v>
          </cell>
          <cell r="R73">
            <v>605683.48358846887</v>
          </cell>
          <cell r="S73">
            <v>305113.20833516016</v>
          </cell>
          <cell r="T73">
            <v>274973.38954138779</v>
          </cell>
          <cell r="U73">
            <v>155519.10740329867</v>
          </cell>
          <cell r="V73">
            <v>304712.99173111725</v>
          </cell>
          <cell r="W73">
            <v>162455.94329066257</v>
          </cell>
          <cell r="X73">
            <v>303579.14712550718</v>
          </cell>
          <cell r="Y73">
            <v>162466.84541077208</v>
          </cell>
          <cell r="Z73">
            <v>172469.18523895842</v>
          </cell>
          <cell r="AA73">
            <v>76392.696076854685</v>
          </cell>
          <cell r="AB73">
            <v>2585076.1207931684</v>
          </cell>
          <cell r="AC73">
            <v>1271068.5309030218</v>
          </cell>
          <cell r="AD73">
            <v>0.49169481729343623</v>
          </cell>
          <cell r="AE73">
            <v>1271068.5309030218</v>
          </cell>
          <cell r="AF73">
            <v>2585076.1207931684</v>
          </cell>
          <cell r="AG73">
            <v>0.50391918372863032</v>
          </cell>
          <cell r="AH73" t="str">
            <v>NationalFuelRKSW</v>
          </cell>
          <cell r="AI73" t="str">
            <v>NationalFuelRKSW</v>
          </cell>
          <cell r="AJ73" t="str">
            <v>NationalFuelRKSW</v>
          </cell>
          <cell r="AK73" t="str">
            <v>NationalFuelRKSW</v>
          </cell>
        </row>
        <row r="74">
          <cell r="C74" t="str">
            <v>Unused "BD"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 xml:space="preserve">                      N/A</v>
          </cell>
          <cell r="AE74">
            <v>0</v>
          </cell>
          <cell r="AF74">
            <v>0</v>
          </cell>
          <cell r="AG74" t="str">
            <v xml:space="preserve">                      N/A</v>
          </cell>
          <cell r="AH74" t="str">
            <v>Unused "BD"</v>
          </cell>
          <cell r="AI74" t="str">
            <v>Unused "BD"</v>
          </cell>
          <cell r="AJ74" t="str">
            <v>Unused "BD"</v>
          </cell>
          <cell r="AK74" t="str">
            <v>Unused "BD"</v>
          </cell>
        </row>
        <row r="75">
          <cell r="C75" t="str">
            <v>Unused "Be"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                      N/A</v>
          </cell>
          <cell r="AE75">
            <v>0</v>
          </cell>
          <cell r="AF75">
            <v>0</v>
          </cell>
          <cell r="AG75" t="str">
            <v xml:space="preserve">                      N/A</v>
          </cell>
          <cell r="AH75" t="str">
            <v>Unused "Be"</v>
          </cell>
          <cell r="AI75" t="str">
            <v>Unused "Be"</v>
          </cell>
          <cell r="AJ75" t="str">
            <v>Unused "Be"</v>
          </cell>
          <cell r="AK75" t="str">
            <v>Unused "Be"</v>
          </cell>
        </row>
        <row r="76">
          <cell r="C76" t="str">
            <v>Unused "Bf"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                     N/A</v>
          </cell>
          <cell r="AE76">
            <v>0</v>
          </cell>
          <cell r="AF76">
            <v>0</v>
          </cell>
          <cell r="AG76" t="str">
            <v xml:space="preserve">                      N/A</v>
          </cell>
          <cell r="AH76" t="str">
            <v>Unused "Bf"</v>
          </cell>
          <cell r="AI76" t="str">
            <v>Day</v>
          </cell>
          <cell r="AJ76">
            <v>0</v>
          </cell>
          <cell r="AK76">
            <v>0</v>
          </cell>
        </row>
        <row r="77">
          <cell r="C77" t="str">
            <v>Unused "Bg"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 xml:space="preserve">                      N/A</v>
          </cell>
          <cell r="AE77">
            <v>0</v>
          </cell>
          <cell r="AF77">
            <v>0</v>
          </cell>
          <cell r="AG77" t="str">
            <v xml:space="preserve">                      N/A</v>
          </cell>
          <cell r="AH77" t="str">
            <v>Unused "Bg"</v>
          </cell>
          <cell r="AI77" t="str">
            <v>Unused "Bg"</v>
          </cell>
          <cell r="AJ77" t="str">
            <v>Unused "Bg"</v>
          </cell>
          <cell r="AK77" t="str">
            <v>Unused "Bg"</v>
          </cell>
        </row>
        <row r="78">
          <cell r="C78" t="str">
            <v xml:space="preserve">Spot Gas </v>
          </cell>
          <cell r="AH78" t="str">
            <v xml:space="preserve">Spot Gas </v>
          </cell>
        </row>
        <row r="79">
          <cell r="C79" t="str">
            <v>SPOTF</v>
          </cell>
          <cell r="D79">
            <v>18732857.95433785</v>
          </cell>
          <cell r="E79">
            <v>8066181.3065583352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3509458.4204849554</v>
          </cell>
          <cell r="K79">
            <v>1892019.2236518492</v>
          </cell>
          <cell r="L79">
            <v>1733456.5340205366</v>
          </cell>
          <cell r="M79">
            <v>913618.26625552378</v>
          </cell>
          <cell r="N79">
            <v>873604.17250941973</v>
          </cell>
          <cell r="O79">
            <v>415281.06967259391</v>
          </cell>
          <cell r="P79">
            <v>9650725.9520943202</v>
          </cell>
          <cell r="Q79">
            <v>4612081.9325058749</v>
          </cell>
          <cell r="R79">
            <v>1402849.6589857754</v>
          </cell>
          <cell r="S79">
            <v>711567.4325273548</v>
          </cell>
          <cell r="T79">
            <v>244730.55453502806</v>
          </cell>
          <cell r="U79">
            <v>137981.53395239418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876903.7480371464</v>
          </cell>
          <cell r="AA79">
            <v>397184.78363594512</v>
          </cell>
          <cell r="AB79">
            <v>37024586.995005034</v>
          </cell>
          <cell r="AC79">
            <v>17145915.54875987</v>
          </cell>
          <cell r="AD79">
            <v>0.46309538985736737</v>
          </cell>
          <cell r="AE79">
            <v>17145915.54875987</v>
          </cell>
          <cell r="AF79">
            <v>37024586.995005034</v>
          </cell>
          <cell r="AG79">
            <v>0.47308000000000006</v>
          </cell>
          <cell r="AH79" t="str">
            <v>SPOTF</v>
          </cell>
          <cell r="AI79" t="str">
            <v>Gas to Dispatch</v>
          </cell>
          <cell r="AJ79" t="str">
            <v>SPOTF</v>
          </cell>
          <cell r="AK79" t="str">
            <v>SPOTF</v>
          </cell>
        </row>
        <row r="80">
          <cell r="C80" t="str">
            <v>SPOTI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 xml:space="preserve">                      N/A</v>
          </cell>
          <cell r="AE80">
            <v>0</v>
          </cell>
          <cell r="AF80">
            <v>0</v>
          </cell>
          <cell r="AG80">
            <v>0</v>
          </cell>
          <cell r="AH80" t="str">
            <v>SPOTI</v>
          </cell>
          <cell r="AI80" t="str">
            <v>SPOTF</v>
          </cell>
          <cell r="AJ80" t="str">
            <v>SPOT I</v>
          </cell>
          <cell r="AK80" t="str">
            <v>SPOTI</v>
          </cell>
        </row>
        <row r="81">
          <cell r="C81" t="str">
            <v>Curtailment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 xml:space="preserve">                      N/A</v>
          </cell>
          <cell r="AE81">
            <v>0</v>
          </cell>
          <cell r="AF81">
            <v>0</v>
          </cell>
          <cell r="AH81" t="str">
            <v>Curtailment</v>
          </cell>
        </row>
        <row r="82">
          <cell r="C82" t="str">
            <v>Demand Charges in Commodity</v>
          </cell>
          <cell r="AH82" t="str">
            <v>Demand Charges in Commodity</v>
          </cell>
        </row>
        <row r="83"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C85" t="str">
            <v>TOTALS</v>
          </cell>
          <cell r="D85">
            <v>40083177.95433785</v>
          </cell>
          <cell r="E85">
            <v>16181152.996891666</v>
          </cell>
          <cell r="F85">
            <v>73085615.339918956</v>
          </cell>
          <cell r="G85">
            <v>41721427.050096557</v>
          </cell>
          <cell r="H85">
            <v>81346552.716231406</v>
          </cell>
          <cell r="I85">
            <v>46696230.500752978</v>
          </cell>
          <cell r="J85">
            <v>89234100.612301111</v>
          </cell>
          <cell r="K85">
            <v>50913419.029751934</v>
          </cell>
          <cell r="L85">
            <v>78376056.566317484</v>
          </cell>
          <cell r="M85">
            <v>44584962.493070021</v>
          </cell>
          <cell r="N85">
            <v>61820667.880750157</v>
          </cell>
          <cell r="O85">
            <v>34389809.258860976</v>
          </cell>
          <cell r="P85">
            <v>47710846.860014215</v>
          </cell>
          <cell r="Q85">
            <v>22866044.841441527</v>
          </cell>
          <cell r="R85">
            <v>39135681.794165805</v>
          </cell>
          <cell r="S85">
            <v>18819090.305327922</v>
          </cell>
          <cell r="T85">
            <v>32950157.287500627</v>
          </cell>
          <cell r="U85">
            <v>15817382.336879672</v>
          </cell>
          <cell r="V85">
            <v>22073636.60065892</v>
          </cell>
          <cell r="W85">
            <v>10536746.227995621</v>
          </cell>
          <cell r="X85">
            <v>22043912.440704938</v>
          </cell>
          <cell r="Y85">
            <v>10523154.973148476</v>
          </cell>
          <cell r="Z85">
            <v>26017755.981110521</v>
          </cell>
          <cell r="AA85">
            <v>12389394.053642172</v>
          </cell>
          <cell r="AB85">
            <v>613878162.03401208</v>
          </cell>
          <cell r="AC85">
            <v>325438814.06785959</v>
          </cell>
          <cell r="AD85">
            <v>0.5301358383389253</v>
          </cell>
          <cell r="AE85">
            <v>323349938.39639163</v>
          </cell>
          <cell r="AF85">
            <v>609616194.20681071</v>
          </cell>
          <cell r="AG85">
            <v>323349938.39639163</v>
          </cell>
          <cell r="AH85">
            <v>0</v>
          </cell>
        </row>
        <row r="86">
          <cell r="D86">
            <v>40083177.95433785</v>
          </cell>
          <cell r="F86">
            <v>73085615.339918956</v>
          </cell>
          <cell r="H86">
            <v>81346552.716231406</v>
          </cell>
          <cell r="J86">
            <v>89234100.612301111</v>
          </cell>
          <cell r="L86">
            <v>78376056.566317484</v>
          </cell>
          <cell r="N86">
            <v>61820667.880750157</v>
          </cell>
          <cell r="P86">
            <v>47710846.860014215</v>
          </cell>
          <cell r="R86">
            <v>39135681.794165805</v>
          </cell>
          <cell r="T86">
            <v>32950157.287500627</v>
          </cell>
          <cell r="V86">
            <v>22073636.60065892</v>
          </cell>
          <cell r="X86">
            <v>22043912.440704938</v>
          </cell>
          <cell r="Z86">
            <v>26017755.981110521</v>
          </cell>
        </row>
        <row r="87">
          <cell r="D87" t="str">
            <v>Volumes</v>
          </cell>
          <cell r="E87" t="str">
            <v>Cost</v>
          </cell>
          <cell r="F87" t="str">
            <v>Volumes</v>
          </cell>
          <cell r="G87" t="str">
            <v>Cost</v>
          </cell>
          <cell r="H87" t="str">
            <v>Volumes</v>
          </cell>
          <cell r="I87" t="str">
            <v>Cost</v>
          </cell>
          <cell r="J87" t="str">
            <v>Volumes</v>
          </cell>
          <cell r="K87" t="str">
            <v>Cost</v>
          </cell>
          <cell r="L87" t="str">
            <v>Volumes</v>
          </cell>
          <cell r="M87" t="str">
            <v>Cost</v>
          </cell>
          <cell r="N87" t="str">
            <v>Volumes</v>
          </cell>
          <cell r="O87" t="str">
            <v>Cost</v>
          </cell>
          <cell r="P87" t="str">
            <v>Volumes</v>
          </cell>
          <cell r="Q87" t="str">
            <v>Cost</v>
          </cell>
          <cell r="R87" t="str">
            <v>Volumes</v>
          </cell>
          <cell r="S87" t="str">
            <v>Cost</v>
          </cell>
          <cell r="T87" t="str">
            <v>Volumes</v>
          </cell>
          <cell r="U87" t="str">
            <v>Cost</v>
          </cell>
          <cell r="V87" t="str">
            <v>Volumes</v>
          </cell>
          <cell r="W87" t="str">
            <v>Cost</v>
          </cell>
          <cell r="X87" t="str">
            <v>Volumes</v>
          </cell>
          <cell r="Y87" t="str">
            <v>Cost</v>
          </cell>
          <cell r="Z87" t="str">
            <v>Volumes</v>
          </cell>
          <cell r="AA87" t="str">
            <v>Cost</v>
          </cell>
          <cell r="AB87" t="str">
            <v>Volumes</v>
          </cell>
          <cell r="AC87" t="str">
            <v>FLOWING</v>
          </cell>
          <cell r="AD87" t="str">
            <v>COST</v>
          </cell>
          <cell r="AE87" t="str">
            <v>Volumes</v>
          </cell>
          <cell r="AF87">
            <v>0</v>
          </cell>
        </row>
        <row r="88">
          <cell r="AF88" t="str">
            <v>=</v>
          </cell>
        </row>
        <row r="89">
          <cell r="C89" t="str">
            <v>TOTAL</v>
          </cell>
          <cell r="D89">
            <v>45324548.95433785</v>
          </cell>
          <cell r="E89">
            <v>18516318.640481666</v>
          </cell>
          <cell r="F89">
            <v>93536716.339918956</v>
          </cell>
          <cell r="G89">
            <v>50844672.315386556</v>
          </cell>
          <cell r="H89">
            <v>111381431.71623141</v>
          </cell>
          <cell r="I89">
            <v>60144045.327982977</v>
          </cell>
          <cell r="J89">
            <v>126604610.61230111</v>
          </cell>
          <cell r="K89">
            <v>67759312.75242193</v>
          </cell>
          <cell r="L89">
            <v>91341338.566317484</v>
          </cell>
          <cell r="M89">
            <v>50520351.635940023</v>
          </cell>
          <cell r="N89">
            <v>69757064.880750149</v>
          </cell>
          <cell r="O89">
            <v>37987767.039770976</v>
          </cell>
          <cell r="P89">
            <v>52115391.860014215</v>
          </cell>
          <cell r="Q89">
            <v>24919348.241221529</v>
          </cell>
          <cell r="R89">
            <v>39352681.794165805</v>
          </cell>
          <cell r="S89">
            <v>18911929.415327922</v>
          </cell>
          <cell r="T89">
            <v>33160157.287500627</v>
          </cell>
          <cell r="U89">
            <v>15907226.636879673</v>
          </cell>
          <cell r="V89">
            <v>22290636.60065892</v>
          </cell>
          <cell r="W89">
            <v>10629585.33799562</v>
          </cell>
          <cell r="X89">
            <v>22260912.440704938</v>
          </cell>
          <cell r="Y89">
            <v>10615994.083148476</v>
          </cell>
          <cell r="Z89">
            <v>26227755.981110521</v>
          </cell>
          <cell r="AA89">
            <v>12479238.353642173</v>
          </cell>
          <cell r="AB89">
            <v>733353247.03401208</v>
          </cell>
          <cell r="AC89">
            <v>379235790</v>
          </cell>
          <cell r="AD89">
            <v>0.51712567106478158</v>
          </cell>
          <cell r="AE89">
            <v>613878162.03401208</v>
          </cell>
        </row>
        <row r="90">
          <cell r="E90">
            <v>18516318.640481666</v>
          </cell>
          <cell r="G90">
            <v>50844672.315386556</v>
          </cell>
          <cell r="I90">
            <v>60144045.327982977</v>
          </cell>
          <cell r="K90">
            <v>67759312.75242193</v>
          </cell>
          <cell r="M90">
            <v>50520351.635940023</v>
          </cell>
          <cell r="O90">
            <v>37987767.039770976</v>
          </cell>
          <cell r="Q90">
            <v>24919348.241221529</v>
          </cell>
          <cell r="S90">
            <v>18911929.415327922</v>
          </cell>
          <cell r="U90">
            <v>15907226.636879673</v>
          </cell>
          <cell r="W90">
            <v>10629585.33799562</v>
          </cell>
          <cell r="Y90">
            <v>10615994.083148476</v>
          </cell>
          <cell r="AA90">
            <v>12479238.353642173</v>
          </cell>
          <cell r="AC90">
            <v>379235789.78019953</v>
          </cell>
          <cell r="AD90">
            <v>0.51712567076506177</v>
          </cell>
        </row>
        <row r="91">
          <cell r="AB91">
            <v>613878162.03401196</v>
          </cell>
          <cell r="AC91">
            <v>0.21980047225952148</v>
          </cell>
        </row>
        <row r="92">
          <cell r="AB92">
            <v>-119475085.00000012</v>
          </cell>
        </row>
        <row r="93">
          <cell r="AC93">
            <v>379235789.78019953</v>
          </cell>
        </row>
        <row r="94">
          <cell r="AA94">
            <v>3702958</v>
          </cell>
          <cell r="AB94">
            <v>609616194.20681071</v>
          </cell>
          <cell r="AC94" t="str">
            <v>PRODUCER FLOWING TOTAL</v>
          </cell>
          <cell r="AE94">
            <v>0</v>
          </cell>
        </row>
        <row r="95">
          <cell r="C95" t="str">
            <v>NORTHWEST NATURAL GAS COMPANY</v>
          </cell>
          <cell r="AA95">
            <v>737056205.03401208</v>
          </cell>
          <cell r="AB95">
            <v>0.54007583040176776</v>
          </cell>
          <cell r="AC95" t="str">
            <v>% CANADIAN OF FLOWING</v>
          </cell>
        </row>
        <row r="96">
          <cell r="C96" t="str">
            <v>MONTHLY WACOG CALCULATIONS</v>
          </cell>
          <cell r="X96">
            <v>125430809.55217114</v>
          </cell>
          <cell r="Y96" t="str">
            <v>BC</v>
          </cell>
          <cell r="AB96">
            <v>331540758.12603003</v>
          </cell>
          <cell r="AC96" t="str">
            <v>CANADIAN FLOWING</v>
          </cell>
          <cell r="AE96">
            <v>31093577.766390547</v>
          </cell>
          <cell r="AF96" t="str">
            <v>CANADIAN DEMAND</v>
          </cell>
        </row>
        <row r="97">
          <cell r="C97">
            <v>0</v>
          </cell>
          <cell r="X97">
            <v>206109948.57385889</v>
          </cell>
          <cell r="Y97" t="str">
            <v>Alberta</v>
          </cell>
          <cell r="AA97">
            <v>734361916</v>
          </cell>
          <cell r="AB97">
            <v>379235789.78019953</v>
          </cell>
          <cell r="AC97">
            <v>0</v>
          </cell>
        </row>
        <row r="98">
          <cell r="D98" t="str">
            <v>ALL SOURCE</v>
          </cell>
          <cell r="E98" t="str">
            <v>ALL SOURCE</v>
          </cell>
          <cell r="F98" t="str">
            <v>ALL SOURCE</v>
          </cell>
          <cell r="G98" t="str">
            <v>PORTFOLIO</v>
          </cell>
          <cell r="H98" t="str">
            <v>PORTFOLIO</v>
          </cell>
          <cell r="I98" t="str">
            <v>PORTFOLIO</v>
          </cell>
          <cell r="J98" t="str">
            <v>STORAGE</v>
          </cell>
          <cell r="K98" t="str">
            <v>STORAGE</v>
          </cell>
          <cell r="L98" t="str">
            <v>STORAGE</v>
          </cell>
          <cell r="X98">
            <v>331540758.12603003</v>
          </cell>
          <cell r="AA98">
            <v>1008668.9659879208</v>
          </cell>
          <cell r="AB98" t="str">
            <v>NORTHWEST NATURAL GAS COMPANY</v>
          </cell>
        </row>
        <row r="99">
          <cell r="D99" t="str">
            <v>VOLUMES [1]</v>
          </cell>
          <cell r="E99" t="str">
            <v>COST</v>
          </cell>
          <cell r="F99" t="str">
            <v>WACOG</v>
          </cell>
          <cell r="G99" t="str">
            <v>VOLUMES [2]</v>
          </cell>
          <cell r="H99" t="str">
            <v>COSTS</v>
          </cell>
          <cell r="I99" t="str">
            <v>WACOG</v>
          </cell>
          <cell r="J99" t="str">
            <v>VOLUMES</v>
          </cell>
          <cell r="K99" t="str">
            <v>COSTS</v>
          </cell>
          <cell r="L99" t="str">
            <v>WACOG</v>
          </cell>
          <cell r="AA99">
            <v>119475085</v>
          </cell>
          <cell r="AB99" t="str">
            <v xml:space="preserve">Computation Determining the </v>
          </cell>
        </row>
        <row r="100">
          <cell r="D100" t="str">
            <v xml:space="preserve"> ------------</v>
          </cell>
          <cell r="E100" t="str">
            <v xml:space="preserve"> ------------</v>
          </cell>
          <cell r="F100" t="str">
            <v xml:space="preserve"> ------------</v>
          </cell>
          <cell r="G100" t="str">
            <v xml:space="preserve"> ------------</v>
          </cell>
          <cell r="H100" t="str">
            <v xml:space="preserve"> ------------</v>
          </cell>
          <cell r="I100" t="str">
            <v xml:space="preserve"> ------------</v>
          </cell>
          <cell r="J100" t="str">
            <v xml:space="preserve"> ------------</v>
          </cell>
          <cell r="K100" t="str">
            <v xml:space="preserve"> ------------</v>
          </cell>
          <cell r="L100" t="str">
            <v xml:space="preserve"> ------------</v>
          </cell>
          <cell r="AA100">
            <v>-1.1920928955078125E-7</v>
          </cell>
          <cell r="AB100" t="str">
            <v>Mist Production Gas Price</v>
          </cell>
        </row>
        <row r="101">
          <cell r="C101" t="str">
            <v>JANUARY</v>
          </cell>
          <cell r="D101">
            <v>111381431.71623141</v>
          </cell>
          <cell r="E101">
            <v>60144045.327982977</v>
          </cell>
          <cell r="F101">
            <v>0.53998269191953918</v>
          </cell>
          <cell r="G101">
            <v>81346552.716231406</v>
          </cell>
          <cell r="H101">
            <v>46696230.500752978</v>
          </cell>
          <cell r="I101">
            <v>0.57404068078517967</v>
          </cell>
          <cell r="J101">
            <v>30034879</v>
          </cell>
          <cell r="K101">
            <v>13447814.827229997</v>
          </cell>
          <cell r="L101">
            <v>0.44773993686573527</v>
          </cell>
        </row>
        <row r="102">
          <cell r="C102" t="str">
            <v>FEBRUARY</v>
          </cell>
          <cell r="D102">
            <v>126604610.61230111</v>
          </cell>
          <cell r="E102">
            <v>67759312.75242193</v>
          </cell>
          <cell r="F102">
            <v>0.53520414797467353</v>
          </cell>
          <cell r="G102">
            <v>89234100.612301111</v>
          </cell>
          <cell r="H102">
            <v>50913419.029751934</v>
          </cell>
          <cell r="I102">
            <v>0.5705601186138185</v>
          </cell>
          <cell r="J102">
            <v>37370510</v>
          </cell>
          <cell r="K102">
            <v>16845893.72267</v>
          </cell>
          <cell r="L102">
            <v>0.45078040740332415</v>
          </cell>
        </row>
        <row r="103">
          <cell r="C103" t="str">
            <v>MARCH</v>
          </cell>
          <cell r="D103">
            <v>91341338.566317484</v>
          </cell>
          <cell r="E103">
            <v>50520351.635940023</v>
          </cell>
          <cell r="F103">
            <v>0.55309405827527058</v>
          </cell>
          <cell r="G103">
            <v>78376056.566317484</v>
          </cell>
          <cell r="H103">
            <v>44584962.493070021</v>
          </cell>
          <cell r="I103">
            <v>0.5688594763037701</v>
          </cell>
          <cell r="J103">
            <v>12965282</v>
          </cell>
          <cell r="K103">
            <v>5935389.1428699987</v>
          </cell>
          <cell r="L103">
            <v>0.45779097923747425</v>
          </cell>
        </row>
        <row r="104">
          <cell r="C104" t="str">
            <v>APRIL</v>
          </cell>
          <cell r="D104">
            <v>69757064.880750149</v>
          </cell>
          <cell r="E104">
            <v>37987767.039770976</v>
          </cell>
          <cell r="F104">
            <v>0.5445723254656879</v>
          </cell>
          <cell r="G104">
            <v>61820667.880750157</v>
          </cell>
          <cell r="H104">
            <v>34389809.258860976</v>
          </cell>
          <cell r="I104">
            <v>0.55628336667597444</v>
          </cell>
          <cell r="J104">
            <v>7936397</v>
          </cell>
          <cell r="K104">
            <v>3597957.7809099997</v>
          </cell>
          <cell r="L104">
            <v>0.45334901730722388</v>
          </cell>
          <cell r="AB104" t="str">
            <v>Commodity Cost of Producer Gas [1]</v>
          </cell>
          <cell r="AE104">
            <v>323349938.39639163</v>
          </cell>
          <cell r="AH104" t="str">
            <v>CHECK</v>
          </cell>
        </row>
        <row r="105">
          <cell r="C105" t="str">
            <v>MAY</v>
          </cell>
          <cell r="D105">
            <v>52115391.860014215</v>
          </cell>
          <cell r="E105">
            <v>24919348.241221529</v>
          </cell>
          <cell r="F105">
            <v>0.47815716915564477</v>
          </cell>
          <cell r="G105">
            <v>47710846.860014215</v>
          </cell>
          <cell r="H105">
            <v>22866044.841441527</v>
          </cell>
          <cell r="I105">
            <v>0.47926302604796639</v>
          </cell>
          <cell r="J105">
            <v>4404545</v>
          </cell>
          <cell r="K105">
            <v>2053303.3997800003</v>
          </cell>
          <cell r="L105">
            <v>0.4661783225690736</v>
          </cell>
          <cell r="AB105" t="str">
            <v>Commodity Cost of Summer Injection Gas</v>
          </cell>
          <cell r="AE105">
            <v>0</v>
          </cell>
          <cell r="AH105">
            <v>323349938.39639169</v>
          </cell>
        </row>
        <row r="106">
          <cell r="C106" t="str">
            <v>JUNE</v>
          </cell>
          <cell r="D106">
            <v>39352681.794165805</v>
          </cell>
          <cell r="E106">
            <v>18911929.415327922</v>
          </cell>
          <cell r="F106">
            <v>0.48057536495852465</v>
          </cell>
          <cell r="G106">
            <v>39135681.794165805</v>
          </cell>
          <cell r="H106">
            <v>18819090.305327922</v>
          </cell>
          <cell r="I106">
            <v>0.48086782809373207</v>
          </cell>
          <cell r="J106">
            <v>217000</v>
          </cell>
          <cell r="K106">
            <v>92839.109999999957</v>
          </cell>
          <cell r="L106">
            <v>0.42782999999999982</v>
          </cell>
          <cell r="AB106" t="str">
            <v>Upstream Demand Charges [2]</v>
          </cell>
          <cell r="AE106">
            <v>31093577.766390547</v>
          </cell>
          <cell r="AH106">
            <v>323349938.39639169</v>
          </cell>
        </row>
        <row r="107">
          <cell r="C107" t="str">
            <v>JULY</v>
          </cell>
          <cell r="D107">
            <v>33160157.287500627</v>
          </cell>
          <cell r="E107">
            <v>15907226.636879673</v>
          </cell>
          <cell r="F107">
            <v>0.47970902245616714</v>
          </cell>
          <cell r="G107">
            <v>32950157.287500627</v>
          </cell>
          <cell r="H107">
            <v>15817382.336879672</v>
          </cell>
          <cell r="I107">
            <v>0.48003966108167462</v>
          </cell>
          <cell r="J107">
            <v>210000</v>
          </cell>
          <cell r="K107">
            <v>89844.299999999959</v>
          </cell>
          <cell r="L107">
            <v>0.42782999999999982</v>
          </cell>
          <cell r="AE107" t="str">
            <v>-</v>
          </cell>
          <cell r="AH107">
            <v>0</v>
          </cell>
        </row>
        <row r="108">
          <cell r="C108" t="str">
            <v>AUGUST</v>
          </cell>
          <cell r="D108">
            <v>22290636.60065892</v>
          </cell>
          <cell r="E108">
            <v>10629585.33799562</v>
          </cell>
          <cell r="F108">
            <v>0.47686324659213214</v>
          </cell>
          <cell r="G108">
            <v>22073636.60065892</v>
          </cell>
          <cell r="H108">
            <v>10536746.227995621</v>
          </cell>
          <cell r="I108">
            <v>0.4773452792858377</v>
          </cell>
          <cell r="J108">
            <v>217000</v>
          </cell>
          <cell r="K108">
            <v>92839.109999999957</v>
          </cell>
          <cell r="L108">
            <v>0.42782999999999982</v>
          </cell>
          <cell r="AB108" t="str">
            <v>Total Cost of Producer Gas</v>
          </cell>
          <cell r="AE108">
            <v>354443516.16278219</v>
          </cell>
        </row>
        <row r="109">
          <cell r="C109" t="str">
            <v>SEPTEMBER</v>
          </cell>
          <cell r="D109">
            <v>22260912.440704938</v>
          </cell>
          <cell r="E109">
            <v>10615994.083148476</v>
          </cell>
          <cell r="F109">
            <v>0.47688944069231953</v>
          </cell>
          <cell r="G109">
            <v>22043912.440704938</v>
          </cell>
          <cell r="H109">
            <v>10523154.973148476</v>
          </cell>
          <cell r="I109">
            <v>0.47737238121655134</v>
          </cell>
          <cell r="J109">
            <v>217000</v>
          </cell>
          <cell r="K109">
            <v>92839.109999999957</v>
          </cell>
          <cell r="L109">
            <v>0.42782999999999982</v>
          </cell>
        </row>
        <row r="110">
          <cell r="C110" t="str">
            <v>OCTOBER</v>
          </cell>
          <cell r="D110">
            <v>26227755.981110521</v>
          </cell>
          <cell r="E110">
            <v>12479238.353642173</v>
          </cell>
          <cell r="F110">
            <v>0.47580274738829503</v>
          </cell>
          <cell r="G110">
            <v>26017755.981110521</v>
          </cell>
          <cell r="H110">
            <v>12389394.053642172</v>
          </cell>
          <cell r="I110">
            <v>0.47618995514590701</v>
          </cell>
          <cell r="J110">
            <v>210000</v>
          </cell>
          <cell r="K110">
            <v>89844.299999999959</v>
          </cell>
          <cell r="L110">
            <v>0.42782999999999982</v>
          </cell>
          <cell r="AB110" t="str">
            <v>Producer Volumes for System Supply</v>
          </cell>
          <cell r="AE110">
            <v>609616194.20681059</v>
          </cell>
        </row>
        <row r="111">
          <cell r="C111" t="str">
            <v>NOVEMBER</v>
          </cell>
          <cell r="D111">
            <v>45324548.95433785</v>
          </cell>
          <cell r="E111">
            <v>18516318.640481666</v>
          </cell>
          <cell r="F111">
            <v>0.40852736690520414</v>
          </cell>
          <cell r="G111">
            <v>40083177.95433785</v>
          </cell>
          <cell r="H111">
            <v>16181152.996891666</v>
          </cell>
          <cell r="I111">
            <v>0.40368937351536827</v>
          </cell>
          <cell r="J111">
            <v>5241371</v>
          </cell>
          <cell r="K111">
            <v>2335165.64359</v>
          </cell>
          <cell r="L111">
            <v>0.44552573049875693</v>
          </cell>
          <cell r="AB111" t="str">
            <v>Producer Volumes for Storage Injection</v>
          </cell>
          <cell r="AE111">
            <v>0</v>
          </cell>
        </row>
        <row r="112">
          <cell r="C112" t="str">
            <v>DECEMBER</v>
          </cell>
          <cell r="D112">
            <v>93536716.339918956</v>
          </cell>
          <cell r="E112">
            <v>50844672.315386556</v>
          </cell>
          <cell r="F112">
            <v>0.54357982945021788</v>
          </cell>
          <cell r="G112">
            <v>73085615.339918956</v>
          </cell>
          <cell r="H112">
            <v>41721427.050096557</v>
          </cell>
          <cell r="I112">
            <v>0.5708568896362366</v>
          </cell>
          <cell r="J112">
            <v>20451101</v>
          </cell>
          <cell r="K112">
            <v>9123245.2652900014</v>
          </cell>
          <cell r="L112">
            <v>0.44610044541318344</v>
          </cell>
          <cell r="AB112" t="str">
            <v>Total Producer Gas Therms [3]</v>
          </cell>
          <cell r="AE112">
            <v>609616194.20681059</v>
          </cell>
        </row>
        <row r="113">
          <cell r="D113" t="str">
            <v xml:space="preserve"> ------------</v>
          </cell>
          <cell r="E113" t="str">
            <v xml:space="preserve"> ------------</v>
          </cell>
          <cell r="F113" t="str">
            <v xml:space="preserve"> ------------</v>
          </cell>
          <cell r="G113" t="str">
            <v xml:space="preserve"> ------------</v>
          </cell>
          <cell r="H113" t="str">
            <v xml:space="preserve"> ------------</v>
          </cell>
          <cell r="I113" t="str">
            <v xml:space="preserve"> ------------</v>
          </cell>
          <cell r="J113" t="str">
            <v xml:space="preserve"> ------------</v>
          </cell>
          <cell r="K113" t="str">
            <v xml:space="preserve"> ------------</v>
          </cell>
          <cell r="L113" t="str">
            <v xml:space="preserve"> ------------</v>
          </cell>
        </row>
        <row r="114">
          <cell r="C114" t="str">
            <v>TOTAL</v>
          </cell>
          <cell r="D114">
            <v>733353247.03401208</v>
          </cell>
          <cell r="E114">
            <v>379235789.78019953</v>
          </cell>
          <cell r="F114">
            <v>0.51712567076506177</v>
          </cell>
          <cell r="G114">
            <v>613878162.03401196</v>
          </cell>
          <cell r="H114">
            <v>325438814.06785959</v>
          </cell>
          <cell r="I114">
            <v>0.53013583316349866</v>
          </cell>
          <cell r="J114">
            <v>119475085</v>
          </cell>
          <cell r="K114">
            <v>53796975.71233999</v>
          </cell>
          <cell r="L114">
            <v>0.45027777726494178</v>
          </cell>
          <cell r="AB114" t="str">
            <v>Average Producer Gas Cost per Therm</v>
          </cell>
          <cell r="AE114">
            <v>0.58142000000000005</v>
          </cell>
        </row>
        <row r="115">
          <cell r="C115" t="str">
            <v>[1]  ALL SOURCE VOLUMES AND COSTS INCLUCE GAS FROM BOTH STORAGE AND PIPELINE</v>
          </cell>
          <cell r="AE115" t="str">
            <v>=</v>
          </cell>
        </row>
        <row r="116">
          <cell r="C116" t="str">
            <v>SOURCES.  TRANSPORTATION CHARGES AND FIXED CHARGES ARE NOT INCLUDED.</v>
          </cell>
        </row>
        <row r="117">
          <cell r="C117" t="str">
            <v>[2]  PORTFOLIO VOLUMES AND COSTS INCLUDE ALL FLOWING GAS SOURCES WITHOUT DEMAND AND TRANSPORT CHARGES.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</row>
        <row r="118">
          <cell r="G118">
            <v>613878168.02696931</v>
          </cell>
          <cell r="AB118" t="str">
            <v>[1] Includes the cost of all producer sources except Mist Production</v>
          </cell>
        </row>
        <row r="119">
          <cell r="AB119" t="str">
            <v>gas priced into Northwest Pipeline</v>
          </cell>
        </row>
        <row r="120">
          <cell r="I120" t="str">
            <v>Demand</v>
          </cell>
          <cell r="AB120" t="str">
            <v>[2] For transportation of applicable gas other than Northwest Pipeline</v>
          </cell>
        </row>
      </sheetData>
      <sheetData sheetId="11" refreshError="1"/>
      <sheetData sheetId="12" refreshError="1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g Bill by RS"/>
      <sheetName val="Rates in summary"/>
      <sheetName val="Rates in detail"/>
      <sheetName val="Temporaries"/>
      <sheetName val="Allocation equal ¢ per therm"/>
      <sheetName val="Allocation equal % of margin"/>
      <sheetName val="Inputs"/>
      <sheetName val="Washington volumes"/>
      <sheetName val="Amortization"/>
      <sheetName val="Cover"/>
      <sheetName val="WA Index"/>
      <sheetName val="Statement of Rates"/>
      <sheetName val="Chgs in Rates by RS"/>
      <sheetName val="Notice of Proposed Chang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WACOG History"/>
      <sheetName val="RS 1 BR History"/>
      <sheetName val="RS 2 BR History"/>
      <sheetName val="RS 3 BR History"/>
      <sheetName val="RS 19 BR History"/>
      <sheetName val="RS 21 BR History"/>
      <sheetName val="RS 27 BR History"/>
      <sheetName val="RS 41 Firm BR History"/>
      <sheetName val="RS 41 Intp BR History"/>
      <sheetName val="RS 42 FS BR History"/>
      <sheetName val="RS42 IS BR History"/>
      <sheetName val="RS 3T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wacog purch history"/>
      <sheetName val="INDEX"/>
      <sheetName val="Ind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4.4420000000000001E-2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g Bill by RS"/>
      <sheetName val="Rates in summary"/>
      <sheetName val="Rates in detail"/>
      <sheetName val="Temporaries"/>
      <sheetName val="Allocation equal ¢ per therm"/>
      <sheetName val="Allocation equal % of margin"/>
      <sheetName val="Inputs"/>
      <sheetName val="Washington volumes"/>
      <sheetName val="Amortization"/>
      <sheetName val="Cover"/>
      <sheetName val="WA Index"/>
      <sheetName val="Statement of Rates"/>
      <sheetName val="Chgs in Rates by RS"/>
      <sheetName val="Notice of Proposed Chang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WACOG History"/>
      <sheetName val="RS 1 BR History"/>
      <sheetName val="RS 2 BR History"/>
      <sheetName val="RS 3 BR History"/>
      <sheetName val="RS 19 BR History"/>
      <sheetName val="RS 21 BR History"/>
      <sheetName val="RS 27 BR History"/>
      <sheetName val="RS 41 Firm BR History"/>
      <sheetName val="RS 41 Intp BR History"/>
      <sheetName val="RS 42 FS BR History"/>
      <sheetName val="RS42 IS BR History"/>
      <sheetName val="RS 3T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wacog purch history"/>
      <sheetName val="INDEX"/>
      <sheetName val="Ind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4.4420000000000001E-2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</sheetData>
      <sheetData sheetId="16">
        <row r="1">
          <cell r="A1" t="str">
            <v>NW Natural</v>
          </cell>
        </row>
      </sheetData>
      <sheetData sheetId="17">
        <row r="2">
          <cell r="A2" t="str">
            <v>NW Natural</v>
          </cell>
        </row>
      </sheetData>
      <sheetData sheetId="18">
        <row r="1">
          <cell r="A1" t="str">
            <v>NW Natural</v>
          </cell>
        </row>
      </sheetData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</sheetData>
      <sheetData sheetId="16">
        <row r="1">
          <cell r="A1" t="str">
            <v>NW Natural</v>
          </cell>
        </row>
      </sheetData>
      <sheetData sheetId="17">
        <row r="2">
          <cell r="A2" t="str">
            <v>NW Natural</v>
          </cell>
        </row>
      </sheetData>
      <sheetData sheetId="18">
        <row r="1">
          <cell r="A1" t="str">
            <v>NW Natural</v>
          </cell>
        </row>
      </sheetData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 Detail"/>
      <sheetName val="WA 0506 Matrix"/>
      <sheetName val="WA Proposed Temps"/>
      <sheetName val="WA 0607 Matrix"/>
      <sheetName val="OR Detail"/>
      <sheetName val="OR Increments for filing"/>
      <sheetName val="OR 0506 Matrix"/>
      <sheetName val="OR 0607 Matrix"/>
      <sheetName val="New Vols"/>
      <sheetName val="VOL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Income Model"/>
      <sheetName val="Export to REV-0 in margin model"/>
      <sheetName val="Volumes from Margin Model"/>
      <sheetName val="WA Amort Rates0708"/>
      <sheetName val="OR Amort Rates0708"/>
      <sheetName val="Balances"/>
      <sheetName val="Accum"/>
      <sheetName val="Amort"/>
      <sheetName val="Transfers"/>
      <sheetName val="Interest"/>
      <sheetName val="Check"/>
      <sheetName val="186291"/>
      <sheetName val="186292"/>
      <sheetName val="186229"/>
      <sheetName val="186259"/>
      <sheetName val="186275"/>
      <sheetName val="186277"/>
      <sheetName val="186270"/>
      <sheetName val="186271"/>
      <sheetName val="186276"/>
      <sheetName val="186286"/>
      <sheetName val="186278"/>
      <sheetName val="186288"/>
      <sheetName val="186231"/>
      <sheetName val="186267"/>
      <sheetName val="191400"/>
      <sheetName val="191401"/>
      <sheetName val="191410"/>
      <sheetName val="191411"/>
      <sheetName val="191031"/>
      <sheetName val="191450"/>
      <sheetName val="191417"/>
      <sheetName val="186311"/>
      <sheetName val="186312"/>
      <sheetName val="186314"/>
      <sheetName val="186316"/>
      <sheetName val="191420"/>
      <sheetName val="191421"/>
      <sheetName val="191430"/>
      <sheetName val="191431"/>
      <sheetName val="191432"/>
      <sheetName val="186302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F1">
            <v>6.7699999999999996E-2</v>
          </cell>
        </row>
      </sheetData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>
            <v>3.2500000000000001E-2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7"/>
  <sheetViews>
    <sheetView tabSelected="1" topLeftCell="J1" zoomScaleNormal="100" workbookViewId="0">
      <selection activeCell="S10" sqref="S9:S10"/>
    </sheetView>
  </sheetViews>
  <sheetFormatPr defaultColWidth="9.109375" defaultRowHeight="13.2" x14ac:dyDescent="0.25"/>
  <cols>
    <col min="1" max="1" width="5.88671875" style="1" customWidth="1"/>
    <col min="2" max="2" width="18.88671875" style="6" customWidth="1"/>
    <col min="3" max="3" width="14.33203125" style="2" customWidth="1"/>
    <col min="4" max="6" width="16.88671875" style="3" customWidth="1"/>
    <col min="7" max="7" width="20.33203125" style="3" customWidth="1"/>
    <col min="8" max="9" width="18.33203125" style="3" customWidth="1"/>
    <col min="10" max="10" width="21.109375" style="3" customWidth="1"/>
    <col min="11" max="16" width="17.33203125" style="2" customWidth="1"/>
    <col min="17" max="20" width="15.6640625" style="2" customWidth="1"/>
    <col min="21" max="16384" width="9.109375" style="2"/>
  </cols>
  <sheetData>
    <row r="1" spans="1:16" x14ac:dyDescent="0.25">
      <c r="B1" s="303" t="s">
        <v>342</v>
      </c>
      <c r="C1" s="3"/>
      <c r="D1" s="58"/>
      <c r="E1" s="58"/>
      <c r="F1" s="58"/>
      <c r="G1" s="58"/>
      <c r="H1" s="58"/>
      <c r="I1" s="58"/>
      <c r="J1" s="58"/>
      <c r="K1" s="6"/>
    </row>
    <row r="2" spans="1:16" x14ac:dyDescent="0.25">
      <c r="B2" s="303" t="s">
        <v>343</v>
      </c>
      <c r="C2" s="3"/>
      <c r="D2" s="58"/>
      <c r="E2" s="58"/>
      <c r="F2" s="238"/>
      <c r="G2" s="58"/>
      <c r="H2" s="58"/>
      <c r="I2" s="58"/>
      <c r="J2" s="58"/>
      <c r="K2" s="6"/>
    </row>
    <row r="3" spans="1:16" x14ac:dyDescent="0.25">
      <c r="B3" s="303" t="s">
        <v>346</v>
      </c>
      <c r="C3" s="4"/>
      <c r="D3" s="239"/>
      <c r="E3" s="58"/>
      <c r="F3" s="58"/>
      <c r="G3" s="239"/>
      <c r="H3" s="58"/>
      <c r="I3" s="58"/>
      <c r="J3" s="58"/>
      <c r="K3" s="51"/>
    </row>
    <row r="4" spans="1:16" x14ac:dyDescent="0.25">
      <c r="D4" s="240"/>
      <c r="E4" s="58"/>
      <c r="F4" s="58"/>
      <c r="G4" s="240"/>
      <c r="H4" s="58"/>
      <c r="I4" s="58"/>
      <c r="J4" s="58"/>
      <c r="K4" s="6"/>
    </row>
    <row r="5" spans="1:16" x14ac:dyDescent="0.25">
      <c r="D5" s="6"/>
      <c r="E5" s="58"/>
      <c r="F5" s="6"/>
      <c r="G5" s="6"/>
      <c r="H5" s="6"/>
      <c r="I5" s="6"/>
      <c r="J5" s="6"/>
      <c r="K5" s="6"/>
    </row>
    <row r="6" spans="1:16" x14ac:dyDescent="0.25">
      <c r="D6" s="6"/>
      <c r="E6" s="58"/>
      <c r="F6" s="6"/>
      <c r="G6" s="6"/>
      <c r="H6" s="6"/>
      <c r="I6" s="6"/>
      <c r="J6" s="6"/>
      <c r="K6" s="6"/>
    </row>
    <row r="7" spans="1:16" x14ac:dyDescent="0.25">
      <c r="D7" s="58"/>
      <c r="E7" s="58"/>
      <c r="F7" s="6"/>
      <c r="G7" s="58"/>
      <c r="H7" s="6"/>
      <c r="I7" s="6"/>
      <c r="J7" s="6"/>
      <c r="K7" s="6"/>
    </row>
    <row r="8" spans="1:16" x14ac:dyDescent="0.25">
      <c r="A8" s="8">
        <v>1</v>
      </c>
      <c r="B8" s="6" t="s">
        <v>10</v>
      </c>
      <c r="D8" s="58"/>
      <c r="E8" s="58"/>
      <c r="F8" s="6"/>
      <c r="G8" s="58"/>
      <c r="H8" s="6"/>
      <c r="I8" s="6"/>
      <c r="J8" s="6"/>
      <c r="K8" s="6"/>
    </row>
    <row r="9" spans="1:16" x14ac:dyDescent="0.25">
      <c r="A9" s="8">
        <f t="shared" ref="A9:A40" si="0">+A8+1</f>
        <v>2</v>
      </c>
      <c r="H9" s="9"/>
    </row>
    <row r="10" spans="1:16" x14ac:dyDescent="0.25">
      <c r="A10" s="8">
        <f t="shared" si="0"/>
        <v>3</v>
      </c>
      <c r="B10" s="304"/>
      <c r="C10" s="11"/>
      <c r="D10" s="9"/>
      <c r="E10" s="9"/>
      <c r="F10" s="9"/>
      <c r="G10" s="9"/>
      <c r="H10" s="9"/>
      <c r="I10" s="9"/>
      <c r="J10" s="9"/>
    </row>
    <row r="11" spans="1:16" x14ac:dyDescent="0.25">
      <c r="A11" s="8">
        <f t="shared" si="0"/>
        <v>4</v>
      </c>
      <c r="B11" s="305" t="s">
        <v>14</v>
      </c>
      <c r="C11" s="12" t="s">
        <v>15</v>
      </c>
      <c r="D11" s="13" t="s">
        <v>44</v>
      </c>
      <c r="E11" s="13" t="s">
        <v>17</v>
      </c>
      <c r="F11" s="13" t="s">
        <v>45</v>
      </c>
      <c r="G11" s="13" t="s">
        <v>337</v>
      </c>
      <c r="H11" s="13" t="s">
        <v>332</v>
      </c>
      <c r="I11" s="13" t="s">
        <v>19</v>
      </c>
      <c r="J11" s="13" t="s">
        <v>324</v>
      </c>
    </row>
    <row r="12" spans="1:16" x14ac:dyDescent="0.25">
      <c r="A12" s="8">
        <f t="shared" si="0"/>
        <v>5</v>
      </c>
      <c r="B12" s="304" t="s">
        <v>21</v>
      </c>
      <c r="C12" s="11" t="s">
        <v>22</v>
      </c>
      <c r="D12" s="9" t="s">
        <v>23</v>
      </c>
      <c r="E12" s="9" t="s">
        <v>24</v>
      </c>
      <c r="F12" s="9" t="s">
        <v>338</v>
      </c>
      <c r="G12" s="9" t="s">
        <v>31</v>
      </c>
      <c r="H12" s="9" t="s">
        <v>46</v>
      </c>
      <c r="I12" s="9" t="s">
        <v>339</v>
      </c>
      <c r="J12" s="9" t="s">
        <v>340</v>
      </c>
      <c r="K12" s="11"/>
    </row>
    <row r="13" spans="1:16" ht="13.8" thickBot="1" x14ac:dyDescent="0.3">
      <c r="A13" s="8">
        <f t="shared" si="0"/>
        <v>6</v>
      </c>
      <c r="H13" s="9"/>
    </row>
    <row r="14" spans="1:16" x14ac:dyDescent="0.25">
      <c r="A14" s="8">
        <f t="shared" si="0"/>
        <v>7</v>
      </c>
      <c r="B14" s="306" t="s">
        <v>37</v>
      </c>
      <c r="C14" s="291">
        <v>43769</v>
      </c>
      <c r="D14" s="95"/>
      <c r="E14" s="2"/>
      <c r="F14" s="97"/>
      <c r="G14" s="95"/>
      <c r="H14" s="26"/>
      <c r="I14" s="15"/>
      <c r="J14" s="288">
        <f>'186310 Energy Eff General'!K114</f>
        <v>5365993.92</v>
      </c>
      <c r="K14" s="279"/>
      <c r="L14" s="255" t="s">
        <v>341</v>
      </c>
      <c r="M14" s="256"/>
      <c r="N14" s="256"/>
      <c r="O14" s="256"/>
      <c r="P14" s="257"/>
    </row>
    <row r="15" spans="1:16" x14ac:dyDescent="0.25">
      <c r="A15" s="8">
        <f t="shared" si="0"/>
        <v>8</v>
      </c>
      <c r="B15" s="6">
        <v>43799</v>
      </c>
      <c r="D15" s="95">
        <f t="shared" ref="D15:D26" si="1">(-$J$14/4)*$P17</f>
        <v>-154864.41008034424</v>
      </c>
      <c r="E15" s="3">
        <f>J14/4</f>
        <v>1341498.48</v>
      </c>
      <c r="F15" s="97">
        <v>5.4199999999999998E-2</v>
      </c>
      <c r="G15" s="3">
        <f>($E$15+D15/2)*F15/12</f>
        <v>5709.3660085685551</v>
      </c>
      <c r="H15" s="26">
        <f>(J14-E15)*F15/12</f>
        <v>18177.304403999999</v>
      </c>
      <c r="I15" s="15">
        <f t="shared" ref="I15:I62" si="2">SUM(-E15,H15)</f>
        <v>-1323321.1755959999</v>
      </c>
      <c r="J15" s="294">
        <f>+J14+I15</f>
        <v>4042672.7444040002</v>
      </c>
      <c r="K15" s="95"/>
      <c r="L15" s="258"/>
      <c r="M15" s="259"/>
      <c r="N15" s="259"/>
      <c r="O15" s="259"/>
      <c r="P15" s="260"/>
    </row>
    <row r="16" spans="1:16" x14ac:dyDescent="0.25">
      <c r="A16" s="8">
        <f t="shared" si="0"/>
        <v>9</v>
      </c>
      <c r="B16" s="6">
        <f>+B15+31</f>
        <v>43830</v>
      </c>
      <c r="C16" s="99"/>
      <c r="D16" s="95">
        <f t="shared" si="1"/>
        <v>-215103.94930654764</v>
      </c>
      <c r="F16" s="97">
        <v>5.4199999999999998E-2</v>
      </c>
      <c r="G16" s="3">
        <f>($E$15+SUM(D15)+D16/2)*F16/12</f>
        <v>4873.8541302864915</v>
      </c>
      <c r="H16" s="26">
        <f>(J15-E16)*F16/12</f>
        <v>18259.405228891399</v>
      </c>
      <c r="I16" s="15">
        <f t="shared" si="2"/>
        <v>18259.405228891399</v>
      </c>
      <c r="J16" s="294">
        <f>+J15+I16</f>
        <v>4060932.1496328916</v>
      </c>
      <c r="K16" s="251"/>
      <c r="L16" s="258"/>
      <c r="M16" s="261" t="s">
        <v>319</v>
      </c>
      <c r="N16" s="261" t="s">
        <v>320</v>
      </c>
      <c r="O16" s="261" t="s">
        <v>148</v>
      </c>
      <c r="P16" s="289" t="s">
        <v>331</v>
      </c>
    </row>
    <row r="17" spans="1:16" x14ac:dyDescent="0.25">
      <c r="A17" s="8">
        <f t="shared" si="0"/>
        <v>10</v>
      </c>
      <c r="B17" s="84">
        <f>+B16+31</f>
        <v>43861</v>
      </c>
      <c r="C17" s="99"/>
      <c r="D17" s="95">
        <f t="shared" si="1"/>
        <v>-214201.29336946853</v>
      </c>
      <c r="F17" s="97">
        <v>5.4199999999999998E-2</v>
      </c>
      <c r="G17" s="3">
        <f>($E$15+SUM(D15:D16)+D17/2)*F17/12</f>
        <v>3904.3397905764887</v>
      </c>
      <c r="H17" s="26">
        <f t="shared" ref="H17:H62" si="3">(J16-E17)*F17/12</f>
        <v>18341.876875841892</v>
      </c>
      <c r="I17" s="15">
        <f t="shared" si="2"/>
        <v>18341.876875841892</v>
      </c>
      <c r="J17" s="294">
        <f>+J16+I17</f>
        <v>4079274.0265087336</v>
      </c>
      <c r="L17" s="262">
        <v>43770</v>
      </c>
      <c r="M17" s="244">
        <v>6340868.836698099</v>
      </c>
      <c r="N17" s="244">
        <v>2656408.1410784717</v>
      </c>
      <c r="O17" s="245">
        <f>SUM(M17:N17)</f>
        <v>8997276.9777765702</v>
      </c>
      <c r="P17" s="263">
        <f>O17/$O$29</f>
        <v>0.11544136082833598</v>
      </c>
    </row>
    <row r="18" spans="1:16" x14ac:dyDescent="0.25">
      <c r="A18" s="8">
        <f t="shared" si="0"/>
        <v>11</v>
      </c>
      <c r="B18" s="274">
        <f>+B17+28</f>
        <v>43889</v>
      </c>
      <c r="C18" s="99"/>
      <c r="D18" s="95">
        <f t="shared" si="1"/>
        <v>-182130.69428744048</v>
      </c>
      <c r="F18" s="97">
        <v>5.4199999999999998E-2</v>
      </c>
      <c r="G18" s="3">
        <f>($E$15+SUM(D15:D17)+D18/2)*F18/12</f>
        <v>3009.2900517846356</v>
      </c>
      <c r="H18" s="26">
        <f t="shared" si="3"/>
        <v>18424.721019731111</v>
      </c>
      <c r="I18" s="15">
        <f t="shared" si="2"/>
        <v>18424.721019731111</v>
      </c>
      <c r="J18" s="294">
        <f>+J17+I18</f>
        <v>4097698.7475284645</v>
      </c>
      <c r="L18" s="264">
        <v>43800</v>
      </c>
      <c r="M18" s="246">
        <v>8858949.8077822905</v>
      </c>
      <c r="N18" s="246">
        <v>3638110.1036625183</v>
      </c>
      <c r="O18" s="247">
        <f t="shared" ref="O18:O28" si="4">SUM(M18:N18)</f>
        <v>12497059.911444809</v>
      </c>
      <c r="P18" s="263">
        <f t="shared" ref="P18:P28" si="5">O18/$O$29</f>
        <v>0.16034602536899456</v>
      </c>
    </row>
    <row r="19" spans="1:16" x14ac:dyDescent="0.25">
      <c r="A19" s="8">
        <f t="shared" si="0"/>
        <v>12</v>
      </c>
      <c r="B19" s="274">
        <f>+B18+31</f>
        <v>43920</v>
      </c>
      <c r="C19" s="99"/>
      <c r="D19" s="95">
        <f t="shared" si="1"/>
        <v>-153038.44968576942</v>
      </c>
      <c r="F19" s="97">
        <v>5.4199999999999998E-2</v>
      </c>
      <c r="G19" s="3">
        <f>($E$15+SUM(D15:D18)+D19/2)*F19/12</f>
        <v>2252.3664016451366</v>
      </c>
      <c r="H19" s="26">
        <f t="shared" si="3"/>
        <v>18507.939343003563</v>
      </c>
      <c r="I19" s="15">
        <f t="shared" si="2"/>
        <v>18507.939343003563</v>
      </c>
      <c r="J19" s="294">
        <f>+J18+I19</f>
        <v>4116206.6868714681</v>
      </c>
      <c r="L19" s="264">
        <v>43831</v>
      </c>
      <c r="M19" s="246">
        <v>8817203.5496987905</v>
      </c>
      <c r="N19" s="246">
        <v>3627414.0641430919</v>
      </c>
      <c r="O19" s="247">
        <f t="shared" si="4"/>
        <v>12444617.613841882</v>
      </c>
      <c r="P19" s="263">
        <f t="shared" si="5"/>
        <v>0.15967315398633067</v>
      </c>
    </row>
    <row r="20" spans="1:16" x14ac:dyDescent="0.25">
      <c r="A20" s="8">
        <f t="shared" si="0"/>
        <v>13</v>
      </c>
      <c r="B20" s="6">
        <f>+B19+30</f>
        <v>43950</v>
      </c>
      <c r="C20" s="99"/>
      <c r="D20" s="95">
        <f t="shared" si="1"/>
        <v>-108211.76484245398</v>
      </c>
      <c r="F20" s="97">
        <v>5.4199999999999998E-2</v>
      </c>
      <c r="G20" s="3">
        <f>($E$15+SUM(D15:D19)+D20/2)*F20/12</f>
        <v>1662.3763338355657</v>
      </c>
      <c r="H20" s="26">
        <f t="shared" si="3"/>
        <v>18591.533535702798</v>
      </c>
      <c r="I20" s="15">
        <f t="shared" si="2"/>
        <v>18591.533535702798</v>
      </c>
      <c r="J20" s="294">
        <f t="shared" ref="J20:J39" si="6">+J19+I20</f>
        <v>4134798.2204071707</v>
      </c>
      <c r="L20" s="264">
        <v>43862</v>
      </c>
      <c r="M20" s="246">
        <v>7482441.877934007</v>
      </c>
      <c r="N20" s="246">
        <v>3098945.4260223866</v>
      </c>
      <c r="O20" s="247">
        <f t="shared" si="4"/>
        <v>10581387.303956393</v>
      </c>
      <c r="P20" s="263">
        <f t="shared" si="5"/>
        <v>0.13576660503367882</v>
      </c>
    </row>
    <row r="21" spans="1:16" x14ac:dyDescent="0.25">
      <c r="A21" s="8">
        <f t="shared" si="0"/>
        <v>14</v>
      </c>
      <c r="B21" s="6">
        <f>+B20+31</f>
        <v>43981</v>
      </c>
      <c r="C21" s="99"/>
      <c r="D21" s="95">
        <f t="shared" si="1"/>
        <v>-65850.402301984344</v>
      </c>
      <c r="F21" s="97">
        <v>5.4199999999999998E-2</v>
      </c>
      <c r="G21" s="3">
        <f>($E$15+SUM(D15:D20)+D21/2)*F21/12</f>
        <v>1269.2859397010423</v>
      </c>
      <c r="H21" s="26">
        <f t="shared" si="3"/>
        <v>18675.505295505722</v>
      </c>
      <c r="I21" s="15">
        <f t="shared" si="2"/>
        <v>18675.505295505722</v>
      </c>
      <c r="J21" s="294">
        <f t="shared" si="6"/>
        <v>4153473.7257026765</v>
      </c>
      <c r="L21" s="264">
        <v>43891</v>
      </c>
      <c r="M21" s="246">
        <v>6256824.6682192646</v>
      </c>
      <c r="N21" s="246">
        <v>2634368.0813481482</v>
      </c>
      <c r="O21" s="247">
        <f t="shared" si="4"/>
        <v>8891192.7495674118</v>
      </c>
      <c r="P21" s="263">
        <f t="shared" si="5"/>
        <v>0.11408022593195143</v>
      </c>
    </row>
    <row r="22" spans="1:16" x14ac:dyDescent="0.25">
      <c r="A22" s="8">
        <f t="shared" si="0"/>
        <v>15</v>
      </c>
      <c r="B22" s="6">
        <f>+B21+30</f>
        <v>44011</v>
      </c>
      <c r="C22" s="99"/>
      <c r="D22" s="95">
        <f t="shared" si="1"/>
        <v>-45200.658127686256</v>
      </c>
      <c r="F22" s="97">
        <v>5.4199999999999998E-2</v>
      </c>
      <c r="G22" s="3">
        <f>($E$15+SUM(D15:D21)+D22/2)*F22/12</f>
        <v>1018.4956282307033</v>
      </c>
      <c r="H22" s="26">
        <f t="shared" si="3"/>
        <v>18759.85632775709</v>
      </c>
      <c r="I22" s="15">
        <f t="shared" si="2"/>
        <v>18759.85632775709</v>
      </c>
      <c r="J22" s="294">
        <f t="shared" si="6"/>
        <v>4172233.5820304337</v>
      </c>
      <c r="L22" s="264">
        <v>43922</v>
      </c>
      <c r="M22" s="246">
        <v>4377274.2136175353</v>
      </c>
      <c r="N22" s="246">
        <v>1909588.0811890643</v>
      </c>
      <c r="O22" s="247">
        <f t="shared" si="4"/>
        <v>6286862.2948065996</v>
      </c>
      <c r="P22" s="263">
        <f t="shared" si="5"/>
        <v>8.0664843423791266E-2</v>
      </c>
    </row>
    <row r="23" spans="1:16" x14ac:dyDescent="0.25">
      <c r="A23" s="8">
        <f t="shared" si="0"/>
        <v>16</v>
      </c>
      <c r="B23" s="6">
        <f>+B22+31</f>
        <v>44042</v>
      </c>
      <c r="C23" s="99"/>
      <c r="D23" s="95">
        <f t="shared" si="1"/>
        <v>-38083.626482178115</v>
      </c>
      <c r="F23" s="97">
        <v>5.4199999999999998E-2</v>
      </c>
      <c r="G23" s="3">
        <f>($E$15+SUM(D15:D22)+D23/2)*F23/12</f>
        <v>830.41195215342634</v>
      </c>
      <c r="H23" s="26">
        <f t="shared" si="3"/>
        <v>18844.588345504126</v>
      </c>
      <c r="I23" s="15">
        <f t="shared" si="2"/>
        <v>18844.588345504126</v>
      </c>
      <c r="J23" s="294">
        <f t="shared" si="6"/>
        <v>4191078.1703759376</v>
      </c>
      <c r="L23" s="264">
        <v>43952</v>
      </c>
      <c r="M23" s="246">
        <v>2558386.8581189271</v>
      </c>
      <c r="N23" s="246">
        <v>1267374.7116412977</v>
      </c>
      <c r="O23" s="247">
        <f t="shared" si="4"/>
        <v>3825761.5697602248</v>
      </c>
      <c r="P23" s="263">
        <f t="shared" si="5"/>
        <v>4.908719859450332E-2</v>
      </c>
    </row>
    <row r="24" spans="1:16" x14ac:dyDescent="0.25">
      <c r="A24" s="8">
        <f t="shared" si="0"/>
        <v>17</v>
      </c>
      <c r="B24" s="6">
        <f>+B23+31</f>
        <v>44073</v>
      </c>
      <c r="C24" s="99"/>
      <c r="D24" s="95">
        <f t="shared" si="1"/>
        <v>-37949.118961323991</v>
      </c>
      <c r="F24" s="97">
        <v>5.4199999999999998E-2</v>
      </c>
      <c r="G24" s="3">
        <f>($E$15+SUM(D15:D23)+D24/2)*F24/12</f>
        <v>658.70466869351696</v>
      </c>
      <c r="H24" s="26">
        <f t="shared" si="3"/>
        <v>18929.703069531319</v>
      </c>
      <c r="I24" s="15">
        <f t="shared" si="2"/>
        <v>18929.703069531319</v>
      </c>
      <c r="J24" s="294">
        <f t="shared" si="6"/>
        <v>4210007.873445469</v>
      </c>
      <c r="L24" s="264">
        <v>43983</v>
      </c>
      <c r="M24" s="246">
        <v>1663481.073282606</v>
      </c>
      <c r="N24" s="246">
        <v>962576.39558059082</v>
      </c>
      <c r="O24" s="247">
        <f t="shared" si="4"/>
        <v>2626057.4688631967</v>
      </c>
      <c r="P24" s="263">
        <f t="shared" si="5"/>
        <v>3.3694155305853388E-2</v>
      </c>
    </row>
    <row r="25" spans="1:16" x14ac:dyDescent="0.25">
      <c r="A25" s="8">
        <f t="shared" si="0"/>
        <v>18</v>
      </c>
      <c r="B25" s="6">
        <f>+B24+30</f>
        <v>44103</v>
      </c>
      <c r="C25" s="99"/>
      <c r="D25" s="95">
        <f t="shared" si="1"/>
        <v>-40598.869296783923</v>
      </c>
      <c r="F25" s="97">
        <v>5.4199999999999998E-2</v>
      </c>
      <c r="G25" s="3">
        <f>($E$15+SUM(D15:D24)+D25/2)*F25/12</f>
        <v>481.31712854395658</v>
      </c>
      <c r="H25" s="26">
        <f t="shared" si="3"/>
        <v>19015.202228395367</v>
      </c>
      <c r="I25" s="15">
        <f t="shared" si="2"/>
        <v>19015.202228395367</v>
      </c>
      <c r="J25" s="294">
        <f t="shared" si="6"/>
        <v>4229023.0756738642</v>
      </c>
      <c r="L25" s="264">
        <v>44013</v>
      </c>
      <c r="M25" s="246">
        <v>1382425.2752797708</v>
      </c>
      <c r="N25" s="246">
        <v>830148.52137612761</v>
      </c>
      <c r="O25" s="247">
        <f t="shared" si="4"/>
        <v>2212573.7966558984</v>
      </c>
      <c r="P25" s="263">
        <f t="shared" si="5"/>
        <v>2.8388870393783908E-2</v>
      </c>
    </row>
    <row r="26" spans="1:16" x14ac:dyDescent="0.25">
      <c r="A26" s="8">
        <f t="shared" si="0"/>
        <v>19</v>
      </c>
      <c r="B26" s="6">
        <f>+B25+31</f>
        <v>44134</v>
      </c>
      <c r="C26" s="99"/>
      <c r="D26" s="95">
        <f t="shared" si="1"/>
        <v>-86265.243258018891</v>
      </c>
      <c r="F26" s="97">
        <v>5.4199999999999998E-2</v>
      </c>
      <c r="G26" s="3">
        <f>($E$15+SUM(D15:D25)+D26/2)*F26/12</f>
        <v>194.81567435769409</v>
      </c>
      <c r="H26" s="26">
        <f t="shared" si="3"/>
        <v>19101.087558460287</v>
      </c>
      <c r="I26" s="15">
        <f t="shared" si="2"/>
        <v>19101.087558460287</v>
      </c>
      <c r="J26" s="294">
        <f t="shared" si="6"/>
        <v>4248124.1632323246</v>
      </c>
      <c r="K26" s="279"/>
      <c r="L26" s="264">
        <v>44044</v>
      </c>
      <c r="M26" s="246">
        <v>1377436.4659624277</v>
      </c>
      <c r="N26" s="246">
        <v>827322.74359698582</v>
      </c>
      <c r="O26" s="247">
        <f t="shared" si="4"/>
        <v>2204759.2095594136</v>
      </c>
      <c r="P26" s="263">
        <f t="shared" si="5"/>
        <v>2.8288603771898416E-2</v>
      </c>
    </row>
    <row r="27" spans="1:16" collapsed="1" x14ac:dyDescent="0.25">
      <c r="A27" s="8">
        <f t="shared" si="0"/>
        <v>20</v>
      </c>
      <c r="B27" s="6">
        <f>+B26+30</f>
        <v>44164</v>
      </c>
      <c r="D27" s="95">
        <f>(-$J$26/3)*$P17</f>
        <v>-163469.7447904252</v>
      </c>
      <c r="E27" s="3">
        <f>J26/3</f>
        <v>1416041.3877441082</v>
      </c>
      <c r="F27" s="97">
        <v>5.4199999999999998E-2</v>
      </c>
      <c r="G27" s="3">
        <f>($E$27+D27/2)*F27/12</f>
        <v>6026.6177609925116</v>
      </c>
      <c r="H27" s="26">
        <f t="shared" si="3"/>
        <v>12791.573869288442</v>
      </c>
      <c r="I27" s="15">
        <f t="shared" si="2"/>
        <v>-1403249.8138748198</v>
      </c>
      <c r="J27" s="294">
        <f>+J26+I27</f>
        <v>2844874.3493575049</v>
      </c>
      <c r="L27" s="264">
        <v>44075</v>
      </c>
      <c r="M27" s="246">
        <v>1515224.7378037728</v>
      </c>
      <c r="N27" s="246">
        <v>843479.05900923139</v>
      </c>
      <c r="O27" s="247">
        <f t="shared" si="4"/>
        <v>2358703.7968130042</v>
      </c>
      <c r="P27" s="263">
        <f t="shared" si="5"/>
        <v>3.0263820572337827E-2</v>
      </c>
    </row>
    <row r="28" spans="1:16" x14ac:dyDescent="0.25">
      <c r="A28" s="8">
        <f t="shared" si="0"/>
        <v>21</v>
      </c>
      <c r="B28" s="6">
        <f>+B27+30</f>
        <v>44194</v>
      </c>
      <c r="D28" s="95">
        <f t="shared" ref="D28:D38" si="7">(-$J$26/3)*$P18</f>
        <v>-227056.60828276305</v>
      </c>
      <c r="F28" s="97">
        <v>5.4199999999999998E-2</v>
      </c>
      <c r="G28" s="3">
        <f>($E$27+SUM(D27)+D28/2)*F28/12</f>
        <v>5144.6790803022277</v>
      </c>
      <c r="H28" s="26">
        <f t="shared" si="3"/>
        <v>12849.349144598064</v>
      </c>
      <c r="I28" s="15">
        <f t="shared" si="2"/>
        <v>12849.349144598064</v>
      </c>
      <c r="J28" s="295">
        <f t="shared" si="6"/>
        <v>2857723.6985021029</v>
      </c>
      <c r="K28" s="98"/>
      <c r="L28" s="265">
        <v>44105</v>
      </c>
      <c r="M28" s="248">
        <v>3448875.0073580947</v>
      </c>
      <c r="N28" s="248">
        <v>1562943.3100009304</v>
      </c>
      <c r="O28" s="249">
        <f t="shared" si="4"/>
        <v>5011818.3173590247</v>
      </c>
      <c r="P28" s="263">
        <f t="shared" si="5"/>
        <v>6.4305136788540301E-2</v>
      </c>
    </row>
    <row r="29" spans="1:16" ht="13.8" thickBot="1" x14ac:dyDescent="0.3">
      <c r="A29" s="8">
        <f t="shared" si="0"/>
        <v>22</v>
      </c>
      <c r="B29" s="6">
        <f>+B28+31</f>
        <v>44225</v>
      </c>
      <c r="C29" s="99"/>
      <c r="D29" s="95">
        <f>(-$J$26/3)*$P19</f>
        <v>-226103.79455628237</v>
      </c>
      <c r="F29" s="97">
        <v>5.4199999999999998E-2</v>
      </c>
      <c r="G29" s="3">
        <f>($E$27+SUM(D27:D28)+D29/2)*F29/12</f>
        <v>4121.2918372240501</v>
      </c>
      <c r="H29" s="26">
        <f t="shared" si="3"/>
        <v>12907.385371567832</v>
      </c>
      <c r="I29" s="15">
        <f t="shared" si="2"/>
        <v>12907.385371567832</v>
      </c>
      <c r="J29" s="294">
        <f t="shared" si="6"/>
        <v>2870631.0838736705</v>
      </c>
      <c r="L29" s="266" t="s">
        <v>148</v>
      </c>
      <c r="M29" s="267">
        <v>54079392.371755585</v>
      </c>
      <c r="N29" s="267">
        <v>23858678.638648845</v>
      </c>
      <c r="O29" s="267">
        <f>SUM(O17:O28)</f>
        <v>77938071.010404438</v>
      </c>
      <c r="P29" s="268"/>
    </row>
    <row r="30" spans="1:16" x14ac:dyDescent="0.25">
      <c r="A30" s="8">
        <f t="shared" si="0"/>
        <v>23</v>
      </c>
      <c r="B30" s="6">
        <f>+B29+30</f>
        <v>44255</v>
      </c>
      <c r="C30" s="99"/>
      <c r="D30" s="95">
        <f t="shared" si="7"/>
        <v>-192251.13180119678</v>
      </c>
      <c r="F30" s="97">
        <v>5.4199999999999998E-2</v>
      </c>
      <c r="G30" s="3">
        <f>($E$27+SUM(D27:D29)+D30/2)*F30/12</f>
        <v>3176.5069618667439</v>
      </c>
      <c r="H30" s="26">
        <f t="shared" si="3"/>
        <v>12965.683728829412</v>
      </c>
      <c r="I30" s="15">
        <f t="shared" si="2"/>
        <v>12965.683728829412</v>
      </c>
      <c r="J30" s="294">
        <f t="shared" si="6"/>
        <v>2883596.7676025</v>
      </c>
    </row>
    <row r="31" spans="1:16" x14ac:dyDescent="0.25">
      <c r="A31" s="8">
        <f t="shared" si="0"/>
        <v>24</v>
      </c>
      <c r="B31" s="6">
        <f>+B30+28</f>
        <v>44283</v>
      </c>
      <c r="C31" s="99"/>
      <c r="D31" s="95">
        <f t="shared" si="7"/>
        <v>-161542.3214428419</v>
      </c>
      <c r="F31" s="97">
        <v>5.4199999999999998E-2</v>
      </c>
      <c r="G31" s="3">
        <f>($E$27+SUM(D27:D30)+D31/2)*F31/12</f>
        <v>2377.5234132906226</v>
      </c>
      <c r="H31" s="26">
        <f t="shared" si="3"/>
        <v>13024.245400337959</v>
      </c>
      <c r="I31" s="15">
        <f t="shared" si="2"/>
        <v>13024.245400337959</v>
      </c>
      <c r="J31" s="294">
        <f t="shared" si="6"/>
        <v>2896621.013002838</v>
      </c>
    </row>
    <row r="32" spans="1:16" x14ac:dyDescent="0.25">
      <c r="A32" s="8">
        <f t="shared" si="0"/>
        <v>25</v>
      </c>
      <c r="B32" s="6">
        <f>+B31+31</f>
        <v>44314</v>
      </c>
      <c r="C32" s="99"/>
      <c r="D32" s="95">
        <f>(-$J$26/3)*$P22</f>
        <v>-114224.75682398658</v>
      </c>
      <c r="F32" s="97">
        <v>5.4199999999999998E-2</v>
      </c>
      <c r="G32" s="3">
        <f>($E$27+SUM(D27:D31)+D32/2)*F32/12</f>
        <v>1754.7494282047021</v>
      </c>
      <c r="H32" s="26">
        <f t="shared" si="3"/>
        <v>13083.07157539615</v>
      </c>
      <c r="I32" s="15">
        <f t="shared" si="2"/>
        <v>13083.07157539615</v>
      </c>
      <c r="J32" s="294">
        <f t="shared" si="6"/>
        <v>2909704.0845782342</v>
      </c>
    </row>
    <row r="33" spans="1:13" x14ac:dyDescent="0.25">
      <c r="A33" s="8">
        <f t="shared" si="0"/>
        <v>26</v>
      </c>
      <c r="B33" s="6">
        <f>+B32+30</f>
        <v>44344</v>
      </c>
      <c r="C33" s="99"/>
      <c r="D33" s="95">
        <f t="shared" si="7"/>
        <v>-69509.504818231115</v>
      </c>
      <c r="F33" s="97">
        <v>5.4199999999999998E-2</v>
      </c>
      <c r="G33" s="3">
        <f>($E$27+SUM(D27:D32)+D33/2)*F33/12</f>
        <v>1339.8162206626935</v>
      </c>
      <c r="H33" s="26">
        <f t="shared" si="3"/>
        <v>13142.163448678359</v>
      </c>
      <c r="I33" s="15">
        <f t="shared" si="2"/>
        <v>13142.163448678359</v>
      </c>
      <c r="J33" s="294">
        <f t="shared" si="6"/>
        <v>2922846.2480269126</v>
      </c>
    </row>
    <row r="34" spans="1:13" x14ac:dyDescent="0.25">
      <c r="A34" s="8">
        <f t="shared" si="0"/>
        <v>27</v>
      </c>
      <c r="B34" s="6">
        <f>+B33+31</f>
        <v>44375</v>
      </c>
      <c r="C34" s="99"/>
      <c r="D34" s="95">
        <f t="shared" si="7"/>
        <v>-47712.318438166141</v>
      </c>
      <c r="F34" s="97">
        <v>5.4199999999999998E-2</v>
      </c>
      <c r="G34" s="3">
        <f>($E$27+SUM(D27:D33)+D34/2)*F34/12</f>
        <v>1075.0902698086629</v>
      </c>
      <c r="H34" s="26">
        <f t="shared" si="3"/>
        <v>13201.522220254888</v>
      </c>
      <c r="I34" s="15">
        <f t="shared" si="2"/>
        <v>13201.522220254888</v>
      </c>
      <c r="J34" s="294">
        <f t="shared" si="6"/>
        <v>2936047.7702471674</v>
      </c>
    </row>
    <row r="35" spans="1:13" x14ac:dyDescent="0.25">
      <c r="A35" s="8">
        <f t="shared" si="0"/>
        <v>28</v>
      </c>
      <c r="B35" s="6">
        <f>+B34+30</f>
        <v>44405</v>
      </c>
      <c r="C35" s="99"/>
      <c r="D35" s="95">
        <f t="shared" si="7"/>
        <v>-40199.815428901391</v>
      </c>
      <c r="F35" s="97">
        <v>5.4199999999999998E-2</v>
      </c>
      <c r="G35" s="3">
        <f>($E$27+SUM(D27:D34)+D35/2)*F35/12</f>
        <v>876.55536749220255</v>
      </c>
      <c r="H35" s="26">
        <f t="shared" si="3"/>
        <v>13261.149095616371</v>
      </c>
      <c r="I35" s="15">
        <f t="shared" si="2"/>
        <v>13261.149095616371</v>
      </c>
      <c r="J35" s="294">
        <f t="shared" si="6"/>
        <v>2949308.9193427837</v>
      </c>
    </row>
    <row r="36" spans="1:13" x14ac:dyDescent="0.25">
      <c r="A36" s="8">
        <f t="shared" si="0"/>
        <v>29</v>
      </c>
      <c r="B36" s="6">
        <f>+B35+31</f>
        <v>44436</v>
      </c>
      <c r="C36" s="99"/>
      <c r="D36" s="95">
        <f t="shared" si="7"/>
        <v>-40057.833742502247</v>
      </c>
      <c r="F36" s="97">
        <v>5.4199999999999998E-2</v>
      </c>
      <c r="G36" s="3">
        <f>($E$27+SUM(D27:D35)+D36/2)*F36/12</f>
        <v>695.30684311344896</v>
      </c>
      <c r="H36" s="26">
        <f t="shared" si="3"/>
        <v>13321.045285698239</v>
      </c>
      <c r="I36" s="15">
        <f t="shared" si="2"/>
        <v>13321.045285698239</v>
      </c>
      <c r="J36" s="294">
        <f t="shared" si="6"/>
        <v>2962629.9646284818</v>
      </c>
      <c r="K36" s="39"/>
      <c r="L36" s="39"/>
    </row>
    <row r="37" spans="1:13" x14ac:dyDescent="0.25">
      <c r="A37" s="8">
        <f t="shared" si="0"/>
        <v>30</v>
      </c>
      <c r="B37" s="6">
        <f>+B36+31</f>
        <v>44467</v>
      </c>
      <c r="C37" s="100"/>
      <c r="D37" s="95">
        <f t="shared" si="7"/>
        <v>-42854.822481691946</v>
      </c>
      <c r="F37" s="97">
        <v>5.4199999999999998E-2</v>
      </c>
      <c r="G37" s="3">
        <f>($E$27+SUM(D27:D36)+D37/2)*F37/12</f>
        <v>508.06242780714427</v>
      </c>
      <c r="H37" s="26">
        <f t="shared" si="3"/>
        <v>13381.212006905307</v>
      </c>
      <c r="I37" s="15">
        <f t="shared" si="2"/>
        <v>13381.212006905307</v>
      </c>
      <c r="J37" s="295">
        <f t="shared" si="6"/>
        <v>2976011.1766353869</v>
      </c>
    </row>
    <row r="38" spans="1:13" x14ac:dyDescent="0.25">
      <c r="A38" s="8">
        <f t="shared" si="0"/>
        <v>31</v>
      </c>
      <c r="B38" s="6">
        <f>+B37+30</f>
        <v>44497</v>
      </c>
      <c r="C38" s="83"/>
      <c r="D38" s="95">
        <f t="shared" si="7"/>
        <v>-91058.735137119322</v>
      </c>
      <c r="F38" s="97">
        <v>5.4199999999999998E-2</v>
      </c>
      <c r="G38" s="3">
        <f>($E$27+SUM(D27:D37)+D38/2)*F38/12</f>
        <v>205.64097685132933</v>
      </c>
      <c r="H38" s="26">
        <f t="shared" si="3"/>
        <v>13441.650481136496</v>
      </c>
      <c r="I38" s="15">
        <f t="shared" si="2"/>
        <v>13441.650481136496</v>
      </c>
      <c r="J38" s="295">
        <f t="shared" si="6"/>
        <v>2989452.8271165234</v>
      </c>
    </row>
    <row r="39" spans="1:13" x14ac:dyDescent="0.25">
      <c r="A39" s="8">
        <f t="shared" si="0"/>
        <v>32</v>
      </c>
      <c r="B39" s="6">
        <f>+B38+31</f>
        <v>44528</v>
      </c>
      <c r="C39" s="83"/>
      <c r="D39" s="95">
        <f t="shared" ref="D39:D50" si="8">(-$J$38/2)*$P17</f>
        <v>-172553.25124722384</v>
      </c>
      <c r="E39" s="3">
        <f>J38/2</f>
        <v>1494726.4135582617</v>
      </c>
      <c r="F39" s="97">
        <v>5.4199999999999998E-2</v>
      </c>
      <c r="G39" s="3">
        <f>($E$39+D39/2)*F39/12</f>
        <v>6361.4982088381685</v>
      </c>
      <c r="H39" s="26">
        <f t="shared" si="3"/>
        <v>6751.1809679048156</v>
      </c>
      <c r="I39" s="15">
        <f t="shared" si="2"/>
        <v>-1487975.2325903568</v>
      </c>
      <c r="J39" s="295">
        <f t="shared" si="6"/>
        <v>1501477.5945261666</v>
      </c>
    </row>
    <row r="40" spans="1:13" x14ac:dyDescent="0.25">
      <c r="A40" s="8">
        <f t="shared" si="0"/>
        <v>33</v>
      </c>
      <c r="B40" s="61">
        <f>+B39+30</f>
        <v>44558</v>
      </c>
      <c r="D40" s="95">
        <f t="shared" si="8"/>
        <v>-239673.43942811928</v>
      </c>
      <c r="F40" s="97">
        <v>5.4199999999999998E-2</v>
      </c>
      <c r="G40" s="3">
        <f>($E$39+SUM(D39)+D40/2)*F40/12</f>
        <v>5430.5529323963501</v>
      </c>
      <c r="H40" s="26">
        <f t="shared" si="3"/>
        <v>6781.6738019431859</v>
      </c>
      <c r="I40" s="15">
        <f t="shared" si="2"/>
        <v>6781.6738019431859</v>
      </c>
      <c r="J40" s="295">
        <f>+J39+I40-2.66</f>
        <v>1508256.6083281098</v>
      </c>
      <c r="K40" s="103"/>
      <c r="L40" s="103"/>
      <c r="M40" s="103"/>
    </row>
    <row r="41" spans="1:13" x14ac:dyDescent="0.25">
      <c r="A41" s="8">
        <f t="shared" ref="A41:A62" si="9">+A40+1</f>
        <v>34</v>
      </c>
      <c r="B41" s="61">
        <f>+B40+30</f>
        <v>44588</v>
      </c>
      <c r="D41" s="95">
        <f t="shared" si="8"/>
        <v>-238667.6807995241</v>
      </c>
      <c r="F41" s="97">
        <v>5.4199999999999998E-2</v>
      </c>
      <c r="G41" s="3">
        <f>($E$39+SUM(D39:D40)+D41/2)*F41/12</f>
        <v>4350.2992358822567</v>
      </c>
      <c r="H41" s="26">
        <f t="shared" si="3"/>
        <v>6812.2923476152964</v>
      </c>
      <c r="I41" s="15">
        <f t="shared" si="2"/>
        <v>6812.2923476152964</v>
      </c>
      <c r="J41" s="295">
        <f t="shared" ref="J41:J62" si="10">+J40+I41</f>
        <v>1515068.9006757252</v>
      </c>
      <c r="K41" s="98"/>
    </row>
    <row r="42" spans="1:13" x14ac:dyDescent="0.25">
      <c r="A42" s="8">
        <f t="shared" si="9"/>
        <v>35</v>
      </c>
      <c r="B42" s="61">
        <f t="shared" ref="B42:B50" si="11">+B41+30</f>
        <v>44618</v>
      </c>
      <c r="C42" s="83"/>
      <c r="D42" s="95">
        <f t="shared" si="8"/>
        <v>-202933.93062297179</v>
      </c>
      <c r="F42" s="97">
        <v>5.4199999999999998E-2</v>
      </c>
      <c r="G42" s="3">
        <f>($E$39+SUM(D39:D41)+D42/2)*F42/12</f>
        <v>3353.0155967531205</v>
      </c>
      <c r="H42" s="26">
        <f t="shared" si="3"/>
        <v>6843.0612013853579</v>
      </c>
      <c r="I42" s="15">
        <f t="shared" si="2"/>
        <v>6843.0612013853579</v>
      </c>
      <c r="J42" s="295">
        <f t="shared" si="10"/>
        <v>1521911.9618771106</v>
      </c>
    </row>
    <row r="43" spans="1:13" x14ac:dyDescent="0.25">
      <c r="A43" s="8">
        <f t="shared" si="9"/>
        <v>36</v>
      </c>
      <c r="B43" s="61">
        <f t="shared" si="11"/>
        <v>44648</v>
      </c>
      <c r="C43" s="83"/>
      <c r="D43" s="95">
        <f t="shared" si="8"/>
        <v>-170518.72696518197</v>
      </c>
      <c r="F43" s="97">
        <v>5.4199999999999998E-2</v>
      </c>
      <c r="G43" s="3">
        <f>($E$39+SUM(D39:D42)+D43/2)*F43/12</f>
        <v>2509.6350116998728</v>
      </c>
      <c r="H43" s="26">
        <f t="shared" si="3"/>
        <v>6873.9690278116168</v>
      </c>
      <c r="I43" s="15">
        <f t="shared" si="2"/>
        <v>6873.9690278116168</v>
      </c>
      <c r="J43" s="295">
        <f t="shared" si="10"/>
        <v>1528785.9309049223</v>
      </c>
    </row>
    <row r="44" spans="1:13" x14ac:dyDescent="0.25">
      <c r="A44" s="8">
        <f t="shared" si="9"/>
        <v>37</v>
      </c>
      <c r="B44" s="61">
        <f t="shared" si="11"/>
        <v>44678</v>
      </c>
      <c r="C44" s="83"/>
      <c r="D44" s="95">
        <f t="shared" si="8"/>
        <v>-120571.87211108225</v>
      </c>
      <c r="F44" s="97">
        <v>5.4199999999999998E-2</v>
      </c>
      <c r="G44" s="3">
        <f>($E$39+SUM(D39:D43)+D44/2)*F44/12</f>
        <v>1852.255408785976</v>
      </c>
      <c r="H44" s="26">
        <f t="shared" si="3"/>
        <v>6905.0164545872321</v>
      </c>
      <c r="I44" s="15">
        <f t="shared" si="2"/>
        <v>6905.0164545872321</v>
      </c>
      <c r="J44" s="295">
        <f t="shared" si="10"/>
        <v>1535690.9473595095</v>
      </c>
    </row>
    <row r="45" spans="1:13" x14ac:dyDescent="0.25">
      <c r="A45" s="8">
        <f t="shared" si="9"/>
        <v>38</v>
      </c>
      <c r="B45" s="61">
        <f t="shared" si="11"/>
        <v>44708</v>
      </c>
      <c r="C45" s="83"/>
      <c r="D45" s="95">
        <f t="shared" si="8"/>
        <v>-73371.932306784089</v>
      </c>
      <c r="F45" s="97">
        <v>5.4199999999999998E-2</v>
      </c>
      <c r="G45" s="3">
        <f>($E$39+SUM(D39:D44)+D45/2)*F45/12</f>
        <v>1414.2656504756278</v>
      </c>
      <c r="H45" s="26">
        <f t="shared" si="3"/>
        <v>6936.2041122404516</v>
      </c>
      <c r="I45" s="15">
        <f t="shared" si="2"/>
        <v>6936.2041122404516</v>
      </c>
      <c r="J45" s="295">
        <f t="shared" si="10"/>
        <v>1542627.1514717499</v>
      </c>
    </row>
    <row r="46" spans="1:13" x14ac:dyDescent="0.25">
      <c r="A46" s="8">
        <f t="shared" si="9"/>
        <v>39</v>
      </c>
      <c r="B46" s="61">
        <f t="shared" si="11"/>
        <v>44738</v>
      </c>
      <c r="C46" s="83"/>
      <c r="D46" s="95">
        <f t="shared" si="8"/>
        <v>-50363.543918193311</v>
      </c>
      <c r="F46" s="97">
        <v>5.4199999999999998E-2</v>
      </c>
      <c r="G46" s="3">
        <f>($E$39+SUM(D39:D45)+D46/2)*F46/12</f>
        <v>1134.8297000008865</v>
      </c>
      <c r="H46" s="26">
        <f t="shared" si="3"/>
        <v>6967.5326341474029</v>
      </c>
      <c r="I46" s="15">
        <f t="shared" si="2"/>
        <v>6967.5326341474029</v>
      </c>
      <c r="J46" s="295">
        <f t="shared" si="10"/>
        <v>1549594.6841058973</v>
      </c>
    </row>
    <row r="47" spans="1:13" x14ac:dyDescent="0.25">
      <c r="A47" s="8">
        <f t="shared" si="9"/>
        <v>40</v>
      </c>
      <c r="B47" s="61">
        <f t="shared" si="11"/>
        <v>44768</v>
      </c>
      <c r="C47" s="83"/>
      <c r="D47" s="95">
        <f t="shared" si="8"/>
        <v>-42433.594428670935</v>
      </c>
      <c r="F47" s="97">
        <v>5.4199999999999998E-2</v>
      </c>
      <c r="G47" s="3">
        <f>($E$39+SUM(D39:D46)+D47/2)*F47/12</f>
        <v>925.26282923421797</v>
      </c>
      <c r="H47" s="26">
        <f t="shared" si="3"/>
        <v>6999.0026565449698</v>
      </c>
      <c r="I47" s="15">
        <f t="shared" si="2"/>
        <v>6999.0026565449698</v>
      </c>
      <c r="J47" s="295">
        <f t="shared" si="10"/>
        <v>1556593.6867624423</v>
      </c>
    </row>
    <row r="48" spans="1:13" x14ac:dyDescent="0.25">
      <c r="A48" s="8">
        <f t="shared" si="9"/>
        <v>41</v>
      </c>
      <c r="B48" s="61">
        <f t="shared" si="11"/>
        <v>44798</v>
      </c>
      <c r="C48" s="83"/>
      <c r="D48" s="95">
        <f t="shared" si="8"/>
        <v>-42283.723260540435</v>
      </c>
      <c r="F48" s="97">
        <v>5.4199999999999998E-2</v>
      </c>
      <c r="G48" s="3">
        <f>($E$39+SUM(D39:D47)+D48/2)*F48/12</f>
        <v>733.94288678608291</v>
      </c>
      <c r="H48" s="26">
        <f t="shared" si="3"/>
        <v>7030.6148185436978</v>
      </c>
      <c r="I48" s="15">
        <f t="shared" si="2"/>
        <v>7030.6148185436978</v>
      </c>
      <c r="J48" s="295">
        <f t="shared" si="10"/>
        <v>1563624.301580986</v>
      </c>
    </row>
    <row r="49" spans="1:11" x14ac:dyDescent="0.25">
      <c r="A49" s="8">
        <f t="shared" si="9"/>
        <v>42</v>
      </c>
      <c r="B49" s="61">
        <f t="shared" si="11"/>
        <v>44828</v>
      </c>
      <c r="C49" s="83"/>
      <c r="D49" s="95">
        <f t="shared" si="8"/>
        <v>-45236.131984661261</v>
      </c>
      <c r="F49" s="97">
        <v>5.4199999999999998E-2</v>
      </c>
      <c r="G49" s="3">
        <f>($E$39+SUM(D39:D48)+D49/2)*F49/12</f>
        <v>536.2938803573353</v>
      </c>
      <c r="H49" s="26">
        <f t="shared" si="3"/>
        <v>7062.3697621407873</v>
      </c>
      <c r="I49" s="15">
        <f t="shared" si="2"/>
        <v>7062.3697621407873</v>
      </c>
      <c r="J49" s="295">
        <f>+J48+I49</f>
        <v>1570686.6713431268</v>
      </c>
    </row>
    <row r="50" spans="1:11" x14ac:dyDescent="0.25">
      <c r="A50" s="8">
        <f t="shared" si="9"/>
        <v>43</v>
      </c>
      <c r="B50" s="61">
        <f t="shared" si="11"/>
        <v>44858</v>
      </c>
      <c r="C50" s="83"/>
      <c r="D50" s="95">
        <f t="shared" si="8"/>
        <v>-96118.586485308275</v>
      </c>
      <c r="F50" s="97">
        <v>5.4199999999999998E-2</v>
      </c>
      <c r="G50" s="3">
        <f>($E$39+SUM(D39:D49)+D50/2)*F50/12</f>
        <v>217.06780781265385</v>
      </c>
      <c r="H50" s="26">
        <f t="shared" si="3"/>
        <v>7094.2681322331227</v>
      </c>
      <c r="I50" s="15">
        <f t="shared" si="2"/>
        <v>7094.2681322331227</v>
      </c>
      <c r="J50" s="295">
        <f>+J49+I50</f>
        <v>1577780.9394753599</v>
      </c>
    </row>
    <row r="51" spans="1:11" x14ac:dyDescent="0.25">
      <c r="A51" s="8">
        <f t="shared" si="9"/>
        <v>44</v>
      </c>
      <c r="B51" s="6">
        <f>B50+30</f>
        <v>44888</v>
      </c>
      <c r="C51" s="83"/>
      <c r="D51" s="95">
        <f t="shared" ref="D51:D62" si="12">(-$J$50/1)*$P17</f>
        <v>-182141.17874204594</v>
      </c>
      <c r="E51" s="3">
        <f>J50</f>
        <v>1577780.9394753599</v>
      </c>
      <c r="F51" s="97">
        <v>5.4199999999999998E-2</v>
      </c>
      <c r="G51" s="3">
        <f>($E$51+D51/2)*F51/12</f>
        <v>6714.9750813045875</v>
      </c>
      <c r="H51" s="26">
        <f>(J50-E51)*F51/12</f>
        <v>0</v>
      </c>
      <c r="I51" s="15">
        <f t="shared" si="2"/>
        <v>-1577780.9394753599</v>
      </c>
      <c r="J51" s="295">
        <f>+J50+I51</f>
        <v>0</v>
      </c>
    </row>
    <row r="52" spans="1:11" x14ac:dyDescent="0.25">
      <c r="A52" s="8">
        <f t="shared" si="9"/>
        <v>45</v>
      </c>
      <c r="B52" s="6">
        <f>B51+31</f>
        <v>44919</v>
      </c>
      <c r="C52" s="83"/>
      <c r="D52" s="95">
        <f t="shared" si="12"/>
        <v>-252990.90254783211</v>
      </c>
      <c r="F52" s="97">
        <v>5.4199999999999998E-2</v>
      </c>
      <c r="G52" s="3">
        <f>($E$51+SUM(D51)+D52/2)*F52/12</f>
        <v>5732.3017977249465</v>
      </c>
      <c r="H52" s="26">
        <f>(J51-E52)*F52/12</f>
        <v>0</v>
      </c>
      <c r="I52" s="15">
        <f t="shared" si="2"/>
        <v>0</v>
      </c>
      <c r="J52" s="295">
        <f t="shared" si="10"/>
        <v>0</v>
      </c>
    </row>
    <row r="53" spans="1:11" x14ac:dyDescent="0.25">
      <c r="A53" s="8">
        <f t="shared" si="9"/>
        <v>46</v>
      </c>
      <c r="B53" s="61">
        <f>B52+30</f>
        <v>44949</v>
      </c>
      <c r="C53" s="63"/>
      <c r="D53" s="95">
        <f t="shared" si="12"/>
        <v>-251929.25890554659</v>
      </c>
      <c r="F53" s="97">
        <v>5.4199999999999998E-2</v>
      </c>
      <c r="G53" s="3">
        <f>($E$51+SUM(D51:D52)+D53/2)*F53/12</f>
        <v>4592.0237664427332</v>
      </c>
      <c r="H53" s="26">
        <f>(J52-E53)*F53/12</f>
        <v>0</v>
      </c>
      <c r="I53" s="15">
        <f t="shared" si="2"/>
        <v>0</v>
      </c>
      <c r="J53" s="295">
        <f t="shared" si="10"/>
        <v>0</v>
      </c>
    </row>
    <row r="54" spans="1:11" x14ac:dyDescent="0.25">
      <c r="A54" s="8">
        <f t="shared" si="9"/>
        <v>47</v>
      </c>
      <c r="B54" s="61">
        <f>B53+30</f>
        <v>44979</v>
      </c>
      <c r="D54" s="95">
        <f t="shared" si="12"/>
        <v>-214209.96163941789</v>
      </c>
      <c r="F54" s="97">
        <v>5.4199999999999998E-2</v>
      </c>
      <c r="G54" s="3">
        <f>($E$51+SUM(D51:D53)+D54/2)*F54/12</f>
        <v>3539.3260267120222</v>
      </c>
      <c r="H54" s="26">
        <f t="shared" si="3"/>
        <v>0</v>
      </c>
      <c r="I54" s="15">
        <f t="shared" si="2"/>
        <v>0</v>
      </c>
      <c r="J54" s="295">
        <f t="shared" si="10"/>
        <v>0</v>
      </c>
      <c r="K54" s="98"/>
    </row>
    <row r="55" spans="1:11" x14ac:dyDescent="0.25">
      <c r="A55" s="8">
        <f t="shared" si="9"/>
        <v>48</v>
      </c>
      <c r="B55" s="61">
        <f t="shared" ref="B55:B60" si="13">B54+31</f>
        <v>45010</v>
      </c>
      <c r="C55" s="63"/>
      <c r="D55" s="95">
        <f t="shared" si="12"/>
        <v>-179993.60604647564</v>
      </c>
      <c r="F55" s="97">
        <v>5.4199999999999998E-2</v>
      </c>
      <c r="G55" s="3">
        <f>($E$51+SUM(D51:D54)+D55/2)*F55/12</f>
        <v>2649.0829696880455</v>
      </c>
      <c r="H55" s="26">
        <f>(J54-E55)*F55/12</f>
        <v>0</v>
      </c>
      <c r="I55" s="15">
        <f t="shared" si="2"/>
        <v>0</v>
      </c>
      <c r="J55" s="295">
        <f t="shared" si="10"/>
        <v>0</v>
      </c>
    </row>
    <row r="56" spans="1:11" x14ac:dyDescent="0.25">
      <c r="A56" s="8">
        <f t="shared" si="9"/>
        <v>49</v>
      </c>
      <c r="B56" s="61">
        <f t="shared" si="13"/>
        <v>45041</v>
      </c>
      <c r="C56" s="63"/>
      <c r="D56" s="95">
        <f t="shared" si="12"/>
        <v>-127271.45243982218</v>
      </c>
      <c r="F56" s="97">
        <v>5.4199999999999998E-2</v>
      </c>
      <c r="G56" s="3">
        <f>($E$51+SUM(D51:D55)+D56/2)*F56/12</f>
        <v>1955.1760459398236</v>
      </c>
      <c r="H56" s="26">
        <f t="shared" si="3"/>
        <v>0</v>
      </c>
      <c r="I56" s="15">
        <f t="shared" si="2"/>
        <v>0</v>
      </c>
      <c r="J56" s="295">
        <f t="shared" si="10"/>
        <v>0</v>
      </c>
    </row>
    <row r="57" spans="1:11" x14ac:dyDescent="0.25">
      <c r="A57" s="8">
        <f t="shared" si="9"/>
        <v>50</v>
      </c>
      <c r="B57" s="61">
        <f t="shared" si="13"/>
        <v>45072</v>
      </c>
      <c r="C57" s="63"/>
      <c r="D57" s="95">
        <f t="shared" si="12"/>
        <v>-77448.84631464901</v>
      </c>
      <c r="F57" s="97">
        <v>5.4199999999999998E-2</v>
      </c>
      <c r="G57" s="3">
        <f>($E$51+SUM(D51:D56)+D57/2)*F57/12</f>
        <v>1492.8493712526424</v>
      </c>
      <c r="H57" s="26">
        <f t="shared" si="3"/>
        <v>0</v>
      </c>
      <c r="I57" s="15">
        <f t="shared" si="2"/>
        <v>0</v>
      </c>
      <c r="J57" s="295">
        <f t="shared" si="10"/>
        <v>0</v>
      </c>
    </row>
    <row r="58" spans="1:11" x14ac:dyDescent="0.25">
      <c r="A58" s="8">
        <f t="shared" si="9"/>
        <v>51</v>
      </c>
      <c r="B58" s="61">
        <f t="shared" si="13"/>
        <v>45103</v>
      </c>
      <c r="C58" s="63"/>
      <c r="D58" s="95">
        <f t="shared" si="12"/>
        <v>-53161.996013298041</v>
      </c>
      <c r="F58" s="97">
        <v>5.4199999999999998E-2</v>
      </c>
      <c r="G58" s="3">
        <f>($E$51+SUM(D51:D57)+D58/2)*F58/12</f>
        <v>1197.8865523286947</v>
      </c>
      <c r="H58" s="26">
        <f t="shared" si="3"/>
        <v>0</v>
      </c>
      <c r="I58" s="15">
        <f t="shared" si="2"/>
        <v>0</v>
      </c>
      <c r="J58" s="295">
        <f t="shared" si="10"/>
        <v>0</v>
      </c>
    </row>
    <row r="59" spans="1:11" x14ac:dyDescent="0.25">
      <c r="A59" s="8">
        <f t="shared" si="9"/>
        <v>52</v>
      </c>
      <c r="B59" s="61">
        <f t="shared" si="13"/>
        <v>45134</v>
      </c>
      <c r="C59" s="63"/>
      <c r="D59" s="95">
        <f t="shared" si="12"/>
        <v>-44791.418600548604</v>
      </c>
      <c r="F59" s="97">
        <v>5.4199999999999998E-2</v>
      </c>
      <c r="G59" s="3">
        <f>($E$51+SUM(D51:D58)+D59/2)*F59/12</f>
        <v>976.675090992425</v>
      </c>
      <c r="H59" s="26">
        <f t="shared" si="3"/>
        <v>0</v>
      </c>
      <c r="I59" s="15">
        <f t="shared" si="2"/>
        <v>0</v>
      </c>
      <c r="J59" s="295">
        <f t="shared" si="10"/>
        <v>0</v>
      </c>
    </row>
    <row r="60" spans="1:11" x14ac:dyDescent="0.25">
      <c r="A60" s="8">
        <f t="shared" si="9"/>
        <v>53</v>
      </c>
      <c r="B60" s="61">
        <f t="shared" si="13"/>
        <v>45165</v>
      </c>
      <c r="C60" s="63"/>
      <c r="D60" s="95">
        <f t="shared" si="12"/>
        <v>-44633.219835672091</v>
      </c>
      <c r="F60" s="97">
        <v>5.4199999999999998E-2</v>
      </c>
      <c r="G60" s="3">
        <f>($E$51+SUM(D51:D59)+D60/2)*F60/12</f>
        <v>774.72444919062707</v>
      </c>
      <c r="H60" s="26">
        <f t="shared" si="3"/>
        <v>0</v>
      </c>
      <c r="I60" s="15">
        <f t="shared" si="2"/>
        <v>0</v>
      </c>
      <c r="J60" s="295">
        <f t="shared" si="10"/>
        <v>0</v>
      </c>
    </row>
    <row r="61" spans="1:11" x14ac:dyDescent="0.25">
      <c r="A61" s="8">
        <f t="shared" si="9"/>
        <v>54</v>
      </c>
      <c r="B61" s="61">
        <f>B60+29</f>
        <v>45194</v>
      </c>
      <c r="C61" s="63"/>
      <c r="D61" s="95">
        <f t="shared" si="12"/>
        <v>-47749.679254736897</v>
      </c>
      <c r="F61" s="97">
        <v>5.4199999999999998E-2</v>
      </c>
      <c r="G61" s="3">
        <f>($E$51+SUM(D51:D60)+D61/2)*F61/12</f>
        <v>566.09306874478671</v>
      </c>
      <c r="H61" s="26">
        <f t="shared" si="3"/>
        <v>0</v>
      </c>
      <c r="I61" s="15">
        <f t="shared" si="2"/>
        <v>0</v>
      </c>
      <c r="J61" s="295">
        <f t="shared" si="10"/>
        <v>0</v>
      </c>
    </row>
    <row r="62" spans="1:11" x14ac:dyDescent="0.25">
      <c r="A62" s="8">
        <f t="shared" si="9"/>
        <v>55</v>
      </c>
      <c r="B62" s="61">
        <f>B61+31</f>
        <v>45225</v>
      </c>
      <c r="C62" s="63"/>
      <c r="D62" s="95">
        <f t="shared" si="12"/>
        <v>-101459.41913531465</v>
      </c>
      <c r="F62" s="97">
        <v>5.4199999999999998E-2</v>
      </c>
      <c r="G62" s="3">
        <f>($E$51+SUM(D51:D61)+D62/2)*F62/12</f>
        <v>229.12918821391995</v>
      </c>
      <c r="H62" s="26">
        <f t="shared" si="3"/>
        <v>0</v>
      </c>
      <c r="I62" s="15">
        <f t="shared" si="2"/>
        <v>0</v>
      </c>
      <c r="J62" s="295">
        <f t="shared" si="10"/>
        <v>0</v>
      </c>
    </row>
    <row r="63" spans="1:11" x14ac:dyDescent="0.25">
      <c r="A63" s="8">
        <f t="shared" ref="A63:A65" si="14">+A62+1</f>
        <v>56</v>
      </c>
      <c r="B63" s="61"/>
      <c r="C63" s="63"/>
      <c r="D63" s="88"/>
      <c r="F63" s="97"/>
      <c r="G63" s="88"/>
      <c r="H63" s="30"/>
      <c r="I63" s="50"/>
      <c r="J63" s="29"/>
    </row>
    <row r="64" spans="1:11" ht="13.8" thickBot="1" x14ac:dyDescent="0.3">
      <c r="A64" s="8">
        <f t="shared" si="14"/>
        <v>57</v>
      </c>
      <c r="B64" s="283" t="s">
        <v>148</v>
      </c>
      <c r="C64" s="284"/>
      <c r="D64" s="285">
        <f>SUM(D15:D63)</f>
        <v>-5830047.2207777305</v>
      </c>
      <c r="E64" s="285">
        <f>SUM(E15:E63)</f>
        <v>5830047.2207777295</v>
      </c>
      <c r="F64" s="286"/>
      <c r="G64" s="285">
        <f>SUM(G15:G63)</f>
        <v>112405.62685355134</v>
      </c>
      <c r="H64" s="285">
        <f>SUM(H15:H63)</f>
        <v>464055.96077773016</v>
      </c>
      <c r="I64" s="285">
        <f>SUM(I15:I63)</f>
        <v>-5365991.26</v>
      </c>
      <c r="J64" s="287"/>
    </row>
    <row r="65" spans="1:11" ht="13.8" thickTop="1" x14ac:dyDescent="0.25">
      <c r="A65" s="8">
        <f t="shared" si="14"/>
        <v>58</v>
      </c>
      <c r="B65" s="61"/>
      <c r="C65" s="63"/>
      <c r="D65" s="88"/>
      <c r="F65" s="97"/>
      <c r="G65" s="88"/>
      <c r="H65" s="30"/>
      <c r="I65" s="50"/>
      <c r="J65" s="29"/>
    </row>
    <row r="66" spans="1:11" x14ac:dyDescent="0.25">
      <c r="B66" s="307" t="s">
        <v>344</v>
      </c>
      <c r="C66" s="292"/>
      <c r="D66" s="292"/>
      <c r="G66" s="213"/>
      <c r="I66" s="213">
        <f>SUM(G64:H64)+J14</f>
        <v>5942455.5076312814</v>
      </c>
      <c r="K66" s="251"/>
    </row>
    <row r="67" spans="1:11" x14ac:dyDescent="0.25">
      <c r="B67" s="307" t="s">
        <v>345</v>
      </c>
      <c r="C67" s="6"/>
      <c r="D67" s="58"/>
      <c r="G67" s="213"/>
      <c r="I67" s="213">
        <f>I66/4</f>
        <v>1485613.8769078203</v>
      </c>
      <c r="K67" s="251"/>
    </row>
  </sheetData>
  <printOptions horizontalCentered="1"/>
  <pageMargins left="0.5" right="0.5" top="0.5" bottom="0.5" header="0.25" footer="0.25"/>
  <pageSetup scale="64" orientation="landscape" r:id="rId1"/>
  <headerFooter alignWithMargins="0">
    <oddHeader>&amp;RUG-181053 NWN Compliance Filing
Advice 19-07 / Work Paper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7"/>
  <sheetViews>
    <sheetView topLeftCell="A7" workbookViewId="0">
      <selection activeCell="F60" sqref="F60"/>
    </sheetView>
  </sheetViews>
  <sheetFormatPr defaultColWidth="9.109375" defaultRowHeight="13.2" x14ac:dyDescent="0.25"/>
  <cols>
    <col min="1" max="1" width="5.88671875" style="1" customWidth="1"/>
    <col min="2" max="2" width="18.88671875" style="2" customWidth="1"/>
    <col min="3" max="3" width="14.33203125" style="2" customWidth="1"/>
    <col min="4" max="7" width="16.88671875" style="3" customWidth="1"/>
    <col min="8" max="8" width="18.33203125" style="3" customWidth="1"/>
    <col min="9" max="9" width="18.44140625" style="3" customWidth="1"/>
    <col min="10" max="15" width="17.33203125" style="2" customWidth="1"/>
    <col min="16" max="19" width="15.6640625" style="2" customWidth="1"/>
    <col min="20" max="16384" width="9.109375" style="2"/>
  </cols>
  <sheetData>
    <row r="1" spans="1:15" x14ac:dyDescent="0.25">
      <c r="B1" s="2" t="s">
        <v>0</v>
      </c>
      <c r="C1" s="3" t="s">
        <v>1</v>
      </c>
      <c r="D1" s="58"/>
      <c r="E1" s="58"/>
      <c r="F1" s="58"/>
      <c r="G1" s="58"/>
      <c r="H1" s="58"/>
      <c r="I1" s="58"/>
      <c r="J1" s="6"/>
    </row>
    <row r="2" spans="1:15" x14ac:dyDescent="0.25">
      <c r="B2" s="2" t="s">
        <v>2</v>
      </c>
      <c r="C2" s="3" t="s">
        <v>3</v>
      </c>
      <c r="D2" s="58"/>
      <c r="E2" s="58"/>
      <c r="F2" s="238"/>
      <c r="G2" s="58"/>
      <c r="H2" s="58"/>
      <c r="I2" s="58"/>
      <c r="J2" s="6"/>
    </row>
    <row r="3" spans="1:15" x14ac:dyDescent="0.25">
      <c r="B3" s="2" t="s">
        <v>4</v>
      </c>
      <c r="C3" s="4" t="s">
        <v>5</v>
      </c>
      <c r="D3" s="239"/>
      <c r="E3" s="58"/>
      <c r="F3" s="58"/>
      <c r="G3" s="58"/>
      <c r="H3" s="58"/>
      <c r="I3" s="58"/>
      <c r="J3" s="51"/>
    </row>
    <row r="4" spans="1:15" x14ac:dyDescent="0.25">
      <c r="B4" s="2" t="s">
        <v>6</v>
      </c>
      <c r="C4" s="2" t="s">
        <v>318</v>
      </c>
      <c r="D4" s="240"/>
      <c r="E4" s="58"/>
      <c r="F4" s="58"/>
      <c r="G4" s="58"/>
      <c r="H4" s="58"/>
      <c r="I4" s="58"/>
      <c r="J4" s="6"/>
    </row>
    <row r="5" spans="1:15" x14ac:dyDescent="0.25">
      <c r="D5" s="6"/>
      <c r="E5" s="58"/>
      <c r="F5" s="6"/>
      <c r="G5" s="6"/>
      <c r="H5" s="6"/>
      <c r="I5" s="6"/>
      <c r="J5" s="6"/>
    </row>
    <row r="6" spans="1:15" x14ac:dyDescent="0.25">
      <c r="D6" s="6"/>
      <c r="E6" s="58"/>
      <c r="F6" s="6"/>
      <c r="G6" s="6"/>
      <c r="H6" s="6"/>
      <c r="I6" s="6"/>
      <c r="J6" s="6"/>
    </row>
    <row r="7" spans="1:15" x14ac:dyDescent="0.25">
      <c r="D7" s="58"/>
      <c r="E7" s="58"/>
      <c r="F7" s="6"/>
      <c r="G7" s="6"/>
      <c r="H7" s="6"/>
      <c r="I7" s="6"/>
      <c r="J7" s="6"/>
    </row>
    <row r="8" spans="1:15" x14ac:dyDescent="0.25">
      <c r="A8" s="8">
        <v>1</v>
      </c>
      <c r="B8" s="2" t="s">
        <v>10</v>
      </c>
      <c r="D8" s="58"/>
      <c r="E8" s="58"/>
      <c r="F8" s="6"/>
      <c r="G8" s="6"/>
      <c r="H8" s="6"/>
      <c r="I8" s="6"/>
      <c r="J8" s="6"/>
    </row>
    <row r="9" spans="1:15" x14ac:dyDescent="0.25">
      <c r="A9" s="8">
        <f t="shared" ref="A9:A65" si="0">+A8+1</f>
        <v>2</v>
      </c>
      <c r="G9" s="9"/>
    </row>
    <row r="10" spans="1:15" x14ac:dyDescent="0.25">
      <c r="A10" s="8">
        <f t="shared" si="0"/>
        <v>3</v>
      </c>
      <c r="B10" s="11"/>
      <c r="C10" s="11"/>
      <c r="D10" s="9"/>
      <c r="E10" s="9"/>
      <c r="F10" s="9"/>
      <c r="G10" s="9"/>
      <c r="H10" s="9"/>
      <c r="I10" s="9"/>
    </row>
    <row r="11" spans="1:15" ht="26.4" x14ac:dyDescent="0.25">
      <c r="A11" s="8">
        <f t="shared" si="0"/>
        <v>4</v>
      </c>
      <c r="B11" s="12" t="s">
        <v>14</v>
      </c>
      <c r="C11" s="12" t="s">
        <v>15</v>
      </c>
      <c r="D11" s="293" t="s">
        <v>336</v>
      </c>
      <c r="E11" s="13" t="s">
        <v>17</v>
      </c>
      <c r="F11" s="13" t="s">
        <v>45</v>
      </c>
      <c r="G11" s="13" t="s">
        <v>335</v>
      </c>
      <c r="H11" s="13" t="s">
        <v>19</v>
      </c>
      <c r="I11" s="13" t="s">
        <v>20</v>
      </c>
    </row>
    <row r="12" spans="1:15" x14ac:dyDescent="0.25">
      <c r="A12" s="8">
        <f t="shared" si="0"/>
        <v>5</v>
      </c>
      <c r="B12" s="11" t="s">
        <v>21</v>
      </c>
      <c r="C12" s="11" t="s">
        <v>22</v>
      </c>
      <c r="D12" s="9" t="s">
        <v>23</v>
      </c>
      <c r="E12" s="9" t="s">
        <v>24</v>
      </c>
      <c r="F12" s="9" t="s">
        <v>25</v>
      </c>
      <c r="G12" s="9" t="s">
        <v>26</v>
      </c>
      <c r="H12" s="9" t="s">
        <v>31</v>
      </c>
      <c r="I12" s="9" t="s">
        <v>46</v>
      </c>
      <c r="J12" s="11"/>
    </row>
    <row r="13" spans="1:15" ht="13.8" thickBot="1" x14ac:dyDescent="0.3">
      <c r="A13" s="8">
        <f t="shared" si="0"/>
        <v>6</v>
      </c>
      <c r="G13" s="9"/>
    </row>
    <row r="14" spans="1:15" x14ac:dyDescent="0.25">
      <c r="A14" s="8">
        <f t="shared" si="0"/>
        <v>7</v>
      </c>
      <c r="B14" s="290" t="s">
        <v>37</v>
      </c>
      <c r="C14" s="291">
        <v>43769</v>
      </c>
      <c r="D14" s="95"/>
      <c r="E14" s="2"/>
      <c r="F14" s="97"/>
      <c r="G14" s="26"/>
      <c r="H14" s="15"/>
      <c r="I14" s="288">
        <f>'186310 Energy Eff General'!K114</f>
        <v>5365993.92</v>
      </c>
      <c r="J14" s="279"/>
      <c r="K14" s="255" t="s">
        <v>330</v>
      </c>
      <c r="L14" s="256"/>
      <c r="M14" s="256"/>
      <c r="N14" s="256"/>
      <c r="O14" s="257"/>
    </row>
    <row r="15" spans="1:15" x14ac:dyDescent="0.25">
      <c r="A15" s="8">
        <f t="shared" si="0"/>
        <v>8</v>
      </c>
      <c r="B15" s="280">
        <v>43799</v>
      </c>
      <c r="D15" s="95">
        <f t="shared" ref="D15:D26" si="1">(-$I$14/4)*$O17</f>
        <v>-154864.41008034424</v>
      </c>
      <c r="F15" s="97">
        <v>5.4199999999999998E-2</v>
      </c>
      <c r="G15" s="26">
        <f>(I14+D15/2)*F15/12</f>
        <v>23886.670412568554</v>
      </c>
      <c r="H15" s="15">
        <f>SUM(D15,G15,-E15)</f>
        <v>-130977.73966777569</v>
      </c>
      <c r="I15" s="18">
        <f>+I14+H15</f>
        <v>5235016.1803322239</v>
      </c>
      <c r="J15" s="95"/>
      <c r="K15" s="258"/>
      <c r="L15" s="259"/>
      <c r="M15" s="259"/>
      <c r="N15" s="259"/>
      <c r="O15" s="260"/>
    </row>
    <row r="16" spans="1:15" x14ac:dyDescent="0.25">
      <c r="A16" s="8">
        <f t="shared" si="0"/>
        <v>9</v>
      </c>
      <c r="B16" s="280">
        <f>+B15+31</f>
        <v>43830</v>
      </c>
      <c r="C16" s="99"/>
      <c r="D16" s="95">
        <f t="shared" si="1"/>
        <v>-215103.94930654764</v>
      </c>
      <c r="F16" s="97">
        <f t="shared" ref="F16:F62" si="2">F15</f>
        <v>5.4199999999999998E-2</v>
      </c>
      <c r="G16" s="26">
        <f>(I15+D16/2)*F16/12</f>
        <v>23159.046662316588</v>
      </c>
      <c r="H16" s="15">
        <f>SUM(D16,G16,-E16)</f>
        <v>-191944.90264423104</v>
      </c>
      <c r="I16" s="18">
        <f>+I15+H16</f>
        <v>5043071.2776879929</v>
      </c>
      <c r="K16" s="258"/>
      <c r="L16" s="261" t="s">
        <v>319</v>
      </c>
      <c r="M16" s="261" t="s">
        <v>320</v>
      </c>
      <c r="N16" s="261" t="s">
        <v>148</v>
      </c>
      <c r="O16" s="289" t="s">
        <v>331</v>
      </c>
    </row>
    <row r="17" spans="1:15" x14ac:dyDescent="0.25">
      <c r="A17" s="8">
        <f t="shared" si="0"/>
        <v>10</v>
      </c>
      <c r="B17" s="282">
        <f>+B16+31</f>
        <v>43861</v>
      </c>
      <c r="C17" s="99"/>
      <c r="D17" s="95">
        <f t="shared" si="1"/>
        <v>-214201.29336946853</v>
      </c>
      <c r="F17" s="97">
        <f t="shared" si="2"/>
        <v>5.4199999999999998E-2</v>
      </c>
      <c r="G17" s="26">
        <f>(I16+D17/2)*F17/12</f>
        <v>22294.134016698052</v>
      </c>
      <c r="H17" s="15">
        <f>SUM(D17,G17,-E17)</f>
        <v>-191907.15935277048</v>
      </c>
      <c r="I17" s="18">
        <f t="shared" ref="I17:I39" si="3">+I16+H17</f>
        <v>4851164.1183352228</v>
      </c>
      <c r="K17" s="262">
        <v>43770</v>
      </c>
      <c r="L17" s="244">
        <v>6340868.836698099</v>
      </c>
      <c r="M17" s="244">
        <v>2656408.1410784717</v>
      </c>
      <c r="N17" s="245">
        <f>SUM(L17:M17)</f>
        <v>8997276.9777765702</v>
      </c>
      <c r="O17" s="263">
        <f>N17/$N$29</f>
        <v>0.11544136082833598</v>
      </c>
    </row>
    <row r="18" spans="1:15" x14ac:dyDescent="0.25">
      <c r="A18" s="8">
        <f t="shared" si="0"/>
        <v>11</v>
      </c>
      <c r="B18" s="281">
        <f>+B17+28</f>
        <v>43889</v>
      </c>
      <c r="C18" s="99"/>
      <c r="D18" s="95">
        <f t="shared" si="1"/>
        <v>-182130.69428744048</v>
      </c>
      <c r="F18" s="97">
        <f t="shared" si="2"/>
        <v>5.4199999999999998E-2</v>
      </c>
      <c r="G18" s="26">
        <f>(I17+D18/2)*F18/12</f>
        <v>21499.779449881622</v>
      </c>
      <c r="H18" s="15">
        <f>SUM(D18,G18,-E18)</f>
        <v>-160630.91483755887</v>
      </c>
      <c r="I18" s="18">
        <f t="shared" si="3"/>
        <v>4690533.2034976641</v>
      </c>
      <c r="K18" s="264">
        <v>43800</v>
      </c>
      <c r="L18" s="246">
        <v>8858949.8077822905</v>
      </c>
      <c r="M18" s="246">
        <v>3638110.1036625183</v>
      </c>
      <c r="N18" s="247">
        <f t="shared" ref="N18:N28" si="4">SUM(L18:M18)</f>
        <v>12497059.911444809</v>
      </c>
      <c r="O18" s="263">
        <f t="shared" ref="O18:O28" si="5">N18/$N$29</f>
        <v>0.16034602536899456</v>
      </c>
    </row>
    <row r="19" spans="1:15" x14ac:dyDescent="0.25">
      <c r="A19" s="8">
        <f t="shared" si="0"/>
        <v>12</v>
      </c>
      <c r="B19" s="281">
        <f>+B18+31</f>
        <v>43920</v>
      </c>
      <c r="C19" s="99"/>
      <c r="D19" s="95">
        <f t="shared" si="1"/>
        <v>-153038.44968576942</v>
      </c>
      <c r="F19" s="97">
        <f t="shared" si="2"/>
        <v>5.4199999999999998E-2</v>
      </c>
      <c r="G19" s="26">
        <f t="shared" ref="G19:G62" si="6">(I18+D19/2)*F19/12</f>
        <v>20839.963136924085</v>
      </c>
      <c r="H19" s="15">
        <f>SUM(D19,G19,-E19)</f>
        <v>-132198.48654884534</v>
      </c>
      <c r="I19" s="18">
        <f t="shared" si="3"/>
        <v>4558334.7169488184</v>
      </c>
      <c r="K19" s="264">
        <v>43831</v>
      </c>
      <c r="L19" s="246">
        <v>8817203.5496987905</v>
      </c>
      <c r="M19" s="246">
        <v>3627414.0641430919</v>
      </c>
      <c r="N19" s="247">
        <f t="shared" si="4"/>
        <v>12444617.613841882</v>
      </c>
      <c r="O19" s="263">
        <f t="shared" si="5"/>
        <v>0.15967315398633067</v>
      </c>
    </row>
    <row r="20" spans="1:15" x14ac:dyDescent="0.25">
      <c r="A20" s="8">
        <f t="shared" si="0"/>
        <v>13</v>
      </c>
      <c r="B20" s="280">
        <f>+B19+30</f>
        <v>43950</v>
      </c>
      <c r="C20" s="99"/>
      <c r="D20" s="95">
        <f t="shared" si="1"/>
        <v>-108211.76484245398</v>
      </c>
      <c r="F20" s="97">
        <f t="shared" si="2"/>
        <v>5.4199999999999998E-2</v>
      </c>
      <c r="G20" s="26">
        <f t="shared" si="6"/>
        <v>20344.10023594962</v>
      </c>
      <c r="H20" s="15">
        <f t="shared" ref="H20:H62" si="7">SUM(D20,G20,-E20)</f>
        <v>-87867.664606504361</v>
      </c>
      <c r="I20" s="18">
        <f t="shared" si="3"/>
        <v>4470467.0523423143</v>
      </c>
      <c r="K20" s="264">
        <v>43862</v>
      </c>
      <c r="L20" s="246">
        <v>7482441.877934007</v>
      </c>
      <c r="M20" s="246">
        <v>3098945.4260223866</v>
      </c>
      <c r="N20" s="247">
        <f t="shared" si="4"/>
        <v>10581387.303956393</v>
      </c>
      <c r="O20" s="263">
        <f t="shared" si="5"/>
        <v>0.13576660503367882</v>
      </c>
    </row>
    <row r="21" spans="1:15" x14ac:dyDescent="0.25">
      <c r="A21" s="8">
        <f t="shared" si="0"/>
        <v>14</v>
      </c>
      <c r="B21" s="280">
        <f>+B20+31</f>
        <v>43981</v>
      </c>
      <c r="C21" s="99"/>
      <c r="D21" s="95">
        <f t="shared" si="1"/>
        <v>-65850.402301984344</v>
      </c>
      <c r="F21" s="97">
        <f t="shared" si="2"/>
        <v>5.4199999999999998E-2</v>
      </c>
      <c r="G21" s="26">
        <f t="shared" si="6"/>
        <v>20042.897361214138</v>
      </c>
      <c r="H21" s="15">
        <f t="shared" si="7"/>
        <v>-45807.504940770203</v>
      </c>
      <c r="I21" s="18">
        <f t="shared" si="3"/>
        <v>4424659.5474015437</v>
      </c>
      <c r="K21" s="264">
        <v>43891</v>
      </c>
      <c r="L21" s="246">
        <v>6256824.6682192646</v>
      </c>
      <c r="M21" s="246">
        <v>2634368.0813481482</v>
      </c>
      <c r="N21" s="247">
        <f t="shared" si="4"/>
        <v>8891192.7495674118</v>
      </c>
      <c r="O21" s="263">
        <f t="shared" si="5"/>
        <v>0.11408022593195143</v>
      </c>
    </row>
    <row r="22" spans="1:15" x14ac:dyDescent="0.25">
      <c r="A22" s="8">
        <f t="shared" si="0"/>
        <v>15</v>
      </c>
      <c r="B22" s="280">
        <f>+B21+30</f>
        <v>44011</v>
      </c>
      <c r="C22" s="99"/>
      <c r="D22" s="95">
        <f t="shared" si="1"/>
        <v>-45200.658127686256</v>
      </c>
      <c r="F22" s="97">
        <f t="shared" si="2"/>
        <v>5.4199999999999998E-2</v>
      </c>
      <c r="G22" s="26">
        <f t="shared" si="6"/>
        <v>19882.634136158613</v>
      </c>
      <c r="H22" s="15">
        <f t="shared" si="7"/>
        <v>-25318.023991527643</v>
      </c>
      <c r="I22" s="18">
        <f t="shared" si="3"/>
        <v>4399341.5234100157</v>
      </c>
      <c r="K22" s="264">
        <v>43922</v>
      </c>
      <c r="L22" s="246">
        <v>4377274.2136175353</v>
      </c>
      <c r="M22" s="246">
        <v>1909588.0811890643</v>
      </c>
      <c r="N22" s="247">
        <f t="shared" si="4"/>
        <v>6286862.2948065996</v>
      </c>
      <c r="O22" s="263">
        <f t="shared" si="5"/>
        <v>8.0664843423791266E-2</v>
      </c>
    </row>
    <row r="23" spans="1:15" x14ac:dyDescent="0.25">
      <c r="A23" s="8">
        <f t="shared" si="0"/>
        <v>16</v>
      </c>
      <c r="B23" s="280">
        <f>+B22+31</f>
        <v>44042</v>
      </c>
      <c r="C23" s="99"/>
      <c r="D23" s="95">
        <f t="shared" si="1"/>
        <v>-38083.626482178115</v>
      </c>
      <c r="F23" s="97">
        <f t="shared" si="2"/>
        <v>5.4199999999999998E-2</v>
      </c>
      <c r="G23" s="26">
        <f t="shared" si="6"/>
        <v>19784.353690929653</v>
      </c>
      <c r="H23" s="15">
        <f t="shared" si="7"/>
        <v>-18299.272791248462</v>
      </c>
      <c r="I23" s="18">
        <f t="shared" si="3"/>
        <v>4381042.250618767</v>
      </c>
      <c r="K23" s="264">
        <v>43952</v>
      </c>
      <c r="L23" s="246">
        <v>2558386.8581189271</v>
      </c>
      <c r="M23" s="246">
        <v>1267374.7116412977</v>
      </c>
      <c r="N23" s="247">
        <f t="shared" si="4"/>
        <v>3825761.5697602248</v>
      </c>
      <c r="O23" s="263">
        <f t="shared" si="5"/>
        <v>4.908719859450332E-2</v>
      </c>
    </row>
    <row r="24" spans="1:15" x14ac:dyDescent="0.25">
      <c r="A24" s="8">
        <f t="shared" si="0"/>
        <v>17</v>
      </c>
      <c r="B24" s="280">
        <f>+B23+31</f>
        <v>44073</v>
      </c>
      <c r="C24" s="99"/>
      <c r="D24" s="95">
        <f t="shared" si="1"/>
        <v>-37949.118961323991</v>
      </c>
      <c r="F24" s="97">
        <f t="shared" si="2"/>
        <v>5.4199999999999998E-2</v>
      </c>
      <c r="G24" s="26">
        <f t="shared" si="6"/>
        <v>19702.005738307107</v>
      </c>
      <c r="H24" s="15">
        <f t="shared" si="7"/>
        <v>-18247.113223016884</v>
      </c>
      <c r="I24" s="18">
        <f t="shared" si="3"/>
        <v>4362795.1373957498</v>
      </c>
      <c r="K24" s="264">
        <v>43983</v>
      </c>
      <c r="L24" s="246">
        <v>1663481.073282606</v>
      </c>
      <c r="M24" s="246">
        <v>962576.39558059082</v>
      </c>
      <c r="N24" s="247">
        <f t="shared" si="4"/>
        <v>2626057.4688631967</v>
      </c>
      <c r="O24" s="263">
        <f t="shared" si="5"/>
        <v>3.3694155305853388E-2</v>
      </c>
    </row>
    <row r="25" spans="1:15" x14ac:dyDescent="0.25">
      <c r="A25" s="8">
        <f t="shared" si="0"/>
        <v>18</v>
      </c>
      <c r="B25" s="280">
        <f>+B24+30</f>
        <v>44103</v>
      </c>
      <c r="C25" s="99"/>
      <c r="D25" s="95">
        <f t="shared" si="1"/>
        <v>-40598.869296783923</v>
      </c>
      <c r="F25" s="97">
        <f t="shared" si="2"/>
        <v>5.4199999999999998E-2</v>
      </c>
      <c r="G25" s="26">
        <f t="shared" si="6"/>
        <v>19613.605590742234</v>
      </c>
      <c r="H25" s="15">
        <f t="shared" si="7"/>
        <v>-20985.263706041689</v>
      </c>
      <c r="I25" s="18">
        <f t="shared" si="3"/>
        <v>4341809.8736897083</v>
      </c>
      <c r="K25" s="264">
        <v>44013</v>
      </c>
      <c r="L25" s="246">
        <v>1382425.2752797708</v>
      </c>
      <c r="M25" s="246">
        <v>830148.52137612761</v>
      </c>
      <c r="N25" s="247">
        <f t="shared" si="4"/>
        <v>2212573.7966558984</v>
      </c>
      <c r="O25" s="263">
        <f t="shared" si="5"/>
        <v>2.8388870393783908E-2</v>
      </c>
    </row>
    <row r="26" spans="1:15" x14ac:dyDescent="0.25">
      <c r="A26" s="8">
        <f t="shared" si="0"/>
        <v>19</v>
      </c>
      <c r="B26" s="280">
        <f>+B25+31</f>
        <v>44134</v>
      </c>
      <c r="C26" s="99"/>
      <c r="D26" s="95">
        <f t="shared" si="1"/>
        <v>-86265.243258018891</v>
      </c>
      <c r="F26" s="97">
        <f t="shared" si="2"/>
        <v>5.4199999999999998E-2</v>
      </c>
      <c r="G26" s="26">
        <f t="shared" si="6"/>
        <v>19415.692255140824</v>
      </c>
      <c r="H26" s="15">
        <f t="shared" si="7"/>
        <v>-66849.55100287807</v>
      </c>
      <c r="I26" s="18">
        <f t="shared" si="3"/>
        <v>4274960.3226868305</v>
      </c>
      <c r="J26" s="279"/>
      <c r="K26" s="264">
        <v>44044</v>
      </c>
      <c r="L26" s="246">
        <v>1377436.4659624277</v>
      </c>
      <c r="M26" s="246">
        <v>827322.74359698582</v>
      </c>
      <c r="N26" s="247">
        <f t="shared" si="4"/>
        <v>2204759.2095594136</v>
      </c>
      <c r="O26" s="263">
        <f t="shared" si="5"/>
        <v>2.8288603771898416E-2</v>
      </c>
    </row>
    <row r="27" spans="1:15" collapsed="1" x14ac:dyDescent="0.25">
      <c r="A27" s="8">
        <f t="shared" si="0"/>
        <v>20</v>
      </c>
      <c r="B27" s="104">
        <f>+B26+30</f>
        <v>44164</v>
      </c>
      <c r="D27" s="95">
        <f>(-$I$26/3)*$O17</f>
        <v>-164502.41237937001</v>
      </c>
      <c r="F27" s="97">
        <f t="shared" si="2"/>
        <v>5.4199999999999998E-2</v>
      </c>
      <c r="G27" s="26">
        <f t="shared" si="6"/>
        <v>18937.069509512108</v>
      </c>
      <c r="H27" s="15">
        <f t="shared" si="7"/>
        <v>-145565.34286985791</v>
      </c>
      <c r="I27" s="18">
        <f>+I26+H27</f>
        <v>4129394.9798169727</v>
      </c>
      <c r="K27" s="264">
        <v>44075</v>
      </c>
      <c r="L27" s="246">
        <v>1515224.7378037728</v>
      </c>
      <c r="M27" s="246">
        <v>843479.05900923139</v>
      </c>
      <c r="N27" s="247">
        <f t="shared" si="4"/>
        <v>2358703.7968130042</v>
      </c>
      <c r="O27" s="263">
        <f t="shared" si="5"/>
        <v>3.0263820572337827E-2</v>
      </c>
    </row>
    <row r="28" spans="1:15" x14ac:dyDescent="0.25">
      <c r="A28" s="8">
        <f t="shared" si="0"/>
        <v>21</v>
      </c>
      <c r="B28" s="104">
        <f>+B27+30</f>
        <v>44194</v>
      </c>
      <c r="D28" s="95">
        <f t="shared" ref="D28:D38" si="8">(-$I$26/3)*$O18</f>
        <v>-228490.96545099589</v>
      </c>
      <c r="F28" s="97">
        <f t="shared" si="2"/>
        <v>5.4199999999999998E-2</v>
      </c>
      <c r="G28" s="26">
        <f t="shared" si="6"/>
        <v>18135.091895196496</v>
      </c>
      <c r="H28" s="15">
        <f t="shared" si="7"/>
        <v>-210355.87355579939</v>
      </c>
      <c r="I28" s="29">
        <f t="shared" si="3"/>
        <v>3919039.1062611733</v>
      </c>
      <c r="J28" s="98"/>
      <c r="K28" s="265">
        <v>44105</v>
      </c>
      <c r="L28" s="248">
        <v>3448875.0073580947</v>
      </c>
      <c r="M28" s="248">
        <v>1562943.3100009304</v>
      </c>
      <c r="N28" s="249">
        <f t="shared" si="4"/>
        <v>5011818.3173590247</v>
      </c>
      <c r="O28" s="263">
        <f t="shared" si="5"/>
        <v>6.4305136788540301E-2</v>
      </c>
    </row>
    <row r="29" spans="1:15" ht="13.8" thickBot="1" x14ac:dyDescent="0.3">
      <c r="A29" s="8">
        <f t="shared" si="0"/>
        <v>22</v>
      </c>
      <c r="B29" s="104">
        <f>+B28+31</f>
        <v>44225</v>
      </c>
      <c r="C29" s="99"/>
      <c r="D29" s="95">
        <f>(-$I$26/3)*$O19</f>
        <v>-227532.1326299427</v>
      </c>
      <c r="F29" s="97">
        <f t="shared" si="2"/>
        <v>5.4199999999999998E-2</v>
      </c>
      <c r="G29" s="26">
        <f t="shared" si="6"/>
        <v>17187.149897090345</v>
      </c>
      <c r="H29" s="15">
        <f t="shared" si="7"/>
        <v>-210344.98273285237</v>
      </c>
      <c r="I29" s="18">
        <f t="shared" si="3"/>
        <v>3708694.1235283208</v>
      </c>
      <c r="K29" s="266" t="s">
        <v>148</v>
      </c>
      <c r="L29" s="267">
        <v>54079392.371755585</v>
      </c>
      <c r="M29" s="267">
        <v>23858678.638648845</v>
      </c>
      <c r="N29" s="267">
        <f>SUM(N17:N28)</f>
        <v>77938071.010404438</v>
      </c>
      <c r="O29" s="268"/>
    </row>
    <row r="30" spans="1:15" x14ac:dyDescent="0.25">
      <c r="A30" s="8">
        <f t="shared" si="0"/>
        <v>23</v>
      </c>
      <c r="B30" s="104">
        <f>+B29+30</f>
        <v>44255</v>
      </c>
      <c r="C30" s="99"/>
      <c r="D30" s="95">
        <f t="shared" si="8"/>
        <v>-193465.61655495703</v>
      </c>
      <c r="F30" s="97">
        <f t="shared" si="2"/>
        <v>5.4199999999999998E-2</v>
      </c>
      <c r="G30" s="26">
        <f t="shared" si="6"/>
        <v>16314.025273882971</v>
      </c>
      <c r="H30" s="15">
        <f t="shared" si="7"/>
        <v>-177151.59128107407</v>
      </c>
      <c r="I30" s="18">
        <f t="shared" si="3"/>
        <v>3531542.5322472467</v>
      </c>
    </row>
    <row r="31" spans="1:15" x14ac:dyDescent="0.25">
      <c r="A31" s="8">
        <f t="shared" si="0"/>
        <v>24</v>
      </c>
      <c r="B31" s="104">
        <f>+B30+28</f>
        <v>44283</v>
      </c>
      <c r="C31" s="99"/>
      <c r="D31" s="95">
        <f t="shared" si="8"/>
        <v>-162562.81315408053</v>
      </c>
      <c r="F31" s="97">
        <f t="shared" si="2"/>
        <v>5.4199999999999998E-2</v>
      </c>
      <c r="G31" s="26">
        <f t="shared" si="6"/>
        <v>15583.67941761043</v>
      </c>
      <c r="H31" s="15">
        <f t="shared" si="7"/>
        <v>-146979.1337364701</v>
      </c>
      <c r="I31" s="18">
        <f t="shared" si="3"/>
        <v>3384563.3985107765</v>
      </c>
    </row>
    <row r="32" spans="1:15" x14ac:dyDescent="0.25">
      <c r="A32" s="8">
        <f t="shared" si="0"/>
        <v>25</v>
      </c>
      <c r="B32" s="104">
        <f>+B31+31</f>
        <v>44314</v>
      </c>
      <c r="C32" s="99"/>
      <c r="D32" s="95">
        <f>(-$I$26/3)*$O22</f>
        <v>-114946.33502415112</v>
      </c>
      <c r="F32" s="97">
        <f t="shared" si="2"/>
        <v>5.4199999999999998E-2</v>
      </c>
      <c r="G32" s="26">
        <f t="shared" si="6"/>
        <v>15027.357543344131</v>
      </c>
      <c r="H32" s="15">
        <f t="shared" si="7"/>
        <v>-99918.977480806992</v>
      </c>
      <c r="I32" s="18">
        <f t="shared" si="3"/>
        <v>3284644.4210299696</v>
      </c>
    </row>
    <row r="33" spans="1:12" x14ac:dyDescent="0.25">
      <c r="A33" s="8">
        <f t="shared" si="0"/>
        <v>26</v>
      </c>
      <c r="B33" s="104">
        <f>+B32+30</f>
        <v>44344</v>
      </c>
      <c r="C33" s="99"/>
      <c r="D33" s="95">
        <f t="shared" si="8"/>
        <v>-69948.608781116811</v>
      </c>
      <c r="F33" s="97">
        <f t="shared" si="2"/>
        <v>5.4199999999999998E-2</v>
      </c>
      <c r="G33" s="26">
        <f t="shared" si="6"/>
        <v>14677.676693488007</v>
      </c>
      <c r="H33" s="15">
        <f t="shared" si="7"/>
        <v>-55270.932087628804</v>
      </c>
      <c r="I33" s="18">
        <f t="shared" si="3"/>
        <v>3229373.4889423409</v>
      </c>
    </row>
    <row r="34" spans="1:12" x14ac:dyDescent="0.25">
      <c r="A34" s="8">
        <f t="shared" si="0"/>
        <v>27</v>
      </c>
      <c r="B34" s="104">
        <f>+B33+31</f>
        <v>44375</v>
      </c>
      <c r="C34" s="99"/>
      <c r="D34" s="95">
        <f t="shared" si="8"/>
        <v>-48013.725679657058</v>
      </c>
      <c r="F34" s="97">
        <f t="shared" si="2"/>
        <v>5.4199999999999998E-2</v>
      </c>
      <c r="G34" s="26">
        <f t="shared" si="6"/>
        <v>14477.572594563013</v>
      </c>
      <c r="H34" s="15">
        <f t="shared" si="7"/>
        <v>-33536.153085094047</v>
      </c>
      <c r="I34" s="18">
        <f t="shared" si="3"/>
        <v>3195837.335857247</v>
      </c>
    </row>
    <row r="35" spans="1:12" x14ac:dyDescent="0.25">
      <c r="A35" s="8">
        <f t="shared" si="0"/>
        <v>28</v>
      </c>
      <c r="B35" s="104">
        <f>+B34+30</f>
        <v>44405</v>
      </c>
      <c r="C35" s="99"/>
      <c r="D35" s="95">
        <f t="shared" si="8"/>
        <v>-40453.764846441692</v>
      </c>
      <c r="F35" s="97">
        <f t="shared" si="2"/>
        <v>5.4199999999999998E-2</v>
      </c>
      <c r="G35" s="26">
        <f t="shared" si="6"/>
        <v>14343.173881343684</v>
      </c>
      <c r="H35" s="15">
        <f t="shared" si="7"/>
        <v>-26110.59096509801</v>
      </c>
      <c r="I35" s="18">
        <f t="shared" si="3"/>
        <v>3169726.7448921488</v>
      </c>
    </row>
    <row r="36" spans="1:12" x14ac:dyDescent="0.25">
      <c r="A36" s="8">
        <f t="shared" si="0"/>
        <v>29</v>
      </c>
      <c r="B36" s="104">
        <f>+B35+31</f>
        <v>44436</v>
      </c>
      <c r="C36" s="99"/>
      <c r="D36" s="95">
        <f t="shared" si="8"/>
        <v>-40310.886236358245</v>
      </c>
      <c r="F36" s="97">
        <f t="shared" si="2"/>
        <v>5.4199999999999998E-2</v>
      </c>
      <c r="G36" s="26">
        <f t="shared" si="6"/>
        <v>14225.563713012429</v>
      </c>
      <c r="H36" s="15">
        <f t="shared" si="7"/>
        <v>-26085.322523345814</v>
      </c>
      <c r="I36" s="18">
        <f t="shared" si="3"/>
        <v>3143641.4223688031</v>
      </c>
      <c r="J36" s="39"/>
      <c r="K36" s="39"/>
    </row>
    <row r="37" spans="1:12" x14ac:dyDescent="0.25">
      <c r="A37" s="8">
        <f t="shared" si="0"/>
        <v>30</v>
      </c>
      <c r="B37" s="104">
        <f>+B36+31</f>
        <v>44467</v>
      </c>
      <c r="C37" s="100"/>
      <c r="D37" s="95">
        <f t="shared" si="8"/>
        <v>-43125.544053219215</v>
      </c>
      <c r="F37" s="97">
        <f t="shared" si="2"/>
        <v>5.4199999999999998E-2</v>
      </c>
      <c r="G37" s="26">
        <f t="shared" si="6"/>
        <v>14101.388570712239</v>
      </c>
      <c r="H37" s="15">
        <f t="shared" si="7"/>
        <v>-29024.155482506976</v>
      </c>
      <c r="I37" s="29">
        <f t="shared" si="3"/>
        <v>3114617.2668862962</v>
      </c>
    </row>
    <row r="38" spans="1:12" x14ac:dyDescent="0.25">
      <c r="A38" s="8">
        <f t="shared" si="0"/>
        <v>31</v>
      </c>
      <c r="B38" s="104">
        <f>+B37+30</f>
        <v>44497</v>
      </c>
      <c r="C38" s="83"/>
      <c r="D38" s="95">
        <f t="shared" si="8"/>
        <v>-91633.969438653003</v>
      </c>
      <c r="F38" s="97">
        <f t="shared" si="2"/>
        <v>5.4199999999999998E-2</v>
      </c>
      <c r="G38" s="26">
        <f t="shared" si="6"/>
        <v>13860.747941120811</v>
      </c>
      <c r="H38" s="15">
        <f t="shared" si="7"/>
        <v>-77773.221497532184</v>
      </c>
      <c r="I38" s="29">
        <f t="shared" si="3"/>
        <v>3036844.0453887642</v>
      </c>
    </row>
    <row r="39" spans="1:12" x14ac:dyDescent="0.25">
      <c r="A39" s="8">
        <f t="shared" si="0"/>
        <v>32</v>
      </c>
      <c r="B39" s="277">
        <f>+B38+31</f>
        <v>44528</v>
      </c>
      <c r="C39" s="83"/>
      <c r="D39" s="95">
        <f t="shared" ref="D39:D50" si="9">(-$I$38/2)*$O17</f>
        <v>-175288.70461155393</v>
      </c>
      <c r="F39" s="97">
        <f t="shared" si="2"/>
        <v>5.4199999999999998E-2</v>
      </c>
      <c r="G39" s="26">
        <f t="shared" si="6"/>
        <v>13320.551947091493</v>
      </c>
      <c r="H39" s="15">
        <f t="shared" si="7"/>
        <v>-161968.15266446242</v>
      </c>
      <c r="I39" s="29">
        <f t="shared" si="3"/>
        <v>2874875.8927243017</v>
      </c>
    </row>
    <row r="40" spans="1:12" x14ac:dyDescent="0.25">
      <c r="A40" s="8">
        <f t="shared" si="0"/>
        <v>33</v>
      </c>
      <c r="B40" s="278">
        <f>+B39+30</f>
        <v>44558</v>
      </c>
      <c r="D40" s="95">
        <f t="shared" si="9"/>
        <v>-243472.93617179344</v>
      </c>
      <c r="F40" s="97">
        <f t="shared" si="2"/>
        <v>5.4199999999999998E-2</v>
      </c>
      <c r="G40" s="26">
        <f t="shared" si="6"/>
        <v>12435.013067950129</v>
      </c>
      <c r="H40" s="15">
        <f t="shared" si="7"/>
        <v>-231037.92310384332</v>
      </c>
      <c r="I40" s="102">
        <f>+I39+H40-2.66</f>
        <v>2643835.3096204582</v>
      </c>
      <c r="J40" s="103"/>
      <c r="K40" s="103"/>
      <c r="L40" s="103"/>
    </row>
    <row r="41" spans="1:12" x14ac:dyDescent="0.25">
      <c r="A41" s="8">
        <f t="shared" si="0"/>
        <v>34</v>
      </c>
      <c r="B41" s="278">
        <f>+B40+30</f>
        <v>44588</v>
      </c>
      <c r="D41" s="95">
        <f t="shared" si="9"/>
        <v>-242451.23344591574</v>
      </c>
      <c r="F41" s="97">
        <f t="shared" si="2"/>
        <v>5.4199999999999998E-2</v>
      </c>
      <c r="G41" s="26">
        <f t="shared" si="6"/>
        <v>11393.787112920378</v>
      </c>
      <c r="H41" s="15">
        <f t="shared" si="7"/>
        <v>-231057.44633299537</v>
      </c>
      <c r="I41" s="102">
        <f t="shared" ref="I41:I62" si="10">+I40+H41</f>
        <v>2412777.8632874629</v>
      </c>
      <c r="J41" s="98"/>
    </row>
    <row r="42" spans="1:12" x14ac:dyDescent="0.25">
      <c r="A42" s="8">
        <f t="shared" si="0"/>
        <v>35</v>
      </c>
      <c r="B42" s="278">
        <f t="shared" ref="B42:B50" si="11">+B41+30</f>
        <v>44618</v>
      </c>
      <c r="C42" s="83"/>
      <c r="D42" s="95">
        <f t="shared" si="9"/>
        <v>-206151.00302958788</v>
      </c>
      <c r="F42" s="97">
        <f t="shared" si="2"/>
        <v>5.4199999999999998E-2</v>
      </c>
      <c r="G42" s="26">
        <f t="shared" si="6"/>
        <v>10432.155667339888</v>
      </c>
      <c r="H42" s="15">
        <f t="shared" si="7"/>
        <v>-195718.84736224799</v>
      </c>
      <c r="I42" s="102">
        <f t="shared" si="10"/>
        <v>2217059.0159252146</v>
      </c>
    </row>
    <row r="43" spans="1:12" x14ac:dyDescent="0.25">
      <c r="A43" s="8">
        <f t="shared" si="0"/>
        <v>36</v>
      </c>
      <c r="B43" s="278">
        <f t="shared" si="11"/>
        <v>44648</v>
      </c>
      <c r="C43" s="83"/>
      <c r="D43" s="95">
        <f t="shared" si="9"/>
        <v>-173221.92740902578</v>
      </c>
      <c r="F43" s="97">
        <f t="shared" si="2"/>
        <v>5.4199999999999998E-2</v>
      </c>
      <c r="G43" s="26">
        <f t="shared" si="6"/>
        <v>9622.5237025301685</v>
      </c>
      <c r="H43" s="15">
        <f t="shared" si="7"/>
        <v>-163599.40370649562</v>
      </c>
      <c r="I43" s="29">
        <f t="shared" si="10"/>
        <v>2053459.612218719</v>
      </c>
    </row>
    <row r="44" spans="1:12" x14ac:dyDescent="0.25">
      <c r="A44" s="8">
        <f t="shared" si="0"/>
        <v>37</v>
      </c>
      <c r="B44" s="278">
        <f t="shared" si="11"/>
        <v>44678</v>
      </c>
      <c r="C44" s="83"/>
      <c r="D44" s="95">
        <f t="shared" si="9"/>
        <v>-122483.27471187877</v>
      </c>
      <c r="F44" s="97">
        <f t="shared" si="2"/>
        <v>5.4199999999999998E-2</v>
      </c>
      <c r="G44" s="26">
        <f t="shared" si="6"/>
        <v>8998.1845197968869</v>
      </c>
      <c r="H44" s="15">
        <f t="shared" si="7"/>
        <v>-113485.09019208187</v>
      </c>
      <c r="I44" s="29">
        <f t="shared" si="10"/>
        <v>1939974.5220266371</v>
      </c>
    </row>
    <row r="45" spans="1:12" x14ac:dyDescent="0.25">
      <c r="A45" s="8">
        <f t="shared" si="0"/>
        <v>38</v>
      </c>
      <c r="B45" s="278">
        <f t="shared" si="11"/>
        <v>44708</v>
      </c>
      <c r="C45" s="83"/>
      <c r="D45" s="95">
        <f t="shared" si="9"/>
        <v>-74535.083378266558</v>
      </c>
      <c r="F45" s="97">
        <f t="shared" si="2"/>
        <v>5.4199999999999998E-2</v>
      </c>
      <c r="G45" s="26">
        <f t="shared" si="6"/>
        <v>8593.8931945243912</v>
      </c>
      <c r="H45" s="15">
        <f t="shared" si="7"/>
        <v>-65941.190183742161</v>
      </c>
      <c r="I45" s="29">
        <f t="shared" si="10"/>
        <v>1874033.3318428949</v>
      </c>
    </row>
    <row r="46" spans="1:12" x14ac:dyDescent="0.25">
      <c r="A46" s="8">
        <f t="shared" si="0"/>
        <v>39</v>
      </c>
      <c r="B46" s="278">
        <f t="shared" si="11"/>
        <v>44738</v>
      </c>
      <c r="C46" s="83"/>
      <c r="D46" s="95">
        <f t="shared" si="9"/>
        <v>-51161.947452492546</v>
      </c>
      <c r="F46" s="97">
        <f t="shared" si="2"/>
        <v>5.4199999999999998E-2</v>
      </c>
      <c r="G46" s="26">
        <f t="shared" si="6"/>
        <v>8348.8431508268623</v>
      </c>
      <c r="H46" s="15">
        <f t="shared" si="7"/>
        <v>-42813.104301665684</v>
      </c>
      <c r="I46" s="29">
        <f t="shared" si="10"/>
        <v>1831220.2275412292</v>
      </c>
    </row>
    <row r="47" spans="1:12" x14ac:dyDescent="0.25">
      <c r="A47" s="8">
        <f t="shared" si="0"/>
        <v>40</v>
      </c>
      <c r="B47" s="278">
        <f t="shared" si="11"/>
        <v>44768</v>
      </c>
      <c r="C47" s="83"/>
      <c r="D47" s="95">
        <f t="shared" si="9"/>
        <v>-43106.286005338021</v>
      </c>
      <c r="F47" s="97">
        <f t="shared" si="2"/>
        <v>5.4199999999999998E-2</v>
      </c>
      <c r="G47" s="26">
        <f t="shared" si="6"/>
        <v>8173.6629984991632</v>
      </c>
      <c r="H47" s="15">
        <f t="shared" si="7"/>
        <v>-34932.623006838854</v>
      </c>
      <c r="I47" s="29">
        <f t="shared" si="10"/>
        <v>1796287.6045343904</v>
      </c>
    </row>
    <row r="48" spans="1:12" x14ac:dyDescent="0.25">
      <c r="A48" s="8">
        <f t="shared" si="0"/>
        <v>41</v>
      </c>
      <c r="B48" s="278">
        <f t="shared" si="11"/>
        <v>44798</v>
      </c>
      <c r="C48" s="83"/>
      <c r="D48" s="95">
        <f t="shared" si="9"/>
        <v>-42954.038958525918</v>
      </c>
      <c r="F48" s="97">
        <f t="shared" si="2"/>
        <v>5.4199999999999998E-2</v>
      </c>
      <c r="G48" s="26">
        <f t="shared" si="6"/>
        <v>8016.227809165659</v>
      </c>
      <c r="H48" s="15">
        <f t="shared" si="7"/>
        <v>-34937.811149360263</v>
      </c>
      <c r="I48" s="29">
        <f t="shared" si="10"/>
        <v>1761349.7933850302</v>
      </c>
    </row>
    <row r="49" spans="1:10" x14ac:dyDescent="0.25">
      <c r="A49" s="8">
        <f t="shared" si="0"/>
        <v>42</v>
      </c>
      <c r="B49" s="278">
        <f t="shared" si="11"/>
        <v>44828</v>
      </c>
      <c r="C49" s="83"/>
      <c r="D49" s="95">
        <f t="shared" si="9"/>
        <v>-45953.251647909055</v>
      </c>
      <c r="F49" s="97">
        <f t="shared" si="2"/>
        <v>5.4199999999999998E-2</v>
      </c>
      <c r="G49" s="26">
        <f t="shared" si="6"/>
        <v>7851.652140150858</v>
      </c>
      <c r="H49" s="15">
        <f t="shared" si="7"/>
        <v>-38101.599507758197</v>
      </c>
      <c r="I49" s="29">
        <f>+I48+H49</f>
        <v>1723248.1938772721</v>
      </c>
    </row>
    <row r="50" spans="1:10" x14ac:dyDescent="0.25">
      <c r="A50" s="8">
        <f t="shared" si="0"/>
        <v>43</v>
      </c>
      <c r="B50" s="278">
        <f t="shared" si="11"/>
        <v>44858</v>
      </c>
      <c r="C50" s="83"/>
      <c r="D50" s="95">
        <f t="shared" si="9"/>
        <v>-97642.335872094292</v>
      </c>
      <c r="F50" s="97">
        <f t="shared" si="2"/>
        <v>5.4199999999999998E-2</v>
      </c>
      <c r="G50" s="26">
        <f t="shared" si="6"/>
        <v>7562.8287338345326</v>
      </c>
      <c r="H50" s="15">
        <f t="shared" si="7"/>
        <v>-90079.507138259767</v>
      </c>
      <c r="I50" s="29">
        <f>+I49+H50</f>
        <v>1633168.6867390124</v>
      </c>
    </row>
    <row r="51" spans="1:10" x14ac:dyDescent="0.25">
      <c r="A51" s="8">
        <f t="shared" si="0"/>
        <v>44</v>
      </c>
      <c r="B51" s="276">
        <f>B50+30</f>
        <v>44888</v>
      </c>
      <c r="C51" s="83"/>
      <c r="D51" s="95">
        <f t="shared" ref="D51:D62" si="12">(-$I$50/1)*$O17</f>
        <v>-188535.21565937792</v>
      </c>
      <c r="F51" s="97">
        <f t="shared" si="2"/>
        <v>5.4199999999999998E-2</v>
      </c>
      <c r="G51" s="26">
        <f t="shared" si="6"/>
        <v>6950.70320640711</v>
      </c>
      <c r="H51" s="15">
        <f t="shared" si="7"/>
        <v>-181584.51245297081</v>
      </c>
      <c r="I51" s="29">
        <f>+I50+H51</f>
        <v>1451584.1742860416</v>
      </c>
    </row>
    <row r="52" spans="1:10" x14ac:dyDescent="0.25">
      <c r="A52" s="8">
        <f t="shared" si="0"/>
        <v>45</v>
      </c>
      <c r="B52" s="276">
        <f>B51+31</f>
        <v>44919</v>
      </c>
      <c r="C52" s="83"/>
      <c r="D52" s="95">
        <f t="shared" si="12"/>
        <v>-261872.10767570121</v>
      </c>
      <c r="F52" s="97">
        <f t="shared" si="2"/>
        <v>5.4199999999999998E-2</v>
      </c>
      <c r="G52" s="26">
        <f t="shared" si="6"/>
        <v>5964.9273440243296</v>
      </c>
      <c r="H52" s="15">
        <f t="shared" si="7"/>
        <v>-255907.18033167688</v>
      </c>
      <c r="I52" s="29">
        <f t="shared" si="10"/>
        <v>1195676.9939543647</v>
      </c>
    </row>
    <row r="53" spans="1:10" x14ac:dyDescent="0.25">
      <c r="A53" s="8">
        <f t="shared" si="0"/>
        <v>46</v>
      </c>
      <c r="B53" s="275">
        <f>B52+30</f>
        <v>44949</v>
      </c>
      <c r="C53" s="63"/>
      <c r="D53" s="95">
        <f t="shared" si="12"/>
        <v>-260773.19520333176</v>
      </c>
      <c r="F53" s="97">
        <f t="shared" si="2"/>
        <v>5.4199999999999998E-2</v>
      </c>
      <c r="G53" s="26">
        <f t="shared" si="6"/>
        <v>4811.561623526356</v>
      </c>
      <c r="H53" s="15">
        <f t="shared" si="7"/>
        <v>-255961.63357980541</v>
      </c>
      <c r="I53" s="29">
        <f t="shared" si="10"/>
        <v>939715.3603745593</v>
      </c>
    </row>
    <row r="54" spans="1:10" x14ac:dyDescent="0.25">
      <c r="A54" s="8">
        <f t="shared" si="0"/>
        <v>47</v>
      </c>
      <c r="B54" s="275">
        <f>B53+30</f>
        <v>44979</v>
      </c>
      <c r="D54" s="95">
        <f t="shared" si="12"/>
        <v>-221729.76804586741</v>
      </c>
      <c r="F54" s="97">
        <f t="shared" si="2"/>
        <v>5.4199999999999998E-2</v>
      </c>
      <c r="G54" s="26">
        <f t="shared" si="6"/>
        <v>3743.6413181881758</v>
      </c>
      <c r="H54" s="15">
        <f t="shared" si="7"/>
        <v>-217986.12672767925</v>
      </c>
      <c r="I54" s="102">
        <f t="shared" si="10"/>
        <v>721729.23364688002</v>
      </c>
      <c r="J54" s="98"/>
    </row>
    <row r="55" spans="1:10" x14ac:dyDescent="0.25">
      <c r="A55" s="8">
        <f t="shared" si="0"/>
        <v>48</v>
      </c>
      <c r="B55" s="275">
        <f t="shared" ref="B55:B60" si="13">B54+31</f>
        <v>45010</v>
      </c>
      <c r="C55" s="63"/>
      <c r="D55" s="95">
        <f t="shared" si="12"/>
        <v>-186312.25276817492</v>
      </c>
      <c r="F55" s="97">
        <f t="shared" si="2"/>
        <v>5.4199999999999998E-2</v>
      </c>
      <c r="G55" s="26">
        <f t="shared" si="6"/>
        <v>2839.0552011369459</v>
      </c>
      <c r="H55" s="15">
        <f t="shared" si="7"/>
        <v>-183473.19756703798</v>
      </c>
      <c r="I55" s="29">
        <f t="shared" si="10"/>
        <v>538256.03607984202</v>
      </c>
    </row>
    <row r="56" spans="1:10" x14ac:dyDescent="0.25">
      <c r="A56" s="8">
        <f t="shared" si="0"/>
        <v>49</v>
      </c>
      <c r="B56" s="275">
        <f t="shared" si="13"/>
        <v>45041</v>
      </c>
      <c r="C56" s="63"/>
      <c r="D56" s="95">
        <f t="shared" si="12"/>
        <v>-131739.29640044124</v>
      </c>
      <c r="F56" s="97">
        <f t="shared" si="2"/>
        <v>5.4199999999999998E-2</v>
      </c>
      <c r="G56" s="26">
        <f t="shared" si="6"/>
        <v>2133.6118519229567</v>
      </c>
      <c r="H56" s="15">
        <f t="shared" si="7"/>
        <v>-129605.68454851827</v>
      </c>
      <c r="I56" s="29">
        <f t="shared" si="10"/>
        <v>408650.35153132374</v>
      </c>
    </row>
    <row r="57" spans="1:10" x14ac:dyDescent="0.25">
      <c r="A57" s="8">
        <f t="shared" si="0"/>
        <v>50</v>
      </c>
      <c r="B57" s="275">
        <f t="shared" si="13"/>
        <v>45072</v>
      </c>
      <c r="C57" s="63"/>
      <c r="D57" s="95">
        <f t="shared" si="12"/>
        <v>-80167.675664282084</v>
      </c>
      <c r="F57" s="97">
        <f t="shared" si="2"/>
        <v>5.4199999999999998E-2</v>
      </c>
      <c r="G57" s="26">
        <f t="shared" si="6"/>
        <v>1664.692086874642</v>
      </c>
      <c r="H57" s="15">
        <f t="shared" si="7"/>
        <v>-78502.983577407445</v>
      </c>
      <c r="I57" s="29">
        <f t="shared" si="10"/>
        <v>330147.36795391631</v>
      </c>
    </row>
    <row r="58" spans="1:10" x14ac:dyDescent="0.25">
      <c r="A58" s="8">
        <f t="shared" si="0"/>
        <v>51</v>
      </c>
      <c r="B58" s="275">
        <f t="shared" si="13"/>
        <v>45103</v>
      </c>
      <c r="C58" s="63"/>
      <c r="D58" s="95">
        <f t="shared" si="12"/>
        <v>-55028.239371640906</v>
      </c>
      <c r="F58" s="97">
        <f t="shared" si="2"/>
        <v>5.4199999999999998E-2</v>
      </c>
      <c r="G58" s="26">
        <f t="shared" si="6"/>
        <v>1366.8935046775662</v>
      </c>
      <c r="H58" s="15">
        <f t="shared" si="7"/>
        <v>-53661.34586696334</v>
      </c>
      <c r="I58" s="29">
        <f t="shared" si="10"/>
        <v>276486.02208695299</v>
      </c>
    </row>
    <row r="59" spans="1:10" x14ac:dyDescent="0.25">
      <c r="A59" s="8">
        <f t="shared" si="0"/>
        <v>52</v>
      </c>
      <c r="B59" s="275">
        <f t="shared" si="13"/>
        <v>45134</v>
      </c>
      <c r="C59" s="63"/>
      <c r="D59" s="95">
        <f t="shared" si="12"/>
        <v>-46363.814179020097</v>
      </c>
      <c r="F59" s="97">
        <f t="shared" si="2"/>
        <v>5.4199999999999998E-2</v>
      </c>
      <c r="G59" s="26">
        <f t="shared" si="6"/>
        <v>1144.0902527384505</v>
      </c>
      <c r="H59" s="15">
        <f t="shared" si="7"/>
        <v>-45219.723926281644</v>
      </c>
      <c r="I59" s="29">
        <f t="shared" si="10"/>
        <v>231266.29816067134</v>
      </c>
    </row>
    <row r="60" spans="1:10" x14ac:dyDescent="0.25">
      <c r="A60" s="8">
        <f t="shared" si="0"/>
        <v>53</v>
      </c>
      <c r="B60" s="275">
        <f t="shared" si="13"/>
        <v>45165</v>
      </c>
      <c r="C60" s="63"/>
      <c r="D60" s="95">
        <f t="shared" si="12"/>
        <v>-46200.061871831611</v>
      </c>
      <c r="F60" s="97">
        <f t="shared" si="2"/>
        <v>5.4199999999999998E-2</v>
      </c>
      <c r="G60" s="26">
        <f t="shared" si="6"/>
        <v>940.21764029847918</v>
      </c>
      <c r="H60" s="15">
        <f t="shared" si="7"/>
        <v>-45259.844231533134</v>
      </c>
      <c r="I60" s="29">
        <f t="shared" si="10"/>
        <v>186006.4539291382</v>
      </c>
    </row>
    <row r="61" spans="1:10" x14ac:dyDescent="0.25">
      <c r="A61" s="8">
        <f t="shared" si="0"/>
        <v>54</v>
      </c>
      <c r="B61" s="275">
        <f>B60+29</f>
        <v>45194</v>
      </c>
      <c r="C61" s="63"/>
      <c r="D61" s="95">
        <f t="shared" si="12"/>
        <v>-49425.924099830074</v>
      </c>
      <c r="F61" s="97">
        <f t="shared" si="2"/>
        <v>5.4199999999999998E-2</v>
      </c>
      <c r="G61" s="26">
        <f t="shared" si="6"/>
        <v>728.50893832115787</v>
      </c>
      <c r="H61" s="15">
        <f t="shared" si="7"/>
        <v>-48697.415161508914</v>
      </c>
      <c r="I61" s="29">
        <f t="shared" si="10"/>
        <v>137309.03876762927</v>
      </c>
    </row>
    <row r="62" spans="1:10" x14ac:dyDescent="0.25">
      <c r="A62" s="8">
        <f t="shared" si="0"/>
        <v>55</v>
      </c>
      <c r="B62" s="275">
        <f>B61+31</f>
        <v>45225</v>
      </c>
      <c r="C62" s="63"/>
      <c r="D62" s="95">
        <f t="shared" si="12"/>
        <v>-105021.13579951292</v>
      </c>
      <c r="F62" s="97">
        <f t="shared" si="2"/>
        <v>5.4199999999999998E-2</v>
      </c>
      <c r="G62" s="26">
        <f t="shared" si="6"/>
        <v>383.00642675322553</v>
      </c>
      <c r="H62" s="15">
        <f t="shared" si="7"/>
        <v>-104638.12937275969</v>
      </c>
      <c r="I62" s="29">
        <f t="shared" si="10"/>
        <v>32670.909394869581</v>
      </c>
    </row>
    <row r="63" spans="1:10" x14ac:dyDescent="0.25">
      <c r="A63" s="8">
        <f t="shared" si="0"/>
        <v>56</v>
      </c>
      <c r="B63" s="61"/>
      <c r="C63" s="63"/>
      <c r="D63" s="88"/>
      <c r="F63" s="97"/>
      <c r="G63" s="30"/>
      <c r="H63" s="50"/>
      <c r="I63" s="29"/>
    </row>
    <row r="64" spans="1:10" ht="13.8" thickBot="1" x14ac:dyDescent="0.3">
      <c r="A64" s="8">
        <f t="shared" si="0"/>
        <v>57</v>
      </c>
      <c r="B64" s="283" t="s">
        <v>148</v>
      </c>
      <c r="C64" s="284"/>
      <c r="D64" s="285">
        <f>SUM(D15:D63)</f>
        <v>-5918075.9636623375</v>
      </c>
      <c r="E64" s="285"/>
      <c r="F64" s="286"/>
      <c r="G64" s="285">
        <f>SUM(G15:G63)</f>
        <v>584755.61305720767</v>
      </c>
      <c r="H64" s="285">
        <f>SUM(H15:H63)</f>
        <v>-5333320.3506051293</v>
      </c>
      <c r="I64" s="287"/>
    </row>
    <row r="65" spans="1:9" ht="13.8" thickTop="1" x14ac:dyDescent="0.25">
      <c r="A65" s="8">
        <f t="shared" si="0"/>
        <v>58</v>
      </c>
      <c r="B65" s="61"/>
      <c r="C65" s="63"/>
      <c r="D65" s="88"/>
      <c r="F65" s="97"/>
      <c r="G65" s="30"/>
      <c r="H65" s="50"/>
      <c r="I65" s="29"/>
    </row>
    <row r="66" spans="1:9" x14ac:dyDescent="0.25">
      <c r="B66" s="292" t="s">
        <v>333</v>
      </c>
      <c r="C66" s="292"/>
      <c r="D66" s="292"/>
      <c r="E66" s="7"/>
      <c r="H66" s="288">
        <f>G64-D64</f>
        <v>6502831.5767195448</v>
      </c>
    </row>
    <row r="67" spans="1:9" x14ac:dyDescent="0.25">
      <c r="B67" s="292" t="s">
        <v>334</v>
      </c>
      <c r="C67" s="6"/>
      <c r="D67" s="58"/>
      <c r="H67" s="288">
        <f>H66/4</f>
        <v>1625707.8941798862</v>
      </c>
    </row>
  </sheetData>
  <printOptions horizontalCentered="1"/>
  <pageMargins left="0.5" right="0.5" top="0.5" bottom="0.5" header="0.25" footer="0.25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2"/>
  <sheetViews>
    <sheetView workbookViewId="0">
      <selection activeCell="F60" sqref="F60"/>
    </sheetView>
  </sheetViews>
  <sheetFormatPr defaultColWidth="9.109375" defaultRowHeight="13.2" x14ac:dyDescent="0.25"/>
  <cols>
    <col min="1" max="1" width="4.6640625" style="1" customWidth="1"/>
    <col min="2" max="2" width="18.88671875" style="2" customWidth="1"/>
    <col min="3" max="3" width="14.33203125" style="2" customWidth="1"/>
    <col min="4" max="4" width="25.44140625" style="3" customWidth="1"/>
    <col min="5" max="9" width="16.88671875" style="3" customWidth="1"/>
    <col min="10" max="10" width="17.6640625" style="2" bestFit="1" customWidth="1"/>
    <col min="11" max="11" width="6.109375" style="2" customWidth="1"/>
    <col min="12" max="12" width="15.6640625" style="2" customWidth="1"/>
    <col min="13" max="13" width="17.88671875" style="2" customWidth="1"/>
    <col min="14" max="14" width="17.44140625" style="2" customWidth="1"/>
    <col min="15" max="16" width="17.88671875" style="2" customWidth="1"/>
    <col min="17" max="17" width="14.44140625" style="2" customWidth="1"/>
    <col min="18" max="16384" width="9.109375" style="2"/>
  </cols>
  <sheetData>
    <row r="1" spans="1:17" x14ac:dyDescent="0.25">
      <c r="B1" s="2" t="s">
        <v>0</v>
      </c>
      <c r="C1" s="3" t="s">
        <v>1</v>
      </c>
      <c r="D1" s="58"/>
      <c r="E1" s="58"/>
      <c r="F1" s="58"/>
      <c r="G1" s="58"/>
      <c r="H1" s="58"/>
      <c r="I1" s="58"/>
    </row>
    <row r="2" spans="1:17" x14ac:dyDescent="0.25">
      <c r="B2" s="2" t="s">
        <v>2</v>
      </c>
      <c r="C2" s="3" t="s">
        <v>3</v>
      </c>
      <c r="D2" s="58"/>
      <c r="E2" s="58"/>
      <c r="F2" s="238"/>
      <c r="G2" s="238"/>
      <c r="H2" s="238"/>
      <c r="I2" s="58"/>
    </row>
    <row r="3" spans="1:17" x14ac:dyDescent="0.25">
      <c r="B3" s="2" t="s">
        <v>4</v>
      </c>
      <c r="C3" s="4" t="s">
        <v>322</v>
      </c>
      <c r="D3" s="239"/>
      <c r="E3" s="58"/>
      <c r="F3" s="58"/>
      <c r="G3" s="58"/>
      <c r="H3" s="58"/>
      <c r="I3" s="58"/>
    </row>
    <row r="4" spans="1:17" x14ac:dyDescent="0.25">
      <c r="B4" s="2" t="s">
        <v>6</v>
      </c>
      <c r="C4" s="2" t="s">
        <v>318</v>
      </c>
      <c r="D4" s="240"/>
      <c r="E4" s="58"/>
      <c r="F4" s="58"/>
      <c r="G4" s="58"/>
      <c r="H4" s="58"/>
      <c r="I4" s="58"/>
    </row>
    <row r="5" spans="1:17" x14ac:dyDescent="0.25">
      <c r="D5" s="6"/>
      <c r="E5" s="58"/>
      <c r="F5" s="6"/>
      <c r="G5" s="6"/>
      <c r="H5" s="6"/>
      <c r="I5" s="6"/>
    </row>
    <row r="6" spans="1:17" x14ac:dyDescent="0.25">
      <c r="D6" s="6"/>
      <c r="E6" s="58"/>
      <c r="F6" s="6"/>
      <c r="G6" s="6"/>
      <c r="H6" s="6"/>
      <c r="I6" s="6"/>
    </row>
    <row r="7" spans="1:17" x14ac:dyDescent="0.25">
      <c r="D7" s="58"/>
      <c r="E7" s="58"/>
      <c r="F7" s="6"/>
      <c r="G7" s="6"/>
      <c r="H7" s="6"/>
      <c r="I7" s="6"/>
    </row>
    <row r="8" spans="1:17" x14ac:dyDescent="0.25">
      <c r="A8" s="8">
        <v>1</v>
      </c>
      <c r="B8" s="2" t="s">
        <v>10</v>
      </c>
      <c r="D8" s="58"/>
      <c r="E8" s="58"/>
      <c r="F8" s="6"/>
      <c r="G8" s="6"/>
      <c r="H8" s="6"/>
      <c r="I8" s="6"/>
    </row>
    <row r="9" spans="1:17" x14ac:dyDescent="0.25">
      <c r="A9" s="8">
        <f t="shared" ref="A9:A62" si="0">+A8+1</f>
        <v>2</v>
      </c>
    </row>
    <row r="10" spans="1:17" x14ac:dyDescent="0.25">
      <c r="A10" s="8">
        <f t="shared" si="0"/>
        <v>3</v>
      </c>
      <c r="B10" s="11"/>
      <c r="C10" s="11"/>
      <c r="D10" s="9"/>
      <c r="E10" s="9"/>
      <c r="F10" s="9"/>
      <c r="G10" s="9"/>
      <c r="H10" s="9"/>
      <c r="I10" s="9"/>
    </row>
    <row r="11" spans="1:17" x14ac:dyDescent="0.25">
      <c r="A11" s="8">
        <f t="shared" si="0"/>
        <v>4</v>
      </c>
      <c r="B11" s="12" t="s">
        <v>14</v>
      </c>
      <c r="C11" s="12" t="s">
        <v>15</v>
      </c>
      <c r="D11" s="13" t="s">
        <v>327</v>
      </c>
      <c r="E11" s="13" t="s">
        <v>323</v>
      </c>
      <c r="F11" s="13" t="s">
        <v>328</v>
      </c>
      <c r="G11" s="13" t="s">
        <v>45</v>
      </c>
      <c r="H11" s="13" t="s">
        <v>19</v>
      </c>
      <c r="I11" s="13" t="s">
        <v>20</v>
      </c>
      <c r="J11" s="13" t="s">
        <v>324</v>
      </c>
    </row>
    <row r="12" spans="1:17" x14ac:dyDescent="0.25">
      <c r="A12" s="8">
        <f t="shared" si="0"/>
        <v>5</v>
      </c>
      <c r="B12" s="11" t="s">
        <v>21</v>
      </c>
      <c r="C12" s="11" t="s">
        <v>22</v>
      </c>
      <c r="D12" s="9" t="s">
        <v>23</v>
      </c>
      <c r="E12" s="9" t="s">
        <v>24</v>
      </c>
      <c r="F12" s="9"/>
      <c r="G12" s="9" t="s">
        <v>25</v>
      </c>
      <c r="H12" s="9"/>
      <c r="I12" s="9"/>
      <c r="J12" s="9" t="s">
        <v>46</v>
      </c>
    </row>
    <row r="13" spans="1:17" ht="13.8" thickBot="1" x14ac:dyDescent="0.3">
      <c r="A13" s="8">
        <f t="shared" si="0"/>
        <v>6</v>
      </c>
      <c r="J13" s="3"/>
    </row>
    <row r="14" spans="1:17" x14ac:dyDescent="0.25">
      <c r="A14" s="8">
        <f t="shared" si="0"/>
        <v>7</v>
      </c>
      <c r="B14" s="14" t="s">
        <v>37</v>
      </c>
      <c r="C14" s="34"/>
      <c r="D14" s="95"/>
      <c r="E14" s="2"/>
      <c r="F14" s="2"/>
      <c r="G14" s="97"/>
      <c r="H14" s="97"/>
      <c r="I14" s="251"/>
      <c r="J14" s="241">
        <f>'186310 Energy Eff General'!K114</f>
        <v>5365993.92</v>
      </c>
      <c r="K14" s="251" t="s">
        <v>325</v>
      </c>
      <c r="L14" s="242"/>
      <c r="M14" s="255" t="s">
        <v>321</v>
      </c>
      <c r="N14" s="256"/>
      <c r="O14" s="256"/>
      <c r="P14" s="256"/>
      <c r="Q14" s="257"/>
    </row>
    <row r="15" spans="1:17" x14ac:dyDescent="0.25">
      <c r="A15" s="8">
        <f t="shared" si="0"/>
        <v>8</v>
      </c>
      <c r="B15" s="6">
        <v>43799</v>
      </c>
      <c r="C15" s="272">
        <f>Q17</f>
        <v>0.11544136082833598</v>
      </c>
      <c r="D15" s="3">
        <f>-($J$14/4)*C15</f>
        <v>-154864.41008034424</v>
      </c>
      <c r="E15" s="3" t="e">
        <f>($J$14/4+D15/2)*G15/12</f>
        <v>#REF!</v>
      </c>
      <c r="F15" s="3" t="e">
        <f>-$F$30*C15</f>
        <v>#REF!</v>
      </c>
      <c r="G15" s="97" t="e">
        <f>'186316 DSM Amort'!#REF!</f>
        <v>#REF!</v>
      </c>
      <c r="H15" s="39" t="e">
        <f>F15</f>
        <v>#REF!</v>
      </c>
      <c r="I15" s="39" t="e">
        <f>F30+H15</f>
        <v>#REF!</v>
      </c>
      <c r="J15" s="18"/>
      <c r="K15" s="251"/>
      <c r="L15" s="273"/>
      <c r="M15" s="258"/>
      <c r="N15" s="259"/>
      <c r="O15" s="259"/>
      <c r="P15" s="259"/>
      <c r="Q15" s="260"/>
    </row>
    <row r="16" spans="1:17" x14ac:dyDescent="0.25">
      <c r="A16" s="8">
        <f t="shared" si="0"/>
        <v>9</v>
      </c>
      <c r="B16" s="6">
        <f>+B15+31</f>
        <v>43830</v>
      </c>
      <c r="C16" s="272">
        <f t="shared" ref="C16:C24" si="1">Q18</f>
        <v>0.16034602536899456</v>
      </c>
      <c r="D16" s="3">
        <f>-($J$14/4)*C16</f>
        <v>-215103.94930654764</v>
      </c>
      <c r="E16" s="3" t="e">
        <f>($J$14/4+D16/2+D15)*G16/12</f>
        <v>#REF!</v>
      </c>
      <c r="F16" s="3" t="e">
        <f t="shared" ref="F16:F26" si="2">-$F$30*C16</f>
        <v>#REF!</v>
      </c>
      <c r="G16" s="97" t="e">
        <f>G15</f>
        <v>#REF!</v>
      </c>
      <c r="H16" s="39" t="e">
        <f t="shared" ref="H16:H26" si="3">F16</f>
        <v>#REF!</v>
      </c>
      <c r="I16" s="39" t="e">
        <f>I15+H16</f>
        <v>#REF!</v>
      </c>
      <c r="J16" s="18"/>
      <c r="L16" s="243"/>
      <c r="M16" s="258"/>
      <c r="N16" s="261" t="s">
        <v>319</v>
      </c>
      <c r="O16" s="261" t="s">
        <v>320</v>
      </c>
      <c r="P16" s="261" t="s">
        <v>148</v>
      </c>
      <c r="Q16" s="260"/>
    </row>
    <row r="17" spans="1:17" x14ac:dyDescent="0.25">
      <c r="A17" s="8">
        <f t="shared" si="0"/>
        <v>10</v>
      </c>
      <c r="B17" s="84">
        <f>+B16+31</f>
        <v>43861</v>
      </c>
      <c r="C17" s="272">
        <f t="shared" si="1"/>
        <v>0.15967315398633067</v>
      </c>
      <c r="D17" s="3">
        <f t="shared" ref="D17:D26" si="4">-($J$14/4)*C17</f>
        <v>-214201.29336946853</v>
      </c>
      <c r="E17" s="3" t="e">
        <f>($J$14/4+D17/2+D16+D15)*G17/12</f>
        <v>#REF!</v>
      </c>
      <c r="F17" s="3" t="e">
        <f t="shared" si="2"/>
        <v>#REF!</v>
      </c>
      <c r="G17" s="97" t="e">
        <f t="shared" ref="G17:G24" si="5">G16</f>
        <v>#REF!</v>
      </c>
      <c r="H17" s="39" t="e">
        <f t="shared" si="3"/>
        <v>#REF!</v>
      </c>
      <c r="I17" s="39" t="e">
        <f>I16+H17</f>
        <v>#REF!</v>
      </c>
      <c r="J17" s="18"/>
      <c r="L17" s="243"/>
      <c r="M17" s="262">
        <v>43770</v>
      </c>
      <c r="N17" s="244">
        <v>6340868.836698099</v>
      </c>
      <c r="O17" s="244">
        <v>2656408.1410784717</v>
      </c>
      <c r="P17" s="245">
        <f>SUM(N17:O17)</f>
        <v>8997276.9777765702</v>
      </c>
      <c r="Q17" s="263">
        <f t="shared" ref="Q17:Q26" si="6">P17/$P$29</f>
        <v>0.11544136082833598</v>
      </c>
    </row>
    <row r="18" spans="1:17" x14ac:dyDescent="0.25">
      <c r="A18" s="8">
        <f t="shared" si="0"/>
        <v>11</v>
      </c>
      <c r="B18" s="274">
        <f>+B17+28</f>
        <v>43889</v>
      </c>
      <c r="C18" s="272">
        <f t="shared" si="1"/>
        <v>0.13576660503367882</v>
      </c>
      <c r="D18" s="3">
        <f t="shared" si="4"/>
        <v>-182130.69428744048</v>
      </c>
      <c r="E18" s="3" t="e">
        <f>($J$14/4+D18/2+D17+D16+D15)*G18/12</f>
        <v>#REF!</v>
      </c>
      <c r="F18" s="3" t="e">
        <f t="shared" si="2"/>
        <v>#REF!</v>
      </c>
      <c r="G18" s="97" t="e">
        <f t="shared" si="5"/>
        <v>#REF!</v>
      </c>
      <c r="H18" s="39" t="e">
        <f t="shared" si="3"/>
        <v>#REF!</v>
      </c>
      <c r="I18" s="39" t="e">
        <f>I17+H18</f>
        <v>#REF!</v>
      </c>
      <c r="J18" s="18"/>
      <c r="L18" s="243"/>
      <c r="M18" s="264">
        <v>43800</v>
      </c>
      <c r="N18" s="246">
        <v>8858949.8077822905</v>
      </c>
      <c r="O18" s="246">
        <v>3638110.1036625183</v>
      </c>
      <c r="P18" s="247">
        <f t="shared" ref="P18:P28" si="7">SUM(N18:O18)</f>
        <v>12497059.911444809</v>
      </c>
      <c r="Q18" s="263">
        <f t="shared" si="6"/>
        <v>0.16034602536899456</v>
      </c>
    </row>
    <row r="19" spans="1:17" x14ac:dyDescent="0.25">
      <c r="A19" s="8">
        <f t="shared" si="0"/>
        <v>12</v>
      </c>
      <c r="B19" s="274">
        <f>+B18+31</f>
        <v>43920</v>
      </c>
      <c r="C19" s="272">
        <f t="shared" si="1"/>
        <v>0.11408022593195143</v>
      </c>
      <c r="D19" s="3">
        <f t="shared" si="4"/>
        <v>-153038.44968576942</v>
      </c>
      <c r="E19" s="3" t="e">
        <f>($J$14/4+D19/2+D18+D17+D16+D15)*G19/12</f>
        <v>#REF!</v>
      </c>
      <c r="F19" s="3" t="e">
        <f t="shared" si="2"/>
        <v>#REF!</v>
      </c>
      <c r="G19" s="97" t="e">
        <f t="shared" si="5"/>
        <v>#REF!</v>
      </c>
      <c r="H19" s="39" t="e">
        <f t="shared" si="3"/>
        <v>#REF!</v>
      </c>
      <c r="I19" s="39" t="e">
        <f t="shared" ref="I19:I26" si="8">I18+H19</f>
        <v>#REF!</v>
      </c>
      <c r="J19" s="18"/>
      <c r="L19" s="243"/>
      <c r="M19" s="264">
        <v>43831</v>
      </c>
      <c r="N19" s="246">
        <v>8817203.5496987905</v>
      </c>
      <c r="O19" s="246">
        <v>3627414.0641430919</v>
      </c>
      <c r="P19" s="247">
        <f t="shared" si="7"/>
        <v>12444617.613841882</v>
      </c>
      <c r="Q19" s="263">
        <f t="shared" si="6"/>
        <v>0.15967315398633067</v>
      </c>
    </row>
    <row r="20" spans="1:17" x14ac:dyDescent="0.25">
      <c r="A20" s="8">
        <f t="shared" si="0"/>
        <v>13</v>
      </c>
      <c r="B20" s="6">
        <f>+B19+30</f>
        <v>43950</v>
      </c>
      <c r="C20" s="272">
        <f t="shared" si="1"/>
        <v>8.0664843423791266E-2</v>
      </c>
      <c r="D20" s="3">
        <f t="shared" si="4"/>
        <v>-108211.76484245398</v>
      </c>
      <c r="E20" s="3" t="e">
        <f>($J$14/4+D20/2+D19+D18+D17+D16+D15)*G20/12</f>
        <v>#REF!</v>
      </c>
      <c r="F20" s="3" t="e">
        <f>-$F$30*C20</f>
        <v>#REF!</v>
      </c>
      <c r="G20" s="97" t="e">
        <f t="shared" si="5"/>
        <v>#REF!</v>
      </c>
      <c r="H20" s="39" t="e">
        <f t="shared" si="3"/>
        <v>#REF!</v>
      </c>
      <c r="I20" s="39" t="e">
        <f t="shared" si="8"/>
        <v>#REF!</v>
      </c>
      <c r="J20" s="18"/>
      <c r="L20" s="243"/>
      <c r="M20" s="264">
        <v>43862</v>
      </c>
      <c r="N20" s="246">
        <v>7482441.877934007</v>
      </c>
      <c r="O20" s="246">
        <v>3098945.4260223866</v>
      </c>
      <c r="P20" s="247">
        <f t="shared" si="7"/>
        <v>10581387.303956393</v>
      </c>
      <c r="Q20" s="263">
        <f t="shared" si="6"/>
        <v>0.13576660503367882</v>
      </c>
    </row>
    <row r="21" spans="1:17" x14ac:dyDescent="0.25">
      <c r="A21" s="8">
        <f t="shared" si="0"/>
        <v>14</v>
      </c>
      <c r="B21" s="6">
        <f>+B20+31</f>
        <v>43981</v>
      </c>
      <c r="C21" s="272">
        <f t="shared" si="1"/>
        <v>4.908719859450332E-2</v>
      </c>
      <c r="D21" s="3">
        <f t="shared" si="4"/>
        <v>-65850.402301984344</v>
      </c>
      <c r="E21" s="3" t="e">
        <f>($J$14/4+D21/2+D20+D19+D18+D17+D16+D15)*G21/12</f>
        <v>#REF!</v>
      </c>
      <c r="F21" s="3" t="e">
        <f t="shared" si="2"/>
        <v>#REF!</v>
      </c>
      <c r="G21" s="97" t="e">
        <f t="shared" si="5"/>
        <v>#REF!</v>
      </c>
      <c r="H21" s="39" t="e">
        <f t="shared" si="3"/>
        <v>#REF!</v>
      </c>
      <c r="I21" s="39" t="e">
        <f t="shared" si="8"/>
        <v>#REF!</v>
      </c>
      <c r="J21" s="18"/>
      <c r="L21" s="243"/>
      <c r="M21" s="264">
        <v>43891</v>
      </c>
      <c r="N21" s="246">
        <v>6256824.6682192646</v>
      </c>
      <c r="O21" s="246">
        <v>2634368.0813481482</v>
      </c>
      <c r="P21" s="247">
        <f t="shared" si="7"/>
        <v>8891192.7495674118</v>
      </c>
      <c r="Q21" s="263">
        <f t="shared" si="6"/>
        <v>0.11408022593195143</v>
      </c>
    </row>
    <row r="22" spans="1:17" x14ac:dyDescent="0.25">
      <c r="A22" s="8">
        <f t="shared" si="0"/>
        <v>15</v>
      </c>
      <c r="B22" s="6">
        <f>+B21+30</f>
        <v>44011</v>
      </c>
      <c r="C22" s="272">
        <f t="shared" si="1"/>
        <v>3.3694155305853388E-2</v>
      </c>
      <c r="D22" s="3">
        <f t="shared" si="4"/>
        <v>-45200.658127686256</v>
      </c>
      <c r="E22" s="3" t="e">
        <f>($J$14/4+D22/2+D21+D20+D19+D18+D17+D16+D15)*G22/12</f>
        <v>#REF!</v>
      </c>
      <c r="F22" s="3" t="e">
        <f t="shared" si="2"/>
        <v>#REF!</v>
      </c>
      <c r="G22" s="97" t="e">
        <f t="shared" si="5"/>
        <v>#REF!</v>
      </c>
      <c r="H22" s="39" t="e">
        <f t="shared" si="3"/>
        <v>#REF!</v>
      </c>
      <c r="I22" s="39" t="e">
        <f t="shared" si="8"/>
        <v>#REF!</v>
      </c>
      <c r="J22" s="18"/>
      <c r="L22" s="243"/>
      <c r="M22" s="264">
        <v>43922</v>
      </c>
      <c r="N22" s="246">
        <v>4377274.2136175353</v>
      </c>
      <c r="O22" s="246">
        <v>1909588.0811890643</v>
      </c>
      <c r="P22" s="247">
        <f t="shared" si="7"/>
        <v>6286862.2948065996</v>
      </c>
      <c r="Q22" s="263">
        <f t="shared" si="6"/>
        <v>8.0664843423791266E-2</v>
      </c>
    </row>
    <row r="23" spans="1:17" x14ac:dyDescent="0.25">
      <c r="A23" s="8">
        <f t="shared" si="0"/>
        <v>16</v>
      </c>
      <c r="B23" s="6">
        <f>+B22+31</f>
        <v>44042</v>
      </c>
      <c r="C23" s="272">
        <f t="shared" si="1"/>
        <v>2.8388870393783908E-2</v>
      </c>
      <c r="D23" s="3">
        <f t="shared" si="4"/>
        <v>-38083.626482178115</v>
      </c>
      <c r="E23" s="3" t="e">
        <f>($J$14/4+D23/2+D22+D21+D20+D19+D18+D17+D16+D15)*G23/12</f>
        <v>#REF!</v>
      </c>
      <c r="F23" s="3" t="e">
        <f t="shared" si="2"/>
        <v>#REF!</v>
      </c>
      <c r="G23" s="97" t="e">
        <f t="shared" si="5"/>
        <v>#REF!</v>
      </c>
      <c r="H23" s="39" t="e">
        <f t="shared" si="3"/>
        <v>#REF!</v>
      </c>
      <c r="I23" s="39" t="e">
        <f t="shared" si="8"/>
        <v>#REF!</v>
      </c>
      <c r="J23" s="18"/>
      <c r="L23" s="243"/>
      <c r="M23" s="264">
        <v>43952</v>
      </c>
      <c r="N23" s="246">
        <v>2558386.8581189271</v>
      </c>
      <c r="O23" s="246">
        <v>1267374.7116412977</v>
      </c>
      <c r="P23" s="247">
        <f t="shared" si="7"/>
        <v>3825761.5697602248</v>
      </c>
      <c r="Q23" s="263">
        <f t="shared" si="6"/>
        <v>4.908719859450332E-2</v>
      </c>
    </row>
    <row r="24" spans="1:17" x14ac:dyDescent="0.25">
      <c r="A24" s="8">
        <f t="shared" si="0"/>
        <v>17</v>
      </c>
      <c r="B24" s="6">
        <f>+B23+31</f>
        <v>44073</v>
      </c>
      <c r="C24" s="272">
        <f t="shared" si="1"/>
        <v>2.8288603771898416E-2</v>
      </c>
      <c r="D24" s="3">
        <f t="shared" si="4"/>
        <v>-37949.118961323991</v>
      </c>
      <c r="E24" s="3" t="e">
        <f>($J$14/4+D24/2+D23+D22+D21+D20+D19+D18+D17+D16+D15)*G24/12</f>
        <v>#REF!</v>
      </c>
      <c r="F24" s="3" t="e">
        <f t="shared" si="2"/>
        <v>#REF!</v>
      </c>
      <c r="G24" s="97" t="e">
        <f t="shared" si="5"/>
        <v>#REF!</v>
      </c>
      <c r="H24" s="39" t="e">
        <f t="shared" si="3"/>
        <v>#REF!</v>
      </c>
      <c r="I24" s="39" t="e">
        <f t="shared" si="8"/>
        <v>#REF!</v>
      </c>
      <c r="J24" s="18"/>
      <c r="L24" s="243"/>
      <c r="M24" s="264">
        <v>43983</v>
      </c>
      <c r="N24" s="246">
        <v>1663481.073282606</v>
      </c>
      <c r="O24" s="246">
        <v>962576.39558059082</v>
      </c>
      <c r="P24" s="247">
        <f t="shared" si="7"/>
        <v>2626057.4688631967</v>
      </c>
      <c r="Q24" s="263">
        <f t="shared" si="6"/>
        <v>3.3694155305853388E-2</v>
      </c>
    </row>
    <row r="25" spans="1:17" x14ac:dyDescent="0.25">
      <c r="A25" s="8">
        <f t="shared" si="0"/>
        <v>18</v>
      </c>
      <c r="B25" s="6">
        <f>+B24+30</f>
        <v>44103</v>
      </c>
      <c r="C25" s="272">
        <f>Q27</f>
        <v>3.0263820572337827E-2</v>
      </c>
      <c r="D25" s="3">
        <f t="shared" si="4"/>
        <v>-40598.869296783923</v>
      </c>
      <c r="E25" s="3" t="e">
        <f>($J$14/4+D25/2+D24+D23+D22+D21+D20+D19+D18+D17+D16+D15)*G25/12</f>
        <v>#REF!</v>
      </c>
      <c r="F25" s="3" t="e">
        <f t="shared" si="2"/>
        <v>#REF!</v>
      </c>
      <c r="G25" s="97" t="e">
        <f>G24</f>
        <v>#REF!</v>
      </c>
      <c r="H25" s="39" t="e">
        <f t="shared" si="3"/>
        <v>#REF!</v>
      </c>
      <c r="I25" s="39" t="e">
        <f t="shared" si="8"/>
        <v>#REF!</v>
      </c>
      <c r="J25" s="18"/>
      <c r="L25" s="243"/>
      <c r="M25" s="264">
        <v>44013</v>
      </c>
      <c r="N25" s="246">
        <v>1382425.2752797708</v>
      </c>
      <c r="O25" s="246">
        <v>830148.52137612761</v>
      </c>
      <c r="P25" s="247">
        <f t="shared" si="7"/>
        <v>2212573.7966558984</v>
      </c>
      <c r="Q25" s="263">
        <f t="shared" si="6"/>
        <v>2.8388870393783908E-2</v>
      </c>
    </row>
    <row r="26" spans="1:17" x14ac:dyDescent="0.25">
      <c r="A26" s="8">
        <f t="shared" si="0"/>
        <v>19</v>
      </c>
      <c r="B26" s="6">
        <f>+B25+31</f>
        <v>44134</v>
      </c>
      <c r="C26" s="272">
        <f>Q28</f>
        <v>6.4305136788540301E-2</v>
      </c>
      <c r="D26" s="3">
        <f t="shared" si="4"/>
        <v>-86265.243258018891</v>
      </c>
      <c r="E26" s="3" t="e">
        <f>($J$14/4+D26/2+D25+D24+D23+D22+D21+D20+D19+D18+D17+D16+D15)*G26/12</f>
        <v>#REF!</v>
      </c>
      <c r="F26" s="3" t="e">
        <f t="shared" si="2"/>
        <v>#REF!</v>
      </c>
      <c r="G26" s="97" t="e">
        <f>G25</f>
        <v>#REF!</v>
      </c>
      <c r="H26" s="39" t="e">
        <f t="shared" si="3"/>
        <v>#REF!</v>
      </c>
      <c r="I26" s="39" t="e">
        <f t="shared" si="8"/>
        <v>#REF!</v>
      </c>
      <c r="J26" s="18"/>
      <c r="K26" s="250"/>
      <c r="L26" s="243"/>
      <c r="M26" s="264">
        <v>44044</v>
      </c>
      <c r="N26" s="246">
        <v>1377436.4659624277</v>
      </c>
      <c r="O26" s="246">
        <v>827322.74359698582</v>
      </c>
      <c r="P26" s="247">
        <f t="shared" si="7"/>
        <v>2204759.2095594136</v>
      </c>
      <c r="Q26" s="263">
        <f t="shared" si="6"/>
        <v>2.8288603771898416E-2</v>
      </c>
    </row>
    <row r="27" spans="1:17" collapsed="1" x14ac:dyDescent="0.25">
      <c r="A27" s="8">
        <f t="shared" si="0"/>
        <v>20</v>
      </c>
      <c r="B27" s="252" t="s">
        <v>148</v>
      </c>
      <c r="C27" s="253"/>
      <c r="D27" s="254">
        <f>SUM(D15:D26)</f>
        <v>-1341498.4799999997</v>
      </c>
      <c r="E27" s="254" t="e">
        <f>SUM(E15:E26)</f>
        <v>#REF!</v>
      </c>
      <c r="F27" s="254"/>
      <c r="G27" s="254"/>
      <c r="H27" s="254"/>
      <c r="I27" s="254"/>
      <c r="J27" s="3"/>
      <c r="L27" s="243"/>
      <c r="M27" s="264">
        <v>44075</v>
      </c>
      <c r="N27" s="246">
        <v>1515224.7378037728</v>
      </c>
      <c r="O27" s="246">
        <v>843479.05900923139</v>
      </c>
      <c r="P27" s="247">
        <f t="shared" si="7"/>
        <v>2358703.7968130042</v>
      </c>
      <c r="Q27" s="263">
        <f t="shared" ref="Q27:Q28" si="9">P27/$P$29</f>
        <v>3.0263820572337827E-2</v>
      </c>
    </row>
    <row r="28" spans="1:17" x14ac:dyDescent="0.25">
      <c r="A28" s="8">
        <f t="shared" si="0"/>
        <v>21</v>
      </c>
      <c r="B28" s="2" t="s">
        <v>329</v>
      </c>
      <c r="J28" s="3"/>
      <c r="L28" s="243"/>
      <c r="M28" s="265">
        <v>44105</v>
      </c>
      <c r="N28" s="248">
        <v>3448875.0073580947</v>
      </c>
      <c r="O28" s="248">
        <v>1562943.3100009304</v>
      </c>
      <c r="P28" s="249">
        <f t="shared" si="7"/>
        <v>5011818.3173590247</v>
      </c>
      <c r="Q28" s="263">
        <f t="shared" si="9"/>
        <v>6.4305136788540301E-2</v>
      </c>
    </row>
    <row r="29" spans="1:17" ht="13.8" thickBot="1" x14ac:dyDescent="0.3">
      <c r="A29" s="8">
        <f t="shared" si="0"/>
        <v>22</v>
      </c>
      <c r="J29" s="3"/>
      <c r="L29" s="243"/>
      <c r="M29" s="266" t="s">
        <v>148</v>
      </c>
      <c r="N29" s="267">
        <v>54079392.371755585</v>
      </c>
      <c r="O29" s="267">
        <v>23858678.638648845</v>
      </c>
      <c r="P29" s="267">
        <f>SUM(P17:P28)</f>
        <v>77938071.010404438</v>
      </c>
      <c r="Q29" s="268"/>
    </row>
    <row r="30" spans="1:17" ht="13.8" thickBot="1" x14ac:dyDescent="0.3">
      <c r="A30" s="8">
        <f t="shared" si="0"/>
        <v>23</v>
      </c>
      <c r="D30" s="269" t="s">
        <v>326</v>
      </c>
      <c r="E30" s="270"/>
      <c r="F30" s="271" t="e">
        <f>E27-D27</f>
        <v>#REF!</v>
      </c>
    </row>
    <row r="31" spans="1:17" x14ac:dyDescent="0.25">
      <c r="A31" s="8">
        <f t="shared" si="0"/>
        <v>24</v>
      </c>
    </row>
    <row r="32" spans="1:17" x14ac:dyDescent="0.25">
      <c r="A32" s="8">
        <f t="shared" si="0"/>
        <v>25</v>
      </c>
    </row>
    <row r="33" spans="1:11" x14ac:dyDescent="0.25">
      <c r="A33" s="8">
        <f t="shared" si="0"/>
        <v>26</v>
      </c>
    </row>
    <row r="34" spans="1:11" x14ac:dyDescent="0.25">
      <c r="A34" s="8">
        <f t="shared" si="0"/>
        <v>27</v>
      </c>
    </row>
    <row r="35" spans="1:11" x14ac:dyDescent="0.25">
      <c r="A35" s="8">
        <f t="shared" si="0"/>
        <v>28</v>
      </c>
    </row>
    <row r="36" spans="1:11" x14ac:dyDescent="0.25">
      <c r="A36" s="8">
        <f t="shared" si="0"/>
        <v>29</v>
      </c>
    </row>
    <row r="37" spans="1:11" x14ac:dyDescent="0.25">
      <c r="A37" s="8">
        <f t="shared" si="0"/>
        <v>30</v>
      </c>
    </row>
    <row r="38" spans="1:11" x14ac:dyDescent="0.25">
      <c r="A38" s="8">
        <f t="shared" si="0"/>
        <v>31</v>
      </c>
    </row>
    <row r="39" spans="1:11" x14ac:dyDescent="0.25">
      <c r="A39" s="8">
        <f t="shared" si="0"/>
        <v>32</v>
      </c>
    </row>
    <row r="40" spans="1:11" x14ac:dyDescent="0.25">
      <c r="A40" s="8">
        <f t="shared" si="0"/>
        <v>33</v>
      </c>
      <c r="K40" s="103"/>
    </row>
    <row r="41" spans="1:11" x14ac:dyDescent="0.25">
      <c r="A41" s="8">
        <f t="shared" si="0"/>
        <v>34</v>
      </c>
    </row>
    <row r="42" spans="1:11" x14ac:dyDescent="0.25">
      <c r="A42" s="8">
        <f t="shared" si="0"/>
        <v>35</v>
      </c>
    </row>
    <row r="43" spans="1:11" x14ac:dyDescent="0.25">
      <c r="A43" s="8">
        <f t="shared" si="0"/>
        <v>36</v>
      </c>
    </row>
    <row r="44" spans="1:11" x14ac:dyDescent="0.25">
      <c r="A44" s="8">
        <f t="shared" si="0"/>
        <v>37</v>
      </c>
    </row>
    <row r="45" spans="1:11" x14ac:dyDescent="0.25">
      <c r="A45" s="8">
        <f t="shared" si="0"/>
        <v>38</v>
      </c>
    </row>
    <row r="46" spans="1:11" x14ac:dyDescent="0.25">
      <c r="A46" s="8">
        <f t="shared" si="0"/>
        <v>39</v>
      </c>
    </row>
    <row r="47" spans="1:11" x14ac:dyDescent="0.25">
      <c r="A47" s="8">
        <f t="shared" si="0"/>
        <v>40</v>
      </c>
    </row>
    <row r="48" spans="1:11" x14ac:dyDescent="0.25">
      <c r="A48" s="8">
        <f t="shared" si="0"/>
        <v>41</v>
      </c>
    </row>
    <row r="49" spans="1:13" x14ac:dyDescent="0.25">
      <c r="A49" s="8">
        <f t="shared" si="0"/>
        <v>42</v>
      </c>
    </row>
    <row r="50" spans="1:13" x14ac:dyDescent="0.25">
      <c r="A50" s="8">
        <f t="shared" si="0"/>
        <v>43</v>
      </c>
    </row>
    <row r="51" spans="1:13" x14ac:dyDescent="0.25">
      <c r="A51" s="8">
        <f t="shared" si="0"/>
        <v>44</v>
      </c>
    </row>
    <row r="52" spans="1:13" x14ac:dyDescent="0.25">
      <c r="A52" s="8">
        <f t="shared" si="0"/>
        <v>45</v>
      </c>
    </row>
    <row r="53" spans="1:13" x14ac:dyDescent="0.25">
      <c r="A53" s="8">
        <f t="shared" si="0"/>
        <v>46</v>
      </c>
    </row>
    <row r="54" spans="1:13" x14ac:dyDescent="0.25">
      <c r="A54" s="8">
        <f t="shared" si="0"/>
        <v>47</v>
      </c>
    </row>
    <row r="55" spans="1:13" x14ac:dyDescent="0.25">
      <c r="A55" s="8">
        <f t="shared" si="0"/>
        <v>48</v>
      </c>
    </row>
    <row r="56" spans="1:13" x14ac:dyDescent="0.25">
      <c r="A56" s="8">
        <f t="shared" si="0"/>
        <v>49</v>
      </c>
    </row>
    <row r="57" spans="1:13" x14ac:dyDescent="0.25">
      <c r="A57" s="8">
        <f t="shared" si="0"/>
        <v>50</v>
      </c>
    </row>
    <row r="58" spans="1:13" x14ac:dyDescent="0.25">
      <c r="A58" s="8">
        <f t="shared" si="0"/>
        <v>51</v>
      </c>
    </row>
    <row r="59" spans="1:13" x14ac:dyDescent="0.25">
      <c r="A59" s="8">
        <f t="shared" si="0"/>
        <v>52</v>
      </c>
    </row>
    <row r="60" spans="1:13" x14ac:dyDescent="0.25">
      <c r="A60" s="8">
        <f t="shared" si="0"/>
        <v>53</v>
      </c>
    </row>
    <row r="61" spans="1:13" x14ac:dyDescent="0.25">
      <c r="A61" s="8">
        <f t="shared" si="0"/>
        <v>54</v>
      </c>
    </row>
    <row r="62" spans="1:13" x14ac:dyDescent="0.25">
      <c r="A62" s="8">
        <f t="shared" si="0"/>
        <v>55</v>
      </c>
      <c r="L62" s="39"/>
      <c r="M62" s="251"/>
    </row>
  </sheetData>
  <printOptions horizontalCentered="1"/>
  <pageMargins left="0.5" right="0.5" top="0.5" bottom="0.5" header="0.25" footer="0.25"/>
  <pageSetup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B119"/>
  <sheetViews>
    <sheetView topLeftCell="D10" zoomScaleNormal="100" workbookViewId="0">
      <selection activeCell="D112" sqref="D112"/>
    </sheetView>
  </sheetViews>
  <sheetFormatPr defaultColWidth="9.109375" defaultRowHeight="13.2" outlineLevelRow="1" x14ac:dyDescent="0.25"/>
  <cols>
    <col min="1" max="1" width="4.6640625" style="1" customWidth="1"/>
    <col min="2" max="2" width="15.6640625" style="2" customWidth="1"/>
    <col min="3" max="3" width="10.44140625" style="2" customWidth="1"/>
    <col min="4" max="9" width="15.6640625" style="3" customWidth="1"/>
    <col min="10" max="10" width="15.6640625" style="3" customWidth="1" collapsed="1"/>
    <col min="11" max="11" width="18.109375" style="3" bestFit="1" customWidth="1" collapsed="1"/>
    <col min="12" max="17" width="15.6640625" style="3" customWidth="1"/>
    <col min="18" max="18" width="20.88671875" style="2" bestFit="1" customWidth="1"/>
    <col min="19" max="20" width="15.6640625" style="2" customWidth="1"/>
    <col min="21" max="21" width="15.6640625" style="2" customWidth="1" collapsed="1"/>
    <col min="22" max="26" width="15.6640625" style="2" customWidth="1"/>
    <col min="27" max="16384" width="9.109375" style="2"/>
  </cols>
  <sheetData>
    <row r="1" spans="1:25" x14ac:dyDescent="0.25">
      <c r="B1" s="2" t="s">
        <v>0</v>
      </c>
      <c r="D1" s="3" t="s">
        <v>1</v>
      </c>
    </row>
    <row r="2" spans="1:25" x14ac:dyDescent="0.25">
      <c r="B2" s="2" t="s">
        <v>2</v>
      </c>
      <c r="D2" s="3" t="s">
        <v>3</v>
      </c>
    </row>
    <row r="3" spans="1:25" x14ac:dyDescent="0.25">
      <c r="B3" s="2" t="s">
        <v>4</v>
      </c>
      <c r="D3" s="4" t="s">
        <v>5</v>
      </c>
    </row>
    <row r="4" spans="1:25" x14ac:dyDescent="0.25">
      <c r="B4" s="2" t="s">
        <v>6</v>
      </c>
      <c r="D4" s="5">
        <v>186310</v>
      </c>
    </row>
    <row r="5" spans="1:25" x14ac:dyDescent="0.25">
      <c r="B5" s="2" t="s">
        <v>7</v>
      </c>
      <c r="D5" s="6" t="s">
        <v>8</v>
      </c>
    </row>
    <row r="6" spans="1:25" x14ac:dyDescent="0.25">
      <c r="D6" s="6" t="s">
        <v>9</v>
      </c>
    </row>
    <row r="7" spans="1:25" x14ac:dyDescent="0.25">
      <c r="D7" s="7"/>
    </row>
    <row r="8" spans="1:25" x14ac:dyDescent="0.25">
      <c r="A8" s="8">
        <v>1</v>
      </c>
      <c r="B8" s="2" t="s">
        <v>10</v>
      </c>
      <c r="D8" s="7"/>
      <c r="F8" s="9"/>
      <c r="G8" s="9"/>
      <c r="H8" s="9"/>
      <c r="I8" s="9"/>
      <c r="J8" s="9"/>
      <c r="K8" s="9"/>
      <c r="L8" s="9"/>
      <c r="M8" s="9"/>
      <c r="N8" s="9"/>
      <c r="O8" s="9"/>
    </row>
    <row r="9" spans="1:25" x14ac:dyDescent="0.25">
      <c r="A9" s="8">
        <f t="shared" ref="A9:A33" si="0">+A8+1</f>
        <v>2</v>
      </c>
      <c r="F9" s="9"/>
      <c r="G9" s="9"/>
      <c r="H9" s="10">
        <v>2012</v>
      </c>
      <c r="I9" s="10">
        <v>2013</v>
      </c>
      <c r="J9" s="10">
        <v>2014</v>
      </c>
      <c r="K9" s="10">
        <v>2015</v>
      </c>
      <c r="L9" s="10">
        <v>2016</v>
      </c>
      <c r="M9" s="10">
        <v>2017</v>
      </c>
      <c r="N9" s="10">
        <v>2018</v>
      </c>
      <c r="O9" s="10">
        <v>2019</v>
      </c>
      <c r="R9" s="10">
        <v>2012</v>
      </c>
      <c r="S9" s="10">
        <v>2013</v>
      </c>
      <c r="T9" s="10">
        <v>2014</v>
      </c>
      <c r="U9" s="10">
        <v>2015</v>
      </c>
      <c r="V9" s="10">
        <v>2016</v>
      </c>
      <c r="W9" s="10">
        <v>2017</v>
      </c>
      <c r="X9" s="10">
        <v>2018</v>
      </c>
      <c r="Y9" s="10">
        <v>2019</v>
      </c>
    </row>
    <row r="10" spans="1:25" x14ac:dyDescent="0.25">
      <c r="A10" s="8">
        <f t="shared" si="0"/>
        <v>3</v>
      </c>
      <c r="B10" s="11"/>
      <c r="C10" s="11"/>
      <c r="D10" s="9"/>
      <c r="E10" s="9"/>
      <c r="F10" s="11" t="s">
        <v>11</v>
      </c>
      <c r="G10" s="9"/>
      <c r="H10" s="9" t="s">
        <v>12</v>
      </c>
      <c r="I10" s="9" t="s">
        <v>12</v>
      </c>
      <c r="J10" s="9" t="s">
        <v>12</v>
      </c>
      <c r="K10" s="9" t="s">
        <v>12</v>
      </c>
      <c r="L10" s="9" t="s">
        <v>12</v>
      </c>
      <c r="M10" s="9" t="s">
        <v>12</v>
      </c>
      <c r="N10" s="9" t="s">
        <v>12</v>
      </c>
      <c r="O10" s="9" t="s">
        <v>12</v>
      </c>
      <c r="P10" s="9" t="s">
        <v>13</v>
      </c>
      <c r="Q10" s="9"/>
      <c r="R10" s="9" t="s">
        <v>12</v>
      </c>
      <c r="S10" s="9" t="s">
        <v>12</v>
      </c>
      <c r="T10" s="9" t="s">
        <v>12</v>
      </c>
      <c r="U10" s="9" t="s">
        <v>12</v>
      </c>
      <c r="V10" s="9" t="s">
        <v>12</v>
      </c>
      <c r="W10" s="9" t="s">
        <v>12</v>
      </c>
      <c r="X10" s="9" t="s">
        <v>12</v>
      </c>
      <c r="Y10" s="9" t="s">
        <v>12</v>
      </c>
    </row>
    <row r="11" spans="1:25" x14ac:dyDescent="0.25">
      <c r="A11" s="8">
        <f t="shared" si="0"/>
        <v>4</v>
      </c>
      <c r="B11" s="12" t="s">
        <v>14</v>
      </c>
      <c r="C11" s="12" t="s">
        <v>15</v>
      </c>
      <c r="D11" s="13" t="s">
        <v>16</v>
      </c>
      <c r="E11" s="13" t="s">
        <v>17</v>
      </c>
      <c r="F11" s="12" t="s">
        <v>18</v>
      </c>
      <c r="G11" s="13" t="s">
        <v>11</v>
      </c>
      <c r="H11" s="13" t="s">
        <v>11</v>
      </c>
      <c r="I11" s="13" t="s">
        <v>11</v>
      </c>
      <c r="J11" s="13" t="s">
        <v>11</v>
      </c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19</v>
      </c>
      <c r="Q11" s="13" t="s">
        <v>20</v>
      </c>
      <c r="R11" s="13" t="s">
        <v>20</v>
      </c>
      <c r="S11" s="13" t="s">
        <v>20</v>
      </c>
      <c r="T11" s="13" t="s">
        <v>20</v>
      </c>
      <c r="U11" s="13" t="s">
        <v>20</v>
      </c>
      <c r="V11" s="13" t="s">
        <v>20</v>
      </c>
      <c r="W11" s="13" t="s">
        <v>20</v>
      </c>
      <c r="X11" s="13" t="s">
        <v>20</v>
      </c>
      <c r="Y11" s="13" t="s">
        <v>20</v>
      </c>
    </row>
    <row r="12" spans="1:25" x14ac:dyDescent="0.25">
      <c r="A12" s="8">
        <f t="shared" si="0"/>
        <v>5</v>
      </c>
      <c r="B12" s="11" t="s">
        <v>21</v>
      </c>
      <c r="C12" s="11" t="s">
        <v>22</v>
      </c>
      <c r="D12" s="9" t="s">
        <v>23</v>
      </c>
      <c r="E12" s="9" t="s">
        <v>24</v>
      </c>
      <c r="F12" s="11" t="s">
        <v>25</v>
      </c>
      <c r="G12" s="9" t="s">
        <v>26</v>
      </c>
      <c r="H12" s="11" t="s">
        <v>27</v>
      </c>
      <c r="I12" s="11" t="s">
        <v>28</v>
      </c>
      <c r="J12" s="11" t="s">
        <v>29</v>
      </c>
      <c r="K12" s="11" t="s">
        <v>30</v>
      </c>
      <c r="L12" s="9" t="s">
        <v>56</v>
      </c>
      <c r="M12" s="9" t="s">
        <v>57</v>
      </c>
      <c r="N12" s="9" t="s">
        <v>58</v>
      </c>
      <c r="O12" s="9" t="s">
        <v>59</v>
      </c>
      <c r="P12" s="9" t="s">
        <v>31</v>
      </c>
      <c r="Q12" s="9" t="s">
        <v>32</v>
      </c>
      <c r="R12" s="9" t="s">
        <v>33</v>
      </c>
      <c r="S12" s="11" t="s">
        <v>34</v>
      </c>
      <c r="T12" s="9" t="s">
        <v>35</v>
      </c>
      <c r="U12" s="11" t="s">
        <v>36</v>
      </c>
      <c r="V12" s="11" t="s">
        <v>52</v>
      </c>
      <c r="W12" s="11" t="s">
        <v>53</v>
      </c>
      <c r="X12" s="9" t="s">
        <v>54</v>
      </c>
      <c r="Y12" s="9" t="s">
        <v>55</v>
      </c>
    </row>
    <row r="13" spans="1:25" hidden="1" outlineLevel="1" x14ac:dyDescent="0.25">
      <c r="A13" s="8">
        <f t="shared" si="0"/>
        <v>6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5" hidden="1" outlineLevel="1" x14ac:dyDescent="0.25">
      <c r="A14" s="8">
        <f t="shared" si="0"/>
        <v>7</v>
      </c>
      <c r="B14" s="14"/>
    </row>
    <row r="15" spans="1:25" hidden="1" outlineLevel="1" x14ac:dyDescent="0.25">
      <c r="A15" s="8">
        <f t="shared" si="0"/>
        <v>8</v>
      </c>
      <c r="B15" s="2">
        <v>40909</v>
      </c>
      <c r="D15" s="19">
        <v>922.56</v>
      </c>
      <c r="E15" s="28"/>
      <c r="F15" s="25">
        <v>3.2500000000000001E-2</v>
      </c>
      <c r="G15" s="18">
        <f>ROUND((E15+(D15/2))*F15/12,2)</f>
        <v>1.25</v>
      </c>
      <c r="H15" s="18">
        <f>+G15</f>
        <v>1.25</v>
      </c>
      <c r="I15" s="18"/>
      <c r="J15" s="18"/>
      <c r="K15" s="18"/>
      <c r="L15" s="18"/>
      <c r="M15" s="18"/>
      <c r="N15" s="18"/>
      <c r="O15" s="18"/>
      <c r="P15" s="15">
        <f t="shared" ref="P15:P46" si="1">SUM(D15:G15)</f>
        <v>923.84249999999997</v>
      </c>
      <c r="Q15" s="18">
        <f>P15</f>
        <v>923.84249999999997</v>
      </c>
      <c r="R15" s="28">
        <f>+Q15</f>
        <v>923.84249999999997</v>
      </c>
    </row>
    <row r="16" spans="1:25" hidden="1" outlineLevel="1" x14ac:dyDescent="0.25">
      <c r="A16" s="8">
        <f t="shared" si="0"/>
        <v>9</v>
      </c>
      <c r="B16" s="2">
        <v>40940</v>
      </c>
      <c r="D16" s="19">
        <v>1153.2</v>
      </c>
      <c r="E16" s="28"/>
      <c r="F16" s="25">
        <v>3.2500000000000001E-2</v>
      </c>
      <c r="G16" s="18">
        <f t="shared" ref="G16:G47" si="2">ROUND((+Q15+E16+(D16/2))*F16/12,2)</f>
        <v>4.0599999999999996</v>
      </c>
      <c r="H16" s="18">
        <f t="shared" ref="H16:H26" si="3">+G16</f>
        <v>4.0599999999999996</v>
      </c>
      <c r="I16" s="18"/>
      <c r="J16" s="18"/>
      <c r="K16" s="18"/>
      <c r="L16" s="18"/>
      <c r="M16" s="18"/>
      <c r="N16" s="18"/>
      <c r="O16" s="18"/>
      <c r="P16" s="15">
        <f t="shared" si="1"/>
        <v>1157.2925</v>
      </c>
      <c r="Q16" s="18">
        <f t="shared" ref="Q16:Q40" si="4">+Q15+P16</f>
        <v>2081.1350000000002</v>
      </c>
      <c r="R16" s="28">
        <f t="shared" ref="R16:R26" si="5">+Q16</f>
        <v>2081.1350000000002</v>
      </c>
    </row>
    <row r="17" spans="1:19" hidden="1" outlineLevel="1" x14ac:dyDescent="0.25">
      <c r="A17" s="8">
        <f t="shared" si="0"/>
        <v>10</v>
      </c>
      <c r="B17" s="2">
        <v>40969</v>
      </c>
      <c r="D17" s="19">
        <v>739.74</v>
      </c>
      <c r="E17" s="28"/>
      <c r="F17" s="25">
        <v>3.2500000000000001E-2</v>
      </c>
      <c r="G17" s="18">
        <f t="shared" si="2"/>
        <v>6.64</v>
      </c>
      <c r="H17" s="18">
        <f t="shared" si="3"/>
        <v>6.64</v>
      </c>
      <c r="I17" s="18"/>
      <c r="J17" s="18"/>
      <c r="K17" s="18"/>
      <c r="L17" s="18"/>
      <c r="M17" s="18"/>
      <c r="N17" s="18"/>
      <c r="O17" s="18"/>
      <c r="P17" s="15">
        <f t="shared" si="1"/>
        <v>746.41250000000002</v>
      </c>
      <c r="Q17" s="18">
        <f t="shared" si="4"/>
        <v>2827.5475000000001</v>
      </c>
      <c r="R17" s="28">
        <f t="shared" si="5"/>
        <v>2827.5475000000001</v>
      </c>
    </row>
    <row r="18" spans="1:19" hidden="1" outlineLevel="1" x14ac:dyDescent="0.25">
      <c r="A18" s="8">
        <f t="shared" si="0"/>
        <v>11</v>
      </c>
      <c r="B18" s="2">
        <v>41000</v>
      </c>
      <c r="D18" s="19">
        <v>986.32</v>
      </c>
      <c r="E18" s="28"/>
      <c r="F18" s="25">
        <v>3.2500000000000001E-2</v>
      </c>
      <c r="G18" s="18">
        <f t="shared" si="2"/>
        <v>8.99</v>
      </c>
      <c r="H18" s="18">
        <f t="shared" si="3"/>
        <v>8.99</v>
      </c>
      <c r="I18" s="18"/>
      <c r="J18" s="18"/>
      <c r="K18" s="18"/>
      <c r="L18" s="18"/>
      <c r="M18" s="18"/>
      <c r="N18" s="18"/>
      <c r="O18" s="18"/>
      <c r="P18" s="15">
        <f t="shared" si="1"/>
        <v>995.34250000000009</v>
      </c>
      <c r="Q18" s="18">
        <f t="shared" si="4"/>
        <v>3822.8900000000003</v>
      </c>
      <c r="R18" s="28">
        <f t="shared" si="5"/>
        <v>3822.8900000000003</v>
      </c>
    </row>
    <row r="19" spans="1:19" hidden="1" outlineLevel="1" x14ac:dyDescent="0.25">
      <c r="A19" s="8">
        <f t="shared" si="0"/>
        <v>12</v>
      </c>
      <c r="B19" s="2">
        <v>41030</v>
      </c>
      <c r="D19" s="19">
        <v>1232.9000000000001</v>
      </c>
      <c r="E19" s="28"/>
      <c r="F19" s="25">
        <v>3.2500000000000001E-2</v>
      </c>
      <c r="G19" s="18">
        <f t="shared" si="2"/>
        <v>12.02</v>
      </c>
      <c r="H19" s="18">
        <f t="shared" si="3"/>
        <v>12.02</v>
      </c>
      <c r="I19" s="18"/>
      <c r="J19" s="18"/>
      <c r="K19" s="18"/>
      <c r="L19" s="18"/>
      <c r="M19" s="18"/>
      <c r="N19" s="18"/>
      <c r="O19" s="18"/>
      <c r="P19" s="15">
        <f t="shared" si="1"/>
        <v>1244.9525000000001</v>
      </c>
      <c r="Q19" s="18">
        <f t="shared" si="4"/>
        <v>5067.8425000000007</v>
      </c>
      <c r="R19" s="28">
        <f t="shared" si="5"/>
        <v>5067.8425000000007</v>
      </c>
    </row>
    <row r="20" spans="1:19" hidden="1" outlineLevel="1" x14ac:dyDescent="0.25">
      <c r="A20" s="8">
        <f t="shared" si="0"/>
        <v>13</v>
      </c>
      <c r="B20" s="2">
        <v>41061</v>
      </c>
      <c r="D20" s="19">
        <v>986.32</v>
      </c>
      <c r="E20" s="28"/>
      <c r="F20" s="25">
        <v>3.2500000000000001E-2</v>
      </c>
      <c r="G20" s="18">
        <f t="shared" si="2"/>
        <v>15.06</v>
      </c>
      <c r="H20" s="18">
        <f t="shared" si="3"/>
        <v>15.06</v>
      </c>
      <c r="I20" s="18"/>
      <c r="J20" s="18"/>
      <c r="K20" s="18"/>
      <c r="L20" s="18"/>
      <c r="M20" s="18"/>
      <c r="N20" s="18"/>
      <c r="O20" s="18"/>
      <c r="P20" s="15">
        <f t="shared" si="1"/>
        <v>1001.4125</v>
      </c>
      <c r="Q20" s="18">
        <f t="shared" si="4"/>
        <v>6069.255000000001</v>
      </c>
      <c r="R20" s="28">
        <f t="shared" si="5"/>
        <v>6069.255000000001</v>
      </c>
    </row>
    <row r="21" spans="1:19" hidden="1" outlineLevel="1" x14ac:dyDescent="0.25">
      <c r="A21" s="8">
        <f t="shared" si="0"/>
        <v>14</v>
      </c>
      <c r="B21" s="2">
        <v>41091</v>
      </c>
      <c r="D21" s="19">
        <v>986.32</v>
      </c>
      <c r="E21" s="28"/>
      <c r="F21" s="25">
        <v>3.2500000000000001E-2</v>
      </c>
      <c r="G21" s="18">
        <f t="shared" si="2"/>
        <v>17.77</v>
      </c>
      <c r="H21" s="18">
        <f t="shared" si="3"/>
        <v>17.77</v>
      </c>
      <c r="I21" s="18"/>
      <c r="J21" s="18"/>
      <c r="K21" s="18"/>
      <c r="L21" s="18"/>
      <c r="M21" s="18"/>
      <c r="N21" s="18"/>
      <c r="O21" s="18"/>
      <c r="P21" s="15">
        <f t="shared" si="1"/>
        <v>1004.1225000000001</v>
      </c>
      <c r="Q21" s="18">
        <f t="shared" si="4"/>
        <v>7073.3775000000014</v>
      </c>
      <c r="R21" s="28">
        <f t="shared" si="5"/>
        <v>7073.3775000000014</v>
      </c>
    </row>
    <row r="22" spans="1:19" hidden="1" outlineLevel="1" x14ac:dyDescent="0.25">
      <c r="A22" s="8">
        <f t="shared" si="0"/>
        <v>15</v>
      </c>
      <c r="B22" s="2">
        <v>41122</v>
      </c>
      <c r="D22" s="32">
        <v>986.32</v>
      </c>
      <c r="E22" s="28"/>
      <c r="F22" s="25">
        <v>3.2500000000000001E-2</v>
      </c>
      <c r="G22" s="18">
        <f t="shared" si="2"/>
        <v>20.49</v>
      </c>
      <c r="H22" s="18">
        <f t="shared" si="3"/>
        <v>20.49</v>
      </c>
      <c r="I22" s="18"/>
      <c r="J22" s="18"/>
      <c r="K22" s="18"/>
      <c r="L22" s="18"/>
      <c r="M22" s="18"/>
      <c r="N22" s="18"/>
      <c r="O22" s="18"/>
      <c r="P22" s="15">
        <f t="shared" si="1"/>
        <v>1006.8425000000001</v>
      </c>
      <c r="Q22" s="18">
        <f t="shared" si="4"/>
        <v>8080.2200000000012</v>
      </c>
      <c r="R22" s="28">
        <f t="shared" si="5"/>
        <v>8080.2200000000012</v>
      </c>
    </row>
    <row r="23" spans="1:19" hidden="1" outlineLevel="1" x14ac:dyDescent="0.25">
      <c r="A23" s="8">
        <f t="shared" si="0"/>
        <v>16</v>
      </c>
      <c r="B23" s="2">
        <v>41153</v>
      </c>
      <c r="D23" s="32">
        <v>739.74</v>
      </c>
      <c r="E23" s="28"/>
      <c r="F23" s="25">
        <v>3.2500000000000001E-2</v>
      </c>
      <c r="G23" s="18">
        <f t="shared" si="2"/>
        <v>22.89</v>
      </c>
      <c r="H23" s="18">
        <f t="shared" si="3"/>
        <v>22.89</v>
      </c>
      <c r="I23" s="18"/>
      <c r="J23" s="18"/>
      <c r="K23" s="18"/>
      <c r="L23" s="18"/>
      <c r="M23" s="18"/>
      <c r="N23" s="18"/>
      <c r="O23" s="18"/>
      <c r="P23" s="15">
        <f t="shared" si="1"/>
        <v>762.66250000000002</v>
      </c>
      <c r="Q23" s="18">
        <f t="shared" si="4"/>
        <v>8842.8825000000015</v>
      </c>
      <c r="R23" s="28">
        <f t="shared" si="5"/>
        <v>8842.8825000000015</v>
      </c>
    </row>
    <row r="24" spans="1:19" hidden="1" outlineLevel="1" x14ac:dyDescent="0.25">
      <c r="A24" s="8">
        <f t="shared" si="0"/>
        <v>17</v>
      </c>
      <c r="B24" s="2">
        <v>41183</v>
      </c>
      <c r="D24" s="33">
        <v>1232.9000000000001</v>
      </c>
      <c r="E24" s="28"/>
      <c r="F24" s="25">
        <v>3.2500000000000001E-2</v>
      </c>
      <c r="G24" s="18">
        <f t="shared" si="2"/>
        <v>25.62</v>
      </c>
      <c r="H24" s="18">
        <f t="shared" si="3"/>
        <v>25.62</v>
      </c>
      <c r="I24" s="18"/>
      <c r="J24" s="18"/>
      <c r="K24" s="18"/>
      <c r="L24" s="18"/>
      <c r="M24" s="18"/>
      <c r="N24" s="18"/>
      <c r="O24" s="18"/>
      <c r="P24" s="15">
        <f t="shared" si="1"/>
        <v>1258.5525</v>
      </c>
      <c r="Q24" s="18">
        <f t="shared" si="4"/>
        <v>10101.435000000001</v>
      </c>
      <c r="R24" s="28">
        <f t="shared" si="5"/>
        <v>10101.435000000001</v>
      </c>
    </row>
    <row r="25" spans="1:19" hidden="1" outlineLevel="1" x14ac:dyDescent="0.25">
      <c r="A25" s="8">
        <f t="shared" si="0"/>
        <v>18</v>
      </c>
      <c r="B25" s="2">
        <v>41214</v>
      </c>
      <c r="C25" s="34"/>
      <c r="D25" s="33">
        <v>986.32</v>
      </c>
      <c r="E25" s="28"/>
      <c r="F25" s="25">
        <v>3.2500000000000001E-2</v>
      </c>
      <c r="G25" s="18">
        <f t="shared" si="2"/>
        <v>28.69</v>
      </c>
      <c r="H25" s="18">
        <f t="shared" si="3"/>
        <v>28.69</v>
      </c>
      <c r="I25" s="18"/>
      <c r="J25" s="18"/>
      <c r="K25" s="18"/>
      <c r="L25" s="18"/>
      <c r="M25" s="18"/>
      <c r="N25" s="18"/>
      <c r="O25" s="18"/>
      <c r="P25" s="15">
        <f t="shared" si="1"/>
        <v>1015.0425000000001</v>
      </c>
      <c r="Q25" s="18">
        <f t="shared" si="4"/>
        <v>11116.477500000001</v>
      </c>
      <c r="R25" s="28">
        <f t="shared" si="5"/>
        <v>11116.477500000001</v>
      </c>
    </row>
    <row r="26" spans="1:19" ht="13.8" hidden="1" outlineLevel="1" thickBot="1" x14ac:dyDescent="0.3">
      <c r="A26" s="8">
        <f t="shared" si="0"/>
        <v>19</v>
      </c>
      <c r="B26" s="20">
        <v>41244</v>
      </c>
      <c r="C26" s="35"/>
      <c r="D26" s="36">
        <v>986.32</v>
      </c>
      <c r="E26" s="24"/>
      <c r="F26" s="27">
        <v>3.2500000000000001E-2</v>
      </c>
      <c r="G26" s="23">
        <f t="shared" si="2"/>
        <v>31.44</v>
      </c>
      <c r="H26" s="23">
        <f t="shared" si="3"/>
        <v>31.44</v>
      </c>
      <c r="I26" s="23"/>
      <c r="J26" s="23"/>
      <c r="K26" s="23"/>
      <c r="L26" s="23"/>
      <c r="M26" s="23"/>
      <c r="N26" s="23"/>
      <c r="O26" s="23"/>
      <c r="P26" s="22">
        <f t="shared" si="1"/>
        <v>1017.7925000000001</v>
      </c>
      <c r="Q26" s="23">
        <f t="shared" si="4"/>
        <v>12134.27</v>
      </c>
      <c r="R26" s="24">
        <f t="shared" si="5"/>
        <v>12134.27</v>
      </c>
      <c r="S26" s="20"/>
    </row>
    <row r="27" spans="1:19" hidden="1" outlineLevel="1" x14ac:dyDescent="0.25">
      <c r="A27" s="8">
        <f t="shared" si="0"/>
        <v>20</v>
      </c>
      <c r="B27" s="2">
        <v>41275</v>
      </c>
      <c r="D27" s="38">
        <v>974.52</v>
      </c>
      <c r="E27" s="28"/>
      <c r="F27" s="25">
        <v>3.2500000000000001E-2</v>
      </c>
      <c r="G27" s="18">
        <f t="shared" si="2"/>
        <v>34.18</v>
      </c>
      <c r="H27" s="18">
        <f t="shared" ref="H27:H36" si="6">ROUND(R26*F27/12,2)</f>
        <v>32.86</v>
      </c>
      <c r="I27" s="18">
        <f t="shared" ref="I27:I38" si="7">+G27-H27</f>
        <v>1.3200000000000003</v>
      </c>
      <c r="J27" s="18"/>
      <c r="K27" s="18"/>
      <c r="L27" s="18"/>
      <c r="M27" s="18"/>
      <c r="N27" s="18"/>
      <c r="O27" s="18"/>
      <c r="P27" s="15">
        <f t="shared" si="1"/>
        <v>1008.7325</v>
      </c>
      <c r="Q27" s="18">
        <f t="shared" si="4"/>
        <v>13143.002500000001</v>
      </c>
      <c r="R27" s="28">
        <f t="shared" ref="R27:R36" si="8">+R26+H27</f>
        <v>12167.130000000001</v>
      </c>
      <c r="S27" s="39">
        <f t="shared" ref="S27:S38" si="9">+Q27-R27</f>
        <v>975.87249999999949</v>
      </c>
    </row>
    <row r="28" spans="1:19" hidden="1" outlineLevel="1" x14ac:dyDescent="0.25">
      <c r="A28" s="8">
        <f t="shared" si="0"/>
        <v>21</v>
      </c>
      <c r="B28" s="2">
        <v>41306</v>
      </c>
      <c r="D28" s="38">
        <v>976.88</v>
      </c>
      <c r="E28" s="28"/>
      <c r="F28" s="25">
        <v>3.2500000000000001E-2</v>
      </c>
      <c r="G28" s="18">
        <f t="shared" si="2"/>
        <v>36.92</v>
      </c>
      <c r="H28" s="18">
        <f t="shared" si="6"/>
        <v>32.950000000000003</v>
      </c>
      <c r="I28" s="18">
        <f t="shared" si="7"/>
        <v>3.9699999999999989</v>
      </c>
      <c r="J28" s="18"/>
      <c r="K28" s="18"/>
      <c r="L28" s="18"/>
      <c r="M28" s="18"/>
      <c r="N28" s="18"/>
      <c r="O28" s="18"/>
      <c r="P28" s="15">
        <f t="shared" si="1"/>
        <v>1013.8325</v>
      </c>
      <c r="Q28" s="18">
        <f t="shared" si="4"/>
        <v>14156.835000000001</v>
      </c>
      <c r="R28" s="28">
        <f t="shared" si="8"/>
        <v>12200.080000000002</v>
      </c>
      <c r="S28" s="39">
        <f t="shared" si="9"/>
        <v>1956.7549999999992</v>
      </c>
    </row>
    <row r="29" spans="1:19" hidden="1" outlineLevel="1" x14ac:dyDescent="0.25">
      <c r="A29" s="8">
        <f t="shared" si="0"/>
        <v>22</v>
      </c>
      <c r="B29" s="2">
        <v>41334</v>
      </c>
      <c r="D29" s="40">
        <v>732.66</v>
      </c>
      <c r="E29" s="28"/>
      <c r="F29" s="25">
        <v>3.2500000000000001E-2</v>
      </c>
      <c r="G29" s="18">
        <f t="shared" si="2"/>
        <v>39.33</v>
      </c>
      <c r="H29" s="18">
        <f t="shared" si="6"/>
        <v>33.04</v>
      </c>
      <c r="I29" s="18">
        <f t="shared" si="7"/>
        <v>6.2899999999999991</v>
      </c>
      <c r="J29" s="18"/>
      <c r="K29" s="18"/>
      <c r="L29" s="18"/>
      <c r="M29" s="18"/>
      <c r="N29" s="18"/>
      <c r="O29" s="18"/>
      <c r="P29" s="15">
        <f t="shared" si="1"/>
        <v>772.02250000000004</v>
      </c>
      <c r="Q29" s="18">
        <f t="shared" si="4"/>
        <v>14928.857500000002</v>
      </c>
      <c r="R29" s="28">
        <f t="shared" si="8"/>
        <v>12233.120000000003</v>
      </c>
      <c r="S29" s="39">
        <f t="shared" si="9"/>
        <v>2695.7374999999993</v>
      </c>
    </row>
    <row r="30" spans="1:19" hidden="1" outlineLevel="1" x14ac:dyDescent="0.25">
      <c r="A30" s="8">
        <f t="shared" si="0"/>
        <v>23</v>
      </c>
      <c r="B30" s="2">
        <v>41365</v>
      </c>
      <c r="D30" s="40">
        <v>1251.3</v>
      </c>
      <c r="E30" s="28"/>
      <c r="F30" s="25">
        <v>3.2500000000000001E-2</v>
      </c>
      <c r="G30" s="18">
        <f t="shared" si="2"/>
        <v>42.13</v>
      </c>
      <c r="H30" s="18">
        <f t="shared" si="6"/>
        <v>33.130000000000003</v>
      </c>
      <c r="I30" s="18">
        <f t="shared" si="7"/>
        <v>9</v>
      </c>
      <c r="J30" s="18"/>
      <c r="K30" s="18"/>
      <c r="L30" s="18"/>
      <c r="M30" s="18"/>
      <c r="N30" s="18"/>
      <c r="O30" s="18"/>
      <c r="P30" s="15">
        <f t="shared" si="1"/>
        <v>1293.4625000000001</v>
      </c>
      <c r="Q30" s="18">
        <f t="shared" si="4"/>
        <v>16222.320000000002</v>
      </c>
      <c r="R30" s="28">
        <f t="shared" si="8"/>
        <v>12266.250000000002</v>
      </c>
      <c r="S30" s="39">
        <f t="shared" si="9"/>
        <v>3956.0699999999997</v>
      </c>
    </row>
    <row r="31" spans="1:19" hidden="1" outlineLevel="1" x14ac:dyDescent="0.25">
      <c r="A31" s="8">
        <f t="shared" si="0"/>
        <v>24</v>
      </c>
      <c r="B31" s="2">
        <v>41395</v>
      </c>
      <c r="D31" s="40">
        <v>1001.04</v>
      </c>
      <c r="E31" s="28"/>
      <c r="F31" s="25">
        <v>3.2500000000000001E-2</v>
      </c>
      <c r="G31" s="18">
        <f t="shared" si="2"/>
        <v>45.29</v>
      </c>
      <c r="H31" s="18">
        <f t="shared" si="6"/>
        <v>33.22</v>
      </c>
      <c r="I31" s="18">
        <f t="shared" si="7"/>
        <v>12.07</v>
      </c>
      <c r="J31" s="18"/>
      <c r="K31" s="18"/>
      <c r="L31" s="18"/>
      <c r="M31" s="18"/>
      <c r="N31" s="18"/>
      <c r="O31" s="18"/>
      <c r="P31" s="15">
        <f t="shared" si="1"/>
        <v>1046.3625</v>
      </c>
      <c r="Q31" s="18">
        <f t="shared" si="4"/>
        <v>17268.682500000003</v>
      </c>
      <c r="R31" s="28">
        <f t="shared" si="8"/>
        <v>12299.470000000001</v>
      </c>
      <c r="S31" s="39">
        <f t="shared" si="9"/>
        <v>4969.2125000000015</v>
      </c>
    </row>
    <row r="32" spans="1:19" hidden="1" outlineLevel="1" x14ac:dyDescent="0.25">
      <c r="A32" s="8">
        <f t="shared" si="0"/>
        <v>25</v>
      </c>
      <c r="B32" s="2">
        <v>41426</v>
      </c>
      <c r="D32" s="38">
        <v>1001.04</v>
      </c>
      <c r="E32" s="28"/>
      <c r="F32" s="25">
        <v>3.2500000000000001E-2</v>
      </c>
      <c r="G32" s="18">
        <f t="shared" si="2"/>
        <v>48.12</v>
      </c>
      <c r="H32" s="18">
        <f t="shared" si="6"/>
        <v>33.31</v>
      </c>
      <c r="I32" s="18">
        <f t="shared" si="7"/>
        <v>14.809999999999995</v>
      </c>
      <c r="J32" s="18"/>
      <c r="K32" s="18"/>
      <c r="L32" s="18"/>
      <c r="M32" s="18"/>
      <c r="N32" s="18"/>
      <c r="O32" s="18"/>
      <c r="P32" s="15">
        <f t="shared" si="1"/>
        <v>1049.1924999999999</v>
      </c>
      <c r="Q32" s="18">
        <f t="shared" si="4"/>
        <v>18317.875000000004</v>
      </c>
      <c r="R32" s="28">
        <f t="shared" si="8"/>
        <v>12332.78</v>
      </c>
      <c r="S32" s="39">
        <f t="shared" si="9"/>
        <v>5985.095000000003</v>
      </c>
    </row>
    <row r="33" spans="1:20" hidden="1" outlineLevel="1" x14ac:dyDescent="0.25">
      <c r="A33" s="8">
        <f t="shared" si="0"/>
        <v>26</v>
      </c>
      <c r="B33" s="2">
        <v>41456</v>
      </c>
      <c r="D33" s="38">
        <v>1251.3</v>
      </c>
      <c r="E33" s="28"/>
      <c r="F33" s="25">
        <v>3.2500000000000001E-2</v>
      </c>
      <c r="G33" s="18">
        <f t="shared" si="2"/>
        <v>51.31</v>
      </c>
      <c r="H33" s="18">
        <f t="shared" si="6"/>
        <v>33.4</v>
      </c>
      <c r="I33" s="18">
        <f t="shared" si="7"/>
        <v>17.910000000000004</v>
      </c>
      <c r="J33" s="18"/>
      <c r="K33" s="18"/>
      <c r="L33" s="18"/>
      <c r="M33" s="18"/>
      <c r="N33" s="18"/>
      <c r="O33" s="18"/>
      <c r="P33" s="15">
        <f t="shared" si="1"/>
        <v>1302.6424999999999</v>
      </c>
      <c r="Q33" s="18">
        <f t="shared" si="4"/>
        <v>19620.517500000002</v>
      </c>
      <c r="R33" s="28">
        <f t="shared" si="8"/>
        <v>12366.18</v>
      </c>
      <c r="S33" s="39">
        <f t="shared" si="9"/>
        <v>7254.3375000000015</v>
      </c>
    </row>
    <row r="34" spans="1:20" hidden="1" outlineLevel="1" x14ac:dyDescent="0.25">
      <c r="A34" s="8">
        <f t="shared" ref="A34:A97" si="10">+A33+1</f>
        <v>27</v>
      </c>
      <c r="B34" s="2">
        <v>41487</v>
      </c>
      <c r="D34" s="38">
        <v>500.52</v>
      </c>
      <c r="E34" s="28"/>
      <c r="F34" s="25">
        <v>3.2500000000000001E-2</v>
      </c>
      <c r="G34" s="18">
        <f t="shared" si="2"/>
        <v>53.82</v>
      </c>
      <c r="H34" s="18">
        <f t="shared" si="6"/>
        <v>33.49</v>
      </c>
      <c r="I34" s="18">
        <f t="shared" si="7"/>
        <v>20.329999999999998</v>
      </c>
      <c r="J34" s="18"/>
      <c r="K34" s="18"/>
      <c r="L34" s="18"/>
      <c r="M34" s="18"/>
      <c r="N34" s="18"/>
      <c r="O34" s="18"/>
      <c r="P34" s="15">
        <f t="shared" si="1"/>
        <v>554.37250000000006</v>
      </c>
      <c r="Q34" s="18">
        <f t="shared" si="4"/>
        <v>20174.890000000003</v>
      </c>
      <c r="R34" s="28">
        <f t="shared" si="8"/>
        <v>12399.67</v>
      </c>
      <c r="S34" s="39">
        <f t="shared" si="9"/>
        <v>7775.220000000003</v>
      </c>
    </row>
    <row r="35" spans="1:20" hidden="1" outlineLevel="1" x14ac:dyDescent="0.25">
      <c r="A35" s="8">
        <f t="shared" si="10"/>
        <v>28</v>
      </c>
      <c r="B35" s="2">
        <v>41518</v>
      </c>
      <c r="D35" s="38">
        <v>1001.04</v>
      </c>
      <c r="E35" s="28"/>
      <c r="F35" s="25">
        <v>3.2500000000000001E-2</v>
      </c>
      <c r="G35" s="18">
        <f t="shared" si="2"/>
        <v>56</v>
      </c>
      <c r="H35" s="18">
        <f t="shared" si="6"/>
        <v>33.58</v>
      </c>
      <c r="I35" s="18">
        <f t="shared" si="7"/>
        <v>22.42</v>
      </c>
      <c r="J35" s="18"/>
      <c r="K35" s="18"/>
      <c r="L35" s="18"/>
      <c r="M35" s="18"/>
      <c r="N35" s="18"/>
      <c r="O35" s="18"/>
      <c r="P35" s="15">
        <f t="shared" si="1"/>
        <v>1057.0725</v>
      </c>
      <c r="Q35" s="18">
        <f t="shared" si="4"/>
        <v>21231.962500000001</v>
      </c>
      <c r="R35" s="28">
        <f t="shared" si="8"/>
        <v>12433.25</v>
      </c>
      <c r="S35" s="39">
        <f t="shared" si="9"/>
        <v>8798.7125000000015</v>
      </c>
      <c r="T35" s="41"/>
    </row>
    <row r="36" spans="1:20" hidden="1" outlineLevel="1" x14ac:dyDescent="0.25">
      <c r="A36" s="8">
        <f t="shared" si="10"/>
        <v>29</v>
      </c>
      <c r="B36" s="2">
        <v>41548</v>
      </c>
      <c r="D36" s="38">
        <v>1001.04</v>
      </c>
      <c r="E36" s="28"/>
      <c r="F36" s="25">
        <v>3.2500000000000001E-2</v>
      </c>
      <c r="G36" s="18">
        <f t="shared" si="2"/>
        <v>58.86</v>
      </c>
      <c r="H36" s="18">
        <f t="shared" si="6"/>
        <v>33.67</v>
      </c>
      <c r="I36" s="18">
        <f t="shared" si="7"/>
        <v>25.189999999999998</v>
      </c>
      <c r="J36" s="18"/>
      <c r="K36" s="18"/>
      <c r="L36" s="18"/>
      <c r="M36" s="18"/>
      <c r="N36" s="18"/>
      <c r="O36" s="18"/>
      <c r="P36" s="15">
        <f t="shared" si="1"/>
        <v>1059.9324999999999</v>
      </c>
      <c r="Q36" s="18">
        <f t="shared" si="4"/>
        <v>22291.895</v>
      </c>
      <c r="R36" s="42">
        <f t="shared" si="8"/>
        <v>12466.92</v>
      </c>
      <c r="S36" s="39">
        <f t="shared" si="9"/>
        <v>9824.9750000000004</v>
      </c>
      <c r="T36" s="41"/>
    </row>
    <row r="37" spans="1:20" hidden="1" outlineLevel="1" x14ac:dyDescent="0.25">
      <c r="A37" s="8">
        <f t="shared" si="10"/>
        <v>30</v>
      </c>
      <c r="B37" s="2">
        <v>41579</v>
      </c>
      <c r="C37" s="34">
        <v>1</v>
      </c>
      <c r="D37" s="38">
        <v>500.52</v>
      </c>
      <c r="E37" s="28">
        <f>-R36</f>
        <v>-12466.92</v>
      </c>
      <c r="F37" s="25">
        <v>3.2500000000000001E-2</v>
      </c>
      <c r="G37" s="18">
        <f t="shared" si="2"/>
        <v>27.29</v>
      </c>
      <c r="H37" s="18"/>
      <c r="I37" s="18">
        <f t="shared" si="7"/>
        <v>27.29</v>
      </c>
      <c r="J37" s="18"/>
      <c r="K37" s="18"/>
      <c r="L37" s="18"/>
      <c r="M37" s="18"/>
      <c r="N37" s="18"/>
      <c r="O37" s="18"/>
      <c r="P37" s="15">
        <f t="shared" si="1"/>
        <v>-11939.077499999999</v>
      </c>
      <c r="Q37" s="18">
        <f t="shared" si="4"/>
        <v>10352.817500000001</v>
      </c>
      <c r="R37" s="42"/>
      <c r="S37" s="39">
        <f t="shared" si="9"/>
        <v>10352.817500000001</v>
      </c>
      <c r="T37" s="41"/>
    </row>
    <row r="38" spans="1:20" ht="13.8" hidden="1" outlineLevel="1" thickBot="1" x14ac:dyDescent="0.3">
      <c r="A38" s="8">
        <f t="shared" si="10"/>
        <v>31</v>
      </c>
      <c r="B38" s="20">
        <v>41609</v>
      </c>
      <c r="C38" s="20"/>
      <c r="D38" s="43">
        <v>1001.04</v>
      </c>
      <c r="E38" s="24"/>
      <c r="F38" s="27">
        <v>3.2500000000000001E-2</v>
      </c>
      <c r="G38" s="23">
        <f t="shared" si="2"/>
        <v>29.39</v>
      </c>
      <c r="H38" s="23"/>
      <c r="I38" s="23">
        <f t="shared" si="7"/>
        <v>29.39</v>
      </c>
      <c r="J38" s="23"/>
      <c r="K38" s="23"/>
      <c r="L38" s="23"/>
      <c r="M38" s="23"/>
      <c r="N38" s="23"/>
      <c r="O38" s="23"/>
      <c r="P38" s="22">
        <f t="shared" si="1"/>
        <v>1030.4625000000001</v>
      </c>
      <c r="Q38" s="23">
        <f t="shared" si="4"/>
        <v>11383.28</v>
      </c>
      <c r="R38" s="44"/>
      <c r="S38" s="45">
        <f t="shared" si="9"/>
        <v>11383.28</v>
      </c>
      <c r="T38" s="46"/>
    </row>
    <row r="39" spans="1:20" hidden="1" outlineLevel="1" x14ac:dyDescent="0.25">
      <c r="A39" s="8">
        <f t="shared" si="10"/>
        <v>32</v>
      </c>
      <c r="B39" s="2">
        <v>41640</v>
      </c>
      <c r="D39" s="38">
        <v>947.84</v>
      </c>
      <c r="E39" s="28"/>
      <c r="F39" s="25">
        <v>3.2500000000000001E-2</v>
      </c>
      <c r="G39" s="18">
        <f t="shared" si="2"/>
        <v>32.11</v>
      </c>
      <c r="H39" s="18"/>
      <c r="I39" s="18">
        <f t="shared" ref="I39:I48" si="11">ROUND(S38*F39/12,2)</f>
        <v>30.83</v>
      </c>
      <c r="J39" s="18">
        <f t="shared" ref="J39:J50" si="12">+G39-I39</f>
        <v>1.2800000000000011</v>
      </c>
      <c r="K39" s="18"/>
      <c r="L39" s="18"/>
      <c r="M39" s="18"/>
      <c r="N39" s="18"/>
      <c r="O39" s="18"/>
      <c r="P39" s="15">
        <f t="shared" si="1"/>
        <v>979.98250000000007</v>
      </c>
      <c r="Q39" s="18">
        <f t="shared" si="4"/>
        <v>12363.262500000001</v>
      </c>
      <c r="R39" s="42"/>
      <c r="S39" s="28">
        <f t="shared" ref="S39:S48" si="13">+S38+I39</f>
        <v>11414.11</v>
      </c>
      <c r="T39" s="39">
        <f t="shared" ref="T39:T50" si="14">+Q39-S39</f>
        <v>949.15250000000015</v>
      </c>
    </row>
    <row r="40" spans="1:20" hidden="1" outlineLevel="1" x14ac:dyDescent="0.25">
      <c r="A40" s="8">
        <f t="shared" si="10"/>
        <v>33</v>
      </c>
      <c r="B40" s="2">
        <v>41671</v>
      </c>
      <c r="D40" s="38">
        <v>947.84</v>
      </c>
      <c r="E40" s="28"/>
      <c r="F40" s="25">
        <v>3.2500000000000001E-2</v>
      </c>
      <c r="G40" s="18">
        <f t="shared" si="2"/>
        <v>34.770000000000003</v>
      </c>
      <c r="H40" s="18"/>
      <c r="I40" s="18">
        <f t="shared" si="11"/>
        <v>30.91</v>
      </c>
      <c r="J40" s="18">
        <f t="shared" si="12"/>
        <v>3.860000000000003</v>
      </c>
      <c r="K40" s="18"/>
      <c r="L40" s="18"/>
      <c r="M40" s="18"/>
      <c r="N40" s="18"/>
      <c r="O40" s="18"/>
      <c r="P40" s="15">
        <f t="shared" si="1"/>
        <v>982.64250000000004</v>
      </c>
      <c r="Q40" s="18">
        <f t="shared" si="4"/>
        <v>13345.905000000001</v>
      </c>
      <c r="R40" s="42"/>
      <c r="S40" s="28">
        <f t="shared" si="13"/>
        <v>11445.02</v>
      </c>
      <c r="T40" s="39">
        <f t="shared" si="14"/>
        <v>1900.8850000000002</v>
      </c>
    </row>
    <row r="41" spans="1:20" hidden="1" outlineLevel="1" x14ac:dyDescent="0.25">
      <c r="A41" s="8">
        <f t="shared" si="10"/>
        <v>34</v>
      </c>
      <c r="B41" s="2">
        <v>41699</v>
      </c>
      <c r="D41" s="38">
        <v>718.62</v>
      </c>
      <c r="E41" s="28"/>
      <c r="F41" s="25">
        <v>3.2500000000000001E-2</v>
      </c>
      <c r="G41" s="18">
        <f t="shared" si="2"/>
        <v>37.119999999999997</v>
      </c>
      <c r="H41" s="18"/>
      <c r="I41" s="18">
        <f t="shared" si="11"/>
        <v>31</v>
      </c>
      <c r="J41" s="18">
        <f t="shared" si="12"/>
        <v>6.1199999999999974</v>
      </c>
      <c r="K41" s="18"/>
      <c r="L41" s="18"/>
      <c r="M41" s="18"/>
      <c r="N41" s="18"/>
      <c r="O41" s="18"/>
      <c r="P41" s="15">
        <f t="shared" si="1"/>
        <v>755.77250000000004</v>
      </c>
      <c r="Q41" s="18">
        <f t="shared" ref="Q41:Q57" si="15">+Q40+P41</f>
        <v>14101.677500000002</v>
      </c>
      <c r="R41" s="42"/>
      <c r="S41" s="28">
        <f t="shared" si="13"/>
        <v>11476.02</v>
      </c>
      <c r="T41" s="39">
        <f t="shared" si="14"/>
        <v>2625.6575000000012</v>
      </c>
    </row>
    <row r="42" spans="1:20" hidden="1" outlineLevel="1" x14ac:dyDescent="0.25">
      <c r="A42" s="8">
        <f t="shared" si="10"/>
        <v>35</v>
      </c>
      <c r="B42" s="2">
        <v>41730</v>
      </c>
      <c r="D42" s="38">
        <v>958.16</v>
      </c>
      <c r="E42" s="28"/>
      <c r="F42" s="25">
        <v>3.2500000000000001E-2</v>
      </c>
      <c r="G42" s="18">
        <f t="shared" si="2"/>
        <v>39.49</v>
      </c>
      <c r="H42" s="18"/>
      <c r="I42" s="18">
        <f t="shared" si="11"/>
        <v>31.08</v>
      </c>
      <c r="J42" s="18">
        <f t="shared" si="12"/>
        <v>8.4100000000000037</v>
      </c>
      <c r="K42" s="18"/>
      <c r="L42" s="18"/>
      <c r="M42" s="18"/>
      <c r="N42" s="18"/>
      <c r="O42" s="18"/>
      <c r="P42" s="15">
        <f t="shared" si="1"/>
        <v>997.6825</v>
      </c>
      <c r="Q42" s="18">
        <f t="shared" si="15"/>
        <v>15099.360000000002</v>
      </c>
      <c r="R42" s="42"/>
      <c r="S42" s="28">
        <f t="shared" si="13"/>
        <v>11507.1</v>
      </c>
      <c r="T42" s="39">
        <f t="shared" si="14"/>
        <v>3592.260000000002</v>
      </c>
    </row>
    <row r="43" spans="1:20" hidden="1" outlineLevel="1" x14ac:dyDescent="0.25">
      <c r="A43" s="8">
        <f t="shared" si="10"/>
        <v>36</v>
      </c>
      <c r="B43" s="2">
        <v>41760</v>
      </c>
      <c r="D43" s="38">
        <v>479.08</v>
      </c>
      <c r="E43" s="28"/>
      <c r="F43" s="25">
        <v>3.2500000000000001E-2</v>
      </c>
      <c r="G43" s="18">
        <f t="shared" si="2"/>
        <v>41.54</v>
      </c>
      <c r="H43" s="18"/>
      <c r="I43" s="18">
        <f t="shared" si="11"/>
        <v>31.17</v>
      </c>
      <c r="J43" s="18">
        <f t="shared" si="12"/>
        <v>10.369999999999997</v>
      </c>
      <c r="K43" s="18"/>
      <c r="L43" s="18"/>
      <c r="M43" s="18"/>
      <c r="N43" s="18"/>
      <c r="O43" s="18"/>
      <c r="P43" s="15">
        <f t="shared" si="1"/>
        <v>520.65250000000003</v>
      </c>
      <c r="Q43" s="18">
        <f t="shared" si="15"/>
        <v>15620.012500000003</v>
      </c>
      <c r="R43" s="42"/>
      <c r="S43" s="28">
        <f t="shared" si="13"/>
        <v>11538.27</v>
      </c>
      <c r="T43" s="39">
        <f t="shared" si="14"/>
        <v>4081.7425000000021</v>
      </c>
    </row>
    <row r="44" spans="1:20" hidden="1" outlineLevel="1" x14ac:dyDescent="0.25">
      <c r="A44" s="8">
        <f t="shared" si="10"/>
        <v>37</v>
      </c>
      <c r="B44" s="2">
        <v>41791</v>
      </c>
      <c r="D44" s="38">
        <v>958.16</v>
      </c>
      <c r="E44" s="28"/>
      <c r="F44" s="25">
        <v>3.2500000000000001E-2</v>
      </c>
      <c r="G44" s="18">
        <f t="shared" si="2"/>
        <v>43.6</v>
      </c>
      <c r="H44" s="18"/>
      <c r="I44" s="18">
        <f t="shared" si="11"/>
        <v>31.25</v>
      </c>
      <c r="J44" s="18">
        <f t="shared" si="12"/>
        <v>12.350000000000001</v>
      </c>
      <c r="K44" s="18"/>
      <c r="L44" s="18"/>
      <c r="M44" s="18"/>
      <c r="N44" s="18"/>
      <c r="O44" s="18"/>
      <c r="P44" s="15">
        <f t="shared" si="1"/>
        <v>1001.7925</v>
      </c>
      <c r="Q44" s="18">
        <f t="shared" si="15"/>
        <v>16621.805000000004</v>
      </c>
      <c r="R44" s="42"/>
      <c r="S44" s="28">
        <f t="shared" si="13"/>
        <v>11569.52</v>
      </c>
      <c r="T44" s="39">
        <f t="shared" si="14"/>
        <v>5052.2850000000035</v>
      </c>
    </row>
    <row r="45" spans="1:20" hidden="1" outlineLevel="1" x14ac:dyDescent="0.25">
      <c r="A45" s="8">
        <f t="shared" si="10"/>
        <v>38</v>
      </c>
      <c r="B45" s="2">
        <v>41821</v>
      </c>
      <c r="D45" s="38">
        <v>718.62</v>
      </c>
      <c r="E45" s="28"/>
      <c r="F45" s="25">
        <v>3.2500000000000001E-2</v>
      </c>
      <c r="G45" s="18">
        <f t="shared" si="2"/>
        <v>45.99</v>
      </c>
      <c r="H45" s="18"/>
      <c r="I45" s="18">
        <f t="shared" si="11"/>
        <v>31.33</v>
      </c>
      <c r="J45" s="18">
        <f t="shared" si="12"/>
        <v>14.660000000000004</v>
      </c>
      <c r="K45" s="18"/>
      <c r="L45" s="18"/>
      <c r="M45" s="18"/>
      <c r="N45" s="18"/>
      <c r="O45" s="18"/>
      <c r="P45" s="15">
        <f t="shared" si="1"/>
        <v>764.64250000000004</v>
      </c>
      <c r="Q45" s="18">
        <f t="shared" si="15"/>
        <v>17386.447500000006</v>
      </c>
      <c r="R45" s="42"/>
      <c r="S45" s="28">
        <f t="shared" si="13"/>
        <v>11600.85</v>
      </c>
      <c r="T45" s="39">
        <f t="shared" si="14"/>
        <v>5785.5975000000053</v>
      </c>
    </row>
    <row r="46" spans="1:20" hidden="1" outlineLevel="1" x14ac:dyDescent="0.25">
      <c r="A46" s="8">
        <f t="shared" si="10"/>
        <v>39</v>
      </c>
      <c r="B46" s="2">
        <v>41852</v>
      </c>
      <c r="D46" s="38">
        <v>1197.7</v>
      </c>
      <c r="E46" s="28"/>
      <c r="F46" s="25">
        <v>3.2500000000000001E-2</v>
      </c>
      <c r="G46" s="18">
        <f t="shared" si="2"/>
        <v>48.71</v>
      </c>
      <c r="H46" s="18"/>
      <c r="I46" s="18">
        <f t="shared" si="11"/>
        <v>31.42</v>
      </c>
      <c r="J46" s="18">
        <f t="shared" si="12"/>
        <v>17.29</v>
      </c>
      <c r="K46" s="18"/>
      <c r="L46" s="18"/>
      <c r="M46" s="18"/>
      <c r="N46" s="18"/>
      <c r="O46" s="18"/>
      <c r="P46" s="15">
        <f t="shared" si="1"/>
        <v>1246.4425000000001</v>
      </c>
      <c r="Q46" s="18">
        <f t="shared" si="15"/>
        <v>18632.890000000007</v>
      </c>
      <c r="R46" s="42"/>
      <c r="S46" s="28">
        <f t="shared" si="13"/>
        <v>11632.27</v>
      </c>
      <c r="T46" s="39">
        <f t="shared" si="14"/>
        <v>7000.6200000000063</v>
      </c>
    </row>
    <row r="47" spans="1:20" hidden="1" outlineLevel="1" x14ac:dyDescent="0.25">
      <c r="A47" s="8">
        <f t="shared" si="10"/>
        <v>40</v>
      </c>
      <c r="B47" s="2">
        <v>41883</v>
      </c>
      <c r="D47" s="38">
        <v>958.16</v>
      </c>
      <c r="E47" s="28"/>
      <c r="F47" s="25">
        <v>3.2500000000000001E-2</v>
      </c>
      <c r="G47" s="18">
        <f t="shared" si="2"/>
        <v>51.76</v>
      </c>
      <c r="H47" s="18"/>
      <c r="I47" s="18">
        <f t="shared" si="11"/>
        <v>31.5</v>
      </c>
      <c r="J47" s="18">
        <f t="shared" si="12"/>
        <v>20.259999999999998</v>
      </c>
      <c r="K47" s="18"/>
      <c r="L47" s="18"/>
      <c r="M47" s="18"/>
      <c r="N47" s="18"/>
      <c r="O47" s="18"/>
      <c r="P47" s="15">
        <f t="shared" ref="P47:P72" si="16">SUM(D47:G47)</f>
        <v>1009.9525</v>
      </c>
      <c r="Q47" s="18">
        <f t="shared" si="15"/>
        <v>19642.842500000006</v>
      </c>
      <c r="R47" s="42"/>
      <c r="S47" s="28">
        <f t="shared" si="13"/>
        <v>11663.77</v>
      </c>
      <c r="T47" s="39">
        <f t="shared" si="14"/>
        <v>7979.0725000000057</v>
      </c>
    </row>
    <row r="48" spans="1:20" hidden="1" outlineLevel="1" x14ac:dyDescent="0.25">
      <c r="A48" s="8">
        <f t="shared" si="10"/>
        <v>41</v>
      </c>
      <c r="B48" s="2">
        <v>41913</v>
      </c>
      <c r="D48" s="38">
        <v>958.16</v>
      </c>
      <c r="E48" s="28"/>
      <c r="F48" s="25">
        <v>3.2500000000000001E-2</v>
      </c>
      <c r="G48" s="18">
        <f t="shared" ref="G48:G79" si="17">ROUND((+Q47+E48+(D48/2))*F48/12,2)</f>
        <v>54.5</v>
      </c>
      <c r="H48" s="18"/>
      <c r="I48" s="18">
        <f t="shared" si="11"/>
        <v>31.59</v>
      </c>
      <c r="J48" s="18">
        <f t="shared" si="12"/>
        <v>22.91</v>
      </c>
      <c r="K48" s="18"/>
      <c r="L48" s="18"/>
      <c r="M48" s="18"/>
      <c r="N48" s="18"/>
      <c r="O48" s="18"/>
      <c r="P48" s="15">
        <f t="shared" si="16"/>
        <v>1012.6925</v>
      </c>
      <c r="Q48" s="18">
        <f t="shared" si="15"/>
        <v>20655.535000000007</v>
      </c>
      <c r="R48" s="42"/>
      <c r="S48" s="28">
        <f t="shared" si="13"/>
        <v>11695.36</v>
      </c>
      <c r="T48" s="39">
        <f t="shared" si="14"/>
        <v>8960.1750000000065</v>
      </c>
    </row>
    <row r="49" spans="1:22" hidden="1" outlineLevel="1" x14ac:dyDescent="0.25">
      <c r="A49" s="8">
        <f t="shared" si="10"/>
        <v>42</v>
      </c>
      <c r="B49" s="2">
        <v>41944</v>
      </c>
      <c r="C49" s="34">
        <v>1</v>
      </c>
      <c r="D49" s="38">
        <v>479.08</v>
      </c>
      <c r="E49" s="28">
        <f>-S48</f>
        <v>-11695.36</v>
      </c>
      <c r="F49" s="25">
        <v>3.2500000000000001E-2</v>
      </c>
      <c r="G49" s="18">
        <f t="shared" si="17"/>
        <v>24.92</v>
      </c>
      <c r="H49" s="18"/>
      <c r="I49" s="18"/>
      <c r="J49" s="18">
        <f t="shared" si="12"/>
        <v>24.92</v>
      </c>
      <c r="K49" s="18"/>
      <c r="L49" s="18"/>
      <c r="M49" s="18"/>
      <c r="N49" s="18"/>
      <c r="O49" s="18"/>
      <c r="P49" s="15">
        <f t="shared" si="16"/>
        <v>-11191.327500000001</v>
      </c>
      <c r="Q49" s="29">
        <f t="shared" si="15"/>
        <v>9464.2075000000059</v>
      </c>
      <c r="R49" s="42"/>
      <c r="S49" s="39"/>
      <c r="T49" s="39">
        <f t="shared" si="14"/>
        <v>9464.2075000000059</v>
      </c>
    </row>
    <row r="50" spans="1:22" ht="13.8" hidden="1" outlineLevel="1" thickBot="1" x14ac:dyDescent="0.3">
      <c r="A50" s="8">
        <f t="shared" si="10"/>
        <v>43</v>
      </c>
      <c r="B50" s="20">
        <v>41974</v>
      </c>
      <c r="C50" s="20"/>
      <c r="D50" s="43">
        <v>0</v>
      </c>
      <c r="E50" s="24"/>
      <c r="F50" s="27">
        <v>3.2500000000000001E-2</v>
      </c>
      <c r="G50" s="23">
        <f t="shared" si="17"/>
        <v>25.63</v>
      </c>
      <c r="H50" s="23"/>
      <c r="I50" s="23"/>
      <c r="J50" s="23">
        <f t="shared" si="12"/>
        <v>25.63</v>
      </c>
      <c r="K50" s="23"/>
      <c r="L50" s="23"/>
      <c r="M50" s="23"/>
      <c r="N50" s="23"/>
      <c r="O50" s="23"/>
      <c r="P50" s="22">
        <f t="shared" si="16"/>
        <v>25.662499999999998</v>
      </c>
      <c r="Q50" s="23">
        <f t="shared" si="15"/>
        <v>9489.8700000000063</v>
      </c>
      <c r="R50" s="44"/>
      <c r="S50" s="45"/>
      <c r="T50" s="45">
        <f t="shared" si="14"/>
        <v>9489.8700000000063</v>
      </c>
      <c r="U50" s="20"/>
    </row>
    <row r="51" spans="1:22" hidden="1" outlineLevel="1" x14ac:dyDescent="0.25">
      <c r="A51" s="8">
        <f t="shared" si="10"/>
        <v>44</v>
      </c>
      <c r="B51" s="2">
        <v>42005</v>
      </c>
      <c r="D51" s="47">
        <v>299.7</v>
      </c>
      <c r="E51" s="28"/>
      <c r="F51" s="48">
        <v>3.2500000000000001E-2</v>
      </c>
      <c r="G51" s="18">
        <f t="shared" si="17"/>
        <v>26.11</v>
      </c>
      <c r="H51" s="18"/>
      <c r="I51" s="18"/>
      <c r="J51" s="18">
        <f t="shared" ref="J51:J60" si="18">ROUND(T50*F51/12,2)</f>
        <v>25.7</v>
      </c>
      <c r="K51" s="18">
        <f t="shared" ref="K51:K62" si="19">+G51-J51</f>
        <v>0.41000000000000014</v>
      </c>
      <c r="L51" s="18"/>
      <c r="M51" s="18"/>
      <c r="N51" s="18"/>
      <c r="O51" s="18"/>
      <c r="P51" s="15">
        <f t="shared" si="16"/>
        <v>325.84250000000003</v>
      </c>
      <c r="Q51" s="18">
        <f t="shared" si="15"/>
        <v>9815.7125000000069</v>
      </c>
      <c r="R51" s="28"/>
      <c r="T51" s="39">
        <f t="shared" ref="T51:T60" si="20">+T50+J51</f>
        <v>9515.570000000007</v>
      </c>
      <c r="U51" s="39">
        <f t="shared" ref="U51:U62" si="21">+Q51-T51</f>
        <v>300.14249999999993</v>
      </c>
    </row>
    <row r="52" spans="1:22" hidden="1" outlineLevel="1" x14ac:dyDescent="0.25">
      <c r="A52" s="8">
        <f t="shared" si="10"/>
        <v>45</v>
      </c>
      <c r="B52" s="2">
        <v>42036</v>
      </c>
      <c r="D52" s="47">
        <v>341.04</v>
      </c>
      <c r="E52" s="28"/>
      <c r="F52" s="48">
        <v>3.2500000000000001E-2</v>
      </c>
      <c r="G52" s="18">
        <f t="shared" si="17"/>
        <v>27.05</v>
      </c>
      <c r="H52" s="18"/>
      <c r="I52" s="18"/>
      <c r="J52" s="18">
        <f t="shared" si="18"/>
        <v>25.77</v>
      </c>
      <c r="K52" s="18">
        <f t="shared" si="19"/>
        <v>1.2800000000000011</v>
      </c>
      <c r="L52" s="18"/>
      <c r="M52" s="18"/>
      <c r="N52" s="18"/>
      <c r="O52" s="18"/>
      <c r="P52" s="15">
        <f t="shared" si="16"/>
        <v>368.12250000000006</v>
      </c>
      <c r="Q52" s="18">
        <f t="shared" si="15"/>
        <v>10183.835000000006</v>
      </c>
      <c r="R52" s="28"/>
      <c r="T52" s="39">
        <f t="shared" si="20"/>
        <v>9541.3400000000074</v>
      </c>
      <c r="U52" s="39">
        <f t="shared" si="21"/>
        <v>642.49499999999898</v>
      </c>
    </row>
    <row r="53" spans="1:22" hidden="1" outlineLevel="1" x14ac:dyDescent="0.25">
      <c r="A53" s="8">
        <f t="shared" si="10"/>
        <v>46</v>
      </c>
      <c r="B53" s="2">
        <v>42064</v>
      </c>
      <c r="D53" s="47">
        <v>160.19</v>
      </c>
      <c r="E53" s="28"/>
      <c r="F53" s="48">
        <v>3.2500000000000001E-2</v>
      </c>
      <c r="G53" s="18">
        <f t="shared" si="17"/>
        <v>27.8</v>
      </c>
      <c r="H53" s="18"/>
      <c r="I53" s="18"/>
      <c r="J53" s="18">
        <f t="shared" si="18"/>
        <v>25.84</v>
      </c>
      <c r="K53" s="18">
        <f t="shared" si="19"/>
        <v>1.9600000000000009</v>
      </c>
      <c r="L53" s="18"/>
      <c r="M53" s="18"/>
      <c r="N53" s="18"/>
      <c r="O53" s="18"/>
      <c r="P53" s="15">
        <f t="shared" si="16"/>
        <v>188.02250000000001</v>
      </c>
      <c r="Q53" s="18">
        <f t="shared" si="15"/>
        <v>10371.857500000006</v>
      </c>
      <c r="R53" s="28"/>
      <c r="T53" s="39">
        <f t="shared" si="20"/>
        <v>9567.1800000000076</v>
      </c>
      <c r="U53" s="39">
        <f t="shared" si="21"/>
        <v>804.67749999999796</v>
      </c>
    </row>
    <row r="54" spans="1:22" hidden="1" outlineLevel="1" x14ac:dyDescent="0.25">
      <c r="A54" s="8">
        <f t="shared" si="10"/>
        <v>47</v>
      </c>
      <c r="B54" s="2">
        <v>42095</v>
      </c>
      <c r="D54" s="47">
        <v>428.89</v>
      </c>
      <c r="E54" s="28"/>
      <c r="F54" s="48">
        <v>3.2500000000000001E-2</v>
      </c>
      <c r="G54" s="18">
        <f t="shared" si="17"/>
        <v>28.67</v>
      </c>
      <c r="H54" s="18"/>
      <c r="I54" s="18"/>
      <c r="J54" s="18">
        <f t="shared" si="18"/>
        <v>25.91</v>
      </c>
      <c r="K54" s="18">
        <f t="shared" si="19"/>
        <v>2.7600000000000016</v>
      </c>
      <c r="L54" s="18"/>
      <c r="M54" s="18"/>
      <c r="N54" s="18"/>
      <c r="O54" s="18"/>
      <c r="P54" s="15">
        <f t="shared" si="16"/>
        <v>457.59250000000003</v>
      </c>
      <c r="Q54" s="18">
        <f t="shared" si="15"/>
        <v>10829.450000000006</v>
      </c>
      <c r="R54" s="28"/>
      <c r="T54" s="39">
        <f t="shared" si="20"/>
        <v>9593.0900000000074</v>
      </c>
      <c r="U54" s="39">
        <f t="shared" si="21"/>
        <v>1236.3599999999988</v>
      </c>
    </row>
    <row r="55" spans="1:22" hidden="1" outlineLevel="1" x14ac:dyDescent="0.25">
      <c r="A55" s="8">
        <f t="shared" si="10"/>
        <v>48</v>
      </c>
      <c r="B55" s="2">
        <v>42125</v>
      </c>
      <c r="D55" s="47">
        <v>764.76</v>
      </c>
      <c r="E55" s="28"/>
      <c r="F55" s="48">
        <v>3.2500000000000001E-2</v>
      </c>
      <c r="G55" s="18">
        <f t="shared" si="17"/>
        <v>30.37</v>
      </c>
      <c r="H55" s="18"/>
      <c r="I55" s="18"/>
      <c r="J55" s="18">
        <f t="shared" si="18"/>
        <v>25.98</v>
      </c>
      <c r="K55" s="18">
        <f t="shared" si="19"/>
        <v>4.3900000000000006</v>
      </c>
      <c r="L55" s="18"/>
      <c r="M55" s="18"/>
      <c r="N55" s="18"/>
      <c r="O55" s="18"/>
      <c r="P55" s="15">
        <f t="shared" si="16"/>
        <v>795.16250000000002</v>
      </c>
      <c r="Q55" s="18">
        <f t="shared" si="15"/>
        <v>11624.612500000007</v>
      </c>
      <c r="R55" s="28"/>
      <c r="T55" s="39">
        <f t="shared" si="20"/>
        <v>9619.070000000007</v>
      </c>
      <c r="U55" s="39">
        <f t="shared" si="21"/>
        <v>2005.5424999999996</v>
      </c>
    </row>
    <row r="56" spans="1:22" hidden="1" outlineLevel="1" x14ac:dyDescent="0.25">
      <c r="A56" s="8">
        <f t="shared" si="10"/>
        <v>49</v>
      </c>
      <c r="B56" s="2">
        <v>42156</v>
      </c>
      <c r="D56" s="47">
        <v>986.94</v>
      </c>
      <c r="E56" s="28"/>
      <c r="F56" s="48">
        <v>3.2500000000000001E-2</v>
      </c>
      <c r="G56" s="18">
        <f t="shared" si="17"/>
        <v>32.82</v>
      </c>
      <c r="H56" s="18"/>
      <c r="I56" s="18"/>
      <c r="J56" s="18">
        <f t="shared" si="18"/>
        <v>26.05</v>
      </c>
      <c r="K56" s="18">
        <f t="shared" si="19"/>
        <v>6.77</v>
      </c>
      <c r="L56" s="18"/>
      <c r="M56" s="18"/>
      <c r="N56" s="18"/>
      <c r="O56" s="18"/>
      <c r="P56" s="15">
        <f t="shared" si="16"/>
        <v>1019.7925000000001</v>
      </c>
      <c r="Q56" s="18">
        <f t="shared" si="15"/>
        <v>12644.405000000006</v>
      </c>
      <c r="R56" s="28"/>
      <c r="T56" s="39">
        <f t="shared" si="20"/>
        <v>9645.1200000000063</v>
      </c>
      <c r="U56" s="39">
        <f t="shared" si="21"/>
        <v>2999.2849999999999</v>
      </c>
    </row>
    <row r="57" spans="1:22" hidden="1" outlineLevel="1" x14ac:dyDescent="0.25">
      <c r="A57" s="8">
        <f t="shared" si="10"/>
        <v>50</v>
      </c>
      <c r="B57" s="2">
        <v>42186</v>
      </c>
      <c r="D57" s="47">
        <v>485.73</v>
      </c>
      <c r="E57" s="28"/>
      <c r="F57" s="48">
        <v>3.2500000000000001E-2</v>
      </c>
      <c r="G57" s="18">
        <f t="shared" si="17"/>
        <v>34.9</v>
      </c>
      <c r="H57" s="18"/>
      <c r="I57" s="18"/>
      <c r="J57" s="18">
        <f t="shared" si="18"/>
        <v>26.12</v>
      </c>
      <c r="K57" s="18">
        <f t="shared" si="19"/>
        <v>8.7799999999999976</v>
      </c>
      <c r="L57" s="18"/>
      <c r="M57" s="18"/>
      <c r="N57" s="18"/>
      <c r="O57" s="18"/>
      <c r="P57" s="15">
        <f t="shared" si="16"/>
        <v>520.66250000000002</v>
      </c>
      <c r="Q57" s="29">
        <f t="shared" si="15"/>
        <v>13165.067500000006</v>
      </c>
      <c r="R57" s="28"/>
      <c r="T57" s="39">
        <f t="shared" si="20"/>
        <v>9671.2400000000071</v>
      </c>
      <c r="U57" s="39">
        <f t="shared" si="21"/>
        <v>3493.8274999999994</v>
      </c>
    </row>
    <row r="58" spans="1:22" hidden="1" outlineLevel="1" x14ac:dyDescent="0.25">
      <c r="A58" s="8">
        <f t="shared" si="10"/>
        <v>51</v>
      </c>
      <c r="B58" s="2">
        <v>42217</v>
      </c>
      <c r="C58" s="6"/>
      <c r="D58" s="47">
        <v>464.92000000000058</v>
      </c>
      <c r="E58" s="42"/>
      <c r="F58" s="49">
        <v>3.2500000000000001E-2</v>
      </c>
      <c r="G58" s="29">
        <f t="shared" si="17"/>
        <v>36.28</v>
      </c>
      <c r="H58" s="29"/>
      <c r="I58" s="29"/>
      <c r="J58" s="29">
        <f t="shared" si="18"/>
        <v>26.19</v>
      </c>
      <c r="K58" s="29">
        <f t="shared" si="19"/>
        <v>10.09</v>
      </c>
      <c r="L58" s="29"/>
      <c r="M58" s="29"/>
      <c r="N58" s="29"/>
      <c r="O58" s="29"/>
      <c r="P58" s="50">
        <f t="shared" si="16"/>
        <v>501.23250000000064</v>
      </c>
      <c r="Q58" s="29">
        <f>+Q57+P58</f>
        <v>13666.300000000007</v>
      </c>
      <c r="R58" s="42"/>
      <c r="S58" s="6"/>
      <c r="T58" s="51">
        <f t="shared" si="20"/>
        <v>9697.4300000000076</v>
      </c>
      <c r="U58" s="51">
        <f t="shared" si="21"/>
        <v>3968.869999999999</v>
      </c>
    </row>
    <row r="59" spans="1:22" hidden="1" outlineLevel="1" x14ac:dyDescent="0.25">
      <c r="A59" s="8">
        <f t="shared" si="10"/>
        <v>52</v>
      </c>
      <c r="B59" s="2">
        <v>42248</v>
      </c>
      <c r="C59" s="6"/>
      <c r="D59" s="38">
        <f>1251.19</f>
        <v>1251.19</v>
      </c>
      <c r="E59" s="42"/>
      <c r="F59" s="49">
        <v>3.2500000000000001E-2</v>
      </c>
      <c r="G59" s="29">
        <f t="shared" si="17"/>
        <v>38.71</v>
      </c>
      <c r="H59" s="29"/>
      <c r="I59" s="29"/>
      <c r="J59" s="18">
        <f t="shared" si="18"/>
        <v>26.26</v>
      </c>
      <c r="K59" s="29">
        <f t="shared" si="19"/>
        <v>12.45</v>
      </c>
      <c r="L59" s="29"/>
      <c r="M59" s="29"/>
      <c r="N59" s="29"/>
      <c r="O59" s="29"/>
      <c r="P59" s="50">
        <f t="shared" si="16"/>
        <v>1289.9325000000001</v>
      </c>
      <c r="Q59" s="29">
        <f>+Q58+P59</f>
        <v>14956.232500000007</v>
      </c>
      <c r="R59" s="42"/>
      <c r="S59" s="6"/>
      <c r="T59" s="51">
        <f t="shared" si="20"/>
        <v>9723.6900000000078</v>
      </c>
      <c r="U59" s="51">
        <f t="shared" si="21"/>
        <v>5232.5424999999996</v>
      </c>
    </row>
    <row r="60" spans="1:22" hidden="1" outlineLevel="1" x14ac:dyDescent="0.25">
      <c r="A60" s="8">
        <f t="shared" si="10"/>
        <v>53</v>
      </c>
      <c r="B60" s="2">
        <v>42278</v>
      </c>
      <c r="D60" s="38">
        <v>2591.7399999999998</v>
      </c>
      <c r="E60" s="28"/>
      <c r="F60" s="48">
        <v>3.2500000000000001E-2</v>
      </c>
      <c r="G60" s="18">
        <f t="shared" si="17"/>
        <v>44.02</v>
      </c>
      <c r="H60" s="18"/>
      <c r="I60" s="18"/>
      <c r="J60" s="18">
        <f t="shared" si="18"/>
        <v>26.33</v>
      </c>
      <c r="K60" s="18">
        <f t="shared" si="19"/>
        <v>17.690000000000005</v>
      </c>
      <c r="L60" s="18"/>
      <c r="M60" s="18"/>
      <c r="N60" s="18"/>
      <c r="O60" s="18"/>
      <c r="P60" s="15">
        <f t="shared" si="16"/>
        <v>2635.7924999999996</v>
      </c>
      <c r="Q60" s="18">
        <f>+Q59+P60</f>
        <v>17592.025000000009</v>
      </c>
      <c r="R60" s="28"/>
      <c r="T60" s="39">
        <f t="shared" si="20"/>
        <v>9750.0200000000077</v>
      </c>
      <c r="U60" s="39">
        <f t="shared" si="21"/>
        <v>7842.005000000001</v>
      </c>
    </row>
    <row r="61" spans="1:22" hidden="1" outlineLevel="1" x14ac:dyDescent="0.25">
      <c r="A61" s="8">
        <f t="shared" si="10"/>
        <v>54</v>
      </c>
      <c r="B61" s="2">
        <v>42309</v>
      </c>
      <c r="C61" s="52" t="s">
        <v>38</v>
      </c>
      <c r="D61" s="38">
        <v>223.43</v>
      </c>
      <c r="E61" s="42">
        <f>-T60</f>
        <v>-9750.0200000000077</v>
      </c>
      <c r="F61" s="49">
        <v>3.2500000000000001E-2</v>
      </c>
      <c r="G61" s="29">
        <f t="shared" si="17"/>
        <v>21.54</v>
      </c>
      <c r="H61" s="29"/>
      <c r="I61" s="29"/>
      <c r="J61" s="29"/>
      <c r="K61" s="29">
        <f t="shared" si="19"/>
        <v>21.54</v>
      </c>
      <c r="L61" s="29"/>
      <c r="M61" s="29"/>
      <c r="N61" s="29"/>
      <c r="O61" s="29"/>
      <c r="P61" s="50">
        <f t="shared" si="16"/>
        <v>-9505.0175000000072</v>
      </c>
      <c r="Q61" s="29">
        <f t="shared" ref="Q61:Q98" si="22">+Q60+P61</f>
        <v>8087.0075000000015</v>
      </c>
      <c r="R61" s="42"/>
      <c r="S61" s="6"/>
      <c r="T61" s="51"/>
      <c r="U61" s="51">
        <f t="shared" si="21"/>
        <v>8087.0075000000015</v>
      </c>
    </row>
    <row r="62" spans="1:22" ht="13.8" hidden="1" outlineLevel="1" thickBot="1" x14ac:dyDescent="0.3">
      <c r="A62" s="8">
        <f t="shared" si="10"/>
        <v>55</v>
      </c>
      <c r="B62" s="20">
        <v>42339</v>
      </c>
      <c r="C62" s="20"/>
      <c r="D62" s="43">
        <v>536.23</v>
      </c>
      <c r="E62" s="44"/>
      <c r="F62" s="53">
        <v>3.2500000000000001E-2</v>
      </c>
      <c r="G62" s="31">
        <f t="shared" si="17"/>
        <v>22.63</v>
      </c>
      <c r="H62" s="31"/>
      <c r="I62" s="31"/>
      <c r="J62" s="31"/>
      <c r="K62" s="31">
        <f t="shared" si="19"/>
        <v>22.63</v>
      </c>
      <c r="L62" s="31"/>
      <c r="M62" s="31"/>
      <c r="N62" s="31"/>
      <c r="O62" s="31"/>
      <c r="P62" s="54">
        <f t="shared" si="16"/>
        <v>558.89250000000004</v>
      </c>
      <c r="Q62" s="31">
        <f t="shared" si="22"/>
        <v>8645.9000000000015</v>
      </c>
      <c r="R62" s="44"/>
      <c r="S62" s="55"/>
      <c r="T62" s="56"/>
      <c r="U62" s="56">
        <f t="shared" si="21"/>
        <v>8645.9000000000015</v>
      </c>
      <c r="V62" s="20"/>
    </row>
    <row r="63" spans="1:22" hidden="1" outlineLevel="1" x14ac:dyDescent="0.25">
      <c r="A63" s="8">
        <f t="shared" si="10"/>
        <v>56</v>
      </c>
      <c r="B63" s="2">
        <v>42370</v>
      </c>
      <c r="C63" s="6"/>
      <c r="D63" s="38">
        <v>342.64</v>
      </c>
      <c r="E63" s="42"/>
      <c r="F63" s="49">
        <v>3.2500000000000001E-2</v>
      </c>
      <c r="G63" s="29">
        <f t="shared" si="17"/>
        <v>23.88</v>
      </c>
      <c r="H63" s="29"/>
      <c r="I63" s="29"/>
      <c r="J63" s="29"/>
      <c r="K63" s="57">
        <f t="shared" ref="K63:K72" si="23">ROUND(U62*F63/12,2)</f>
        <v>23.42</v>
      </c>
      <c r="L63" s="57">
        <f t="shared" ref="L63:L74" si="24">+G63-K63</f>
        <v>0.4599999999999973</v>
      </c>
      <c r="M63" s="57"/>
      <c r="N63" s="57"/>
      <c r="O63" s="57"/>
      <c r="P63" s="50">
        <f t="shared" si="16"/>
        <v>366.55250000000001</v>
      </c>
      <c r="Q63" s="29">
        <f t="shared" si="22"/>
        <v>9012.4525000000012</v>
      </c>
      <c r="R63" s="42"/>
      <c r="S63" s="6"/>
      <c r="T63" s="51"/>
      <c r="U63" s="51">
        <f t="shared" ref="U63:U72" si="25">+U62+K63</f>
        <v>8669.3200000000015</v>
      </c>
      <c r="V63" s="58">
        <f t="shared" ref="V63:V74" si="26">Q63-U63</f>
        <v>343.13249999999971</v>
      </c>
    </row>
    <row r="64" spans="1:22" hidden="1" outlineLevel="1" x14ac:dyDescent="0.25">
      <c r="A64" s="8">
        <f t="shared" si="10"/>
        <v>57</v>
      </c>
      <c r="B64" s="2">
        <v>42401</v>
      </c>
      <c r="D64" s="38">
        <v>813.77</v>
      </c>
      <c r="E64" s="28"/>
      <c r="F64" s="49">
        <v>3.2500000000000001E-2</v>
      </c>
      <c r="G64" s="29">
        <f t="shared" si="17"/>
        <v>25.51</v>
      </c>
      <c r="H64" s="18"/>
      <c r="I64" s="18"/>
      <c r="J64" s="29"/>
      <c r="K64" s="57">
        <f t="shared" si="23"/>
        <v>23.48</v>
      </c>
      <c r="L64" s="57">
        <f t="shared" si="24"/>
        <v>2.0300000000000011</v>
      </c>
      <c r="M64" s="57"/>
      <c r="N64" s="57"/>
      <c r="O64" s="57"/>
      <c r="P64" s="50">
        <f t="shared" si="16"/>
        <v>839.3125</v>
      </c>
      <c r="Q64" s="29">
        <f t="shared" si="22"/>
        <v>9851.7650000000012</v>
      </c>
      <c r="R64" s="42"/>
      <c r="S64" s="6"/>
      <c r="T64" s="51"/>
      <c r="U64" s="51">
        <f t="shared" si="25"/>
        <v>8692.8000000000011</v>
      </c>
      <c r="V64" s="58">
        <f t="shared" si="26"/>
        <v>1158.9650000000001</v>
      </c>
    </row>
    <row r="65" spans="1:28" hidden="1" outlineLevel="1" x14ac:dyDescent="0.25">
      <c r="A65" s="8">
        <f t="shared" si="10"/>
        <v>58</v>
      </c>
      <c r="B65" s="2">
        <v>42430</v>
      </c>
      <c r="D65" s="38">
        <v>1368.15</v>
      </c>
      <c r="E65" s="28"/>
      <c r="F65" s="49">
        <v>3.2500000000000001E-2</v>
      </c>
      <c r="G65" s="29">
        <f t="shared" si="17"/>
        <v>28.53</v>
      </c>
      <c r="H65" s="18"/>
      <c r="I65" s="18"/>
      <c r="J65" s="29"/>
      <c r="K65" s="57">
        <f t="shared" si="23"/>
        <v>23.54</v>
      </c>
      <c r="L65" s="57">
        <f t="shared" si="24"/>
        <v>4.990000000000002</v>
      </c>
      <c r="M65" s="57"/>
      <c r="N65" s="57"/>
      <c r="O65" s="57"/>
      <c r="P65" s="50">
        <f t="shared" si="16"/>
        <v>1396.7125000000001</v>
      </c>
      <c r="Q65" s="29">
        <f t="shared" si="22"/>
        <v>11248.477500000001</v>
      </c>
      <c r="R65" s="42"/>
      <c r="S65" s="6"/>
      <c r="T65" s="51"/>
      <c r="U65" s="51">
        <f t="shared" si="25"/>
        <v>8716.340000000002</v>
      </c>
      <c r="V65" s="58">
        <f t="shared" si="26"/>
        <v>2532.1374999999989</v>
      </c>
    </row>
    <row r="66" spans="1:28" hidden="1" outlineLevel="1" x14ac:dyDescent="0.25">
      <c r="A66" s="8">
        <f t="shared" si="10"/>
        <v>59</v>
      </c>
      <c r="B66" s="2">
        <v>42461</v>
      </c>
      <c r="C66" s="59"/>
      <c r="D66" s="38">
        <v>929.15</v>
      </c>
      <c r="E66" s="42"/>
      <c r="F66" s="49">
        <v>3.4602581323099416E-2</v>
      </c>
      <c r="G66" s="29">
        <f t="shared" si="17"/>
        <v>33.78</v>
      </c>
      <c r="H66" s="29"/>
      <c r="I66" s="29"/>
      <c r="J66" s="29"/>
      <c r="K66" s="57">
        <f t="shared" si="23"/>
        <v>25.13</v>
      </c>
      <c r="L66" s="57">
        <f t="shared" si="24"/>
        <v>8.6500000000000021</v>
      </c>
      <c r="M66" s="57"/>
      <c r="N66" s="57"/>
      <c r="O66" s="57"/>
      <c r="P66" s="50">
        <f t="shared" si="16"/>
        <v>962.96460258132299</v>
      </c>
      <c r="Q66" s="29">
        <f t="shared" si="22"/>
        <v>12211.442102581324</v>
      </c>
      <c r="R66" s="42"/>
      <c r="S66" s="6"/>
      <c r="T66" s="51"/>
      <c r="U66" s="51">
        <f t="shared" si="25"/>
        <v>8741.4700000000012</v>
      </c>
      <c r="V66" s="58">
        <f t="shared" si="26"/>
        <v>3469.9721025813233</v>
      </c>
    </row>
    <row r="67" spans="1:28" hidden="1" outlineLevel="1" x14ac:dyDescent="0.25">
      <c r="A67" s="8">
        <f t="shared" si="10"/>
        <v>60</v>
      </c>
      <c r="B67" s="2">
        <v>42491</v>
      </c>
      <c r="C67" s="59"/>
      <c r="D67" s="38">
        <v>1548.59</v>
      </c>
      <c r="E67" s="42"/>
      <c r="F67" s="49">
        <v>3.4602581323099416E-2</v>
      </c>
      <c r="G67" s="29">
        <f t="shared" si="17"/>
        <v>37.450000000000003</v>
      </c>
      <c r="H67" s="29"/>
      <c r="I67" s="29"/>
      <c r="J67" s="29"/>
      <c r="K67" s="57">
        <f t="shared" si="23"/>
        <v>25.21</v>
      </c>
      <c r="L67" s="57">
        <f t="shared" si="24"/>
        <v>12.240000000000002</v>
      </c>
      <c r="M67" s="57"/>
      <c r="N67" s="57"/>
      <c r="O67" s="57"/>
      <c r="P67" s="50">
        <f t="shared" si="16"/>
        <v>1586.074602581323</v>
      </c>
      <c r="Q67" s="29">
        <f t="shared" si="22"/>
        <v>13797.516705162647</v>
      </c>
      <c r="R67" s="42"/>
      <c r="S67" s="6"/>
      <c r="T67" s="51"/>
      <c r="U67" s="51">
        <f t="shared" si="25"/>
        <v>8766.68</v>
      </c>
      <c r="V67" s="58">
        <f t="shared" si="26"/>
        <v>5030.8367051626465</v>
      </c>
    </row>
    <row r="68" spans="1:28" hidden="1" outlineLevel="1" x14ac:dyDescent="0.25">
      <c r="A68" s="8">
        <f t="shared" si="10"/>
        <v>61</v>
      </c>
      <c r="B68" s="2">
        <v>42522</v>
      </c>
      <c r="C68" s="6"/>
      <c r="D68" s="38">
        <v>132.74</v>
      </c>
      <c r="E68" s="28"/>
      <c r="F68" s="49">
        <v>3.4602581323099416E-2</v>
      </c>
      <c r="G68" s="29">
        <f t="shared" si="17"/>
        <v>39.979999999999997</v>
      </c>
      <c r="H68" s="29"/>
      <c r="I68" s="29"/>
      <c r="J68" s="29"/>
      <c r="K68" s="57">
        <f t="shared" si="23"/>
        <v>25.28</v>
      </c>
      <c r="L68" s="57">
        <f t="shared" si="24"/>
        <v>14.699999999999996</v>
      </c>
      <c r="M68" s="57"/>
      <c r="N68" s="57"/>
      <c r="O68" s="57"/>
      <c r="P68" s="50">
        <f t="shared" si="16"/>
        <v>172.7546025813231</v>
      </c>
      <c r="Q68" s="29">
        <f t="shared" si="22"/>
        <v>13970.271307743969</v>
      </c>
      <c r="R68" s="42"/>
      <c r="S68" s="6"/>
      <c r="T68" s="51"/>
      <c r="U68" s="51">
        <f t="shared" si="25"/>
        <v>8791.9600000000009</v>
      </c>
      <c r="V68" s="58">
        <f t="shared" si="26"/>
        <v>5178.3113077439684</v>
      </c>
    </row>
    <row r="69" spans="1:28" hidden="1" outlineLevel="1" x14ac:dyDescent="0.25">
      <c r="A69" s="8">
        <f t="shared" si="10"/>
        <v>62</v>
      </c>
      <c r="B69" s="2">
        <v>42552</v>
      </c>
      <c r="D69" s="38">
        <v>442.46</v>
      </c>
      <c r="E69" s="28"/>
      <c r="F69" s="49">
        <v>3.5000000000000003E-2</v>
      </c>
      <c r="G69" s="29">
        <f t="shared" si="17"/>
        <v>41.39</v>
      </c>
      <c r="H69" s="29"/>
      <c r="I69" s="29"/>
      <c r="J69" s="29"/>
      <c r="K69" s="57">
        <f t="shared" si="23"/>
        <v>25.64</v>
      </c>
      <c r="L69" s="57">
        <f t="shared" si="24"/>
        <v>15.75</v>
      </c>
      <c r="M69" s="57"/>
      <c r="N69" s="57"/>
      <c r="O69" s="57"/>
      <c r="P69" s="50">
        <f t="shared" si="16"/>
        <v>483.88499999999999</v>
      </c>
      <c r="Q69" s="29">
        <f t="shared" si="22"/>
        <v>14454.15630774397</v>
      </c>
      <c r="R69" s="42"/>
      <c r="S69" s="6"/>
      <c r="T69" s="51"/>
      <c r="U69" s="51">
        <f t="shared" si="25"/>
        <v>8817.6</v>
      </c>
      <c r="V69" s="58">
        <f t="shared" si="26"/>
        <v>5636.5563077439692</v>
      </c>
    </row>
    <row r="70" spans="1:28" hidden="1" outlineLevel="1" x14ac:dyDescent="0.25">
      <c r="A70" s="8">
        <f t="shared" si="10"/>
        <v>63</v>
      </c>
      <c r="B70" s="2">
        <v>42583</v>
      </c>
      <c r="D70" s="38">
        <v>1681.31</v>
      </c>
      <c r="E70" s="28"/>
      <c r="F70" s="49">
        <v>3.5000000000000003E-2</v>
      </c>
      <c r="G70" s="29">
        <f t="shared" si="17"/>
        <v>44.61</v>
      </c>
      <c r="H70" s="29"/>
      <c r="I70" s="29"/>
      <c r="J70" s="29"/>
      <c r="K70" s="57">
        <f t="shared" si="23"/>
        <v>25.72</v>
      </c>
      <c r="L70" s="57">
        <f t="shared" si="24"/>
        <v>18.89</v>
      </c>
      <c r="M70" s="57"/>
      <c r="N70" s="57"/>
      <c r="O70" s="57"/>
      <c r="P70" s="50">
        <f t="shared" si="16"/>
        <v>1725.9549999999999</v>
      </c>
      <c r="Q70" s="29">
        <f t="shared" si="22"/>
        <v>16180.11130774397</v>
      </c>
      <c r="R70" s="42"/>
      <c r="S70" s="6"/>
      <c r="T70" s="51"/>
      <c r="U70" s="51">
        <f t="shared" si="25"/>
        <v>8843.32</v>
      </c>
      <c r="V70" s="58">
        <f t="shared" si="26"/>
        <v>7336.7913077439698</v>
      </c>
    </row>
    <row r="71" spans="1:28" hidden="1" outlineLevel="1" x14ac:dyDescent="0.25">
      <c r="A71" s="8">
        <f t="shared" si="10"/>
        <v>64</v>
      </c>
      <c r="B71" s="2">
        <v>42614</v>
      </c>
      <c r="C71" s="60"/>
      <c r="D71" s="38">
        <v>1460.09</v>
      </c>
      <c r="E71" s="28"/>
      <c r="F71" s="49">
        <v>3.5000000000000003E-2</v>
      </c>
      <c r="G71" s="29">
        <f t="shared" si="17"/>
        <v>49.32</v>
      </c>
      <c r="H71" s="29"/>
      <c r="I71" s="29"/>
      <c r="J71" s="29"/>
      <c r="K71" s="57">
        <f t="shared" si="23"/>
        <v>25.79</v>
      </c>
      <c r="L71" s="57">
        <f t="shared" si="24"/>
        <v>23.53</v>
      </c>
      <c r="M71" s="57"/>
      <c r="N71" s="57"/>
      <c r="O71" s="57"/>
      <c r="P71" s="50">
        <f t="shared" si="16"/>
        <v>1509.4449999999999</v>
      </c>
      <c r="Q71" s="29">
        <f t="shared" si="22"/>
        <v>17689.556307743969</v>
      </c>
      <c r="R71" s="42"/>
      <c r="S71" s="6"/>
      <c r="T71" s="51"/>
      <c r="U71" s="51">
        <f t="shared" si="25"/>
        <v>8869.11</v>
      </c>
      <c r="V71" s="58">
        <f t="shared" si="26"/>
        <v>8820.4463077439686</v>
      </c>
    </row>
    <row r="72" spans="1:28" hidden="1" outlineLevel="1" x14ac:dyDescent="0.25">
      <c r="A72" s="8">
        <f t="shared" si="10"/>
        <v>65</v>
      </c>
      <c r="B72" s="2">
        <v>42644</v>
      </c>
      <c r="C72" s="60"/>
      <c r="D72" s="38">
        <v>1681.32</v>
      </c>
      <c r="E72" s="28"/>
      <c r="F72" s="49">
        <v>3.5000000000000003E-2</v>
      </c>
      <c r="G72" s="29">
        <f t="shared" si="17"/>
        <v>54.05</v>
      </c>
      <c r="H72" s="29"/>
      <c r="I72" s="29"/>
      <c r="J72" s="29"/>
      <c r="K72" s="57">
        <f t="shared" si="23"/>
        <v>25.87</v>
      </c>
      <c r="L72" s="57">
        <f t="shared" si="24"/>
        <v>28.179999999999996</v>
      </c>
      <c r="M72" s="57"/>
      <c r="N72" s="57"/>
      <c r="O72" s="57"/>
      <c r="P72" s="50">
        <f t="shared" si="16"/>
        <v>1735.405</v>
      </c>
      <c r="Q72" s="29">
        <f t="shared" si="22"/>
        <v>19424.961307743968</v>
      </c>
      <c r="R72" s="42"/>
      <c r="S72" s="6"/>
      <c r="T72" s="51"/>
      <c r="U72" s="51">
        <f t="shared" si="25"/>
        <v>8894.9800000000014</v>
      </c>
      <c r="V72" s="58">
        <f t="shared" si="26"/>
        <v>10529.981307743967</v>
      </c>
    </row>
    <row r="73" spans="1:28" hidden="1" outlineLevel="1" x14ac:dyDescent="0.25">
      <c r="A73" s="8">
        <f t="shared" si="10"/>
        <v>66</v>
      </c>
      <c r="B73" s="2">
        <v>42675</v>
      </c>
      <c r="C73" s="52" t="s">
        <v>38</v>
      </c>
      <c r="D73" s="38">
        <v>7526.55</v>
      </c>
      <c r="E73" s="42">
        <f>-U72</f>
        <v>-8894.9800000000014</v>
      </c>
      <c r="F73" s="62">
        <v>3.5000000000000003E-2</v>
      </c>
      <c r="G73" s="29">
        <f t="shared" si="17"/>
        <v>41.69</v>
      </c>
      <c r="H73" s="2"/>
      <c r="I73" s="2"/>
      <c r="J73" s="29"/>
      <c r="K73" s="57"/>
      <c r="L73" s="57">
        <f t="shared" si="24"/>
        <v>41.69</v>
      </c>
      <c r="M73" s="57"/>
      <c r="N73" s="57"/>
      <c r="O73" s="57"/>
      <c r="P73" s="50">
        <f t="shared" ref="P73:P108" si="27">D73+E73+G73</f>
        <v>-1326.7400000000011</v>
      </c>
      <c r="Q73" s="29">
        <f t="shared" si="22"/>
        <v>18098.221307743966</v>
      </c>
      <c r="R73" s="42"/>
      <c r="S73" s="6"/>
      <c r="T73" s="51"/>
      <c r="U73" s="58"/>
      <c r="V73" s="58">
        <f t="shared" si="26"/>
        <v>18098.221307743966</v>
      </c>
      <c r="AA73" s="98"/>
    </row>
    <row r="74" spans="1:28" ht="13.8" hidden="1" outlineLevel="1" thickBot="1" x14ac:dyDescent="0.3">
      <c r="A74" s="8">
        <f t="shared" si="10"/>
        <v>67</v>
      </c>
      <c r="B74" s="20">
        <v>42705</v>
      </c>
      <c r="C74" s="20"/>
      <c r="D74" s="43">
        <v>8881.9</v>
      </c>
      <c r="E74" s="44"/>
      <c r="F74" s="53">
        <v>3.5000000000000003E-2</v>
      </c>
      <c r="G74" s="31">
        <f t="shared" si="17"/>
        <v>65.739999999999995</v>
      </c>
      <c r="H74" s="31"/>
      <c r="I74" s="31"/>
      <c r="J74" s="31"/>
      <c r="K74" s="31"/>
      <c r="L74" s="31">
        <f t="shared" si="24"/>
        <v>65.739999999999995</v>
      </c>
      <c r="M74" s="31"/>
      <c r="N74" s="31"/>
      <c r="O74" s="31"/>
      <c r="P74" s="54">
        <f t="shared" si="27"/>
        <v>8947.64</v>
      </c>
      <c r="Q74" s="31">
        <f t="shared" si="22"/>
        <v>27045.861307743966</v>
      </c>
      <c r="R74" s="44"/>
      <c r="S74" s="55"/>
      <c r="T74" s="56"/>
      <c r="U74" s="56"/>
      <c r="V74" s="54">
        <f t="shared" si="26"/>
        <v>27045.861307743966</v>
      </c>
      <c r="W74" s="20"/>
    </row>
    <row r="75" spans="1:28" hidden="1" outlineLevel="1" x14ac:dyDescent="0.25">
      <c r="A75" s="8">
        <f t="shared" si="10"/>
        <v>68</v>
      </c>
      <c r="B75" s="2">
        <v>42736</v>
      </c>
      <c r="C75" s="63"/>
      <c r="D75" s="38">
        <v>4726.7299999999996</v>
      </c>
      <c r="E75" s="42"/>
      <c r="F75" s="62">
        <v>3.5000000000000003E-2</v>
      </c>
      <c r="G75" s="29">
        <f t="shared" si="17"/>
        <v>85.78</v>
      </c>
      <c r="H75" s="29"/>
      <c r="I75" s="29"/>
      <c r="J75" s="29"/>
      <c r="K75" s="57"/>
      <c r="L75" s="57">
        <f t="shared" ref="L75:L84" si="28">ROUND(V74*F75/12,2)</f>
        <v>78.88</v>
      </c>
      <c r="M75" s="57">
        <f t="shared" ref="M75:M86" si="29">+G75-L75</f>
        <v>6.9000000000000057</v>
      </c>
      <c r="N75" s="57"/>
      <c r="O75" s="57"/>
      <c r="P75" s="50">
        <f t="shared" si="27"/>
        <v>4812.5099999999993</v>
      </c>
      <c r="Q75" s="29">
        <f t="shared" si="22"/>
        <v>31858.371307743964</v>
      </c>
      <c r="R75" s="42"/>
      <c r="S75" s="6"/>
      <c r="T75" s="51"/>
      <c r="U75" s="58"/>
      <c r="V75" s="51">
        <f t="shared" ref="V75:V84" si="30">+V74+L75</f>
        <v>27124.741307743967</v>
      </c>
      <c r="W75" s="58">
        <f t="shared" ref="W75:W86" si="31">Q75-V75</f>
        <v>4733.6299999999974</v>
      </c>
      <c r="AA75" s="98"/>
      <c r="AB75" s="98"/>
    </row>
    <row r="76" spans="1:28" hidden="1" outlineLevel="1" x14ac:dyDescent="0.25">
      <c r="A76" s="8">
        <f t="shared" si="10"/>
        <v>69</v>
      </c>
      <c r="B76" s="2">
        <v>42767</v>
      </c>
      <c r="C76" s="63"/>
      <c r="D76" s="38">
        <v>9926.36</v>
      </c>
      <c r="E76" s="42"/>
      <c r="F76" s="62">
        <v>3.5000000000000003E-2</v>
      </c>
      <c r="G76" s="29">
        <f t="shared" si="17"/>
        <v>107.4</v>
      </c>
      <c r="H76" s="29"/>
      <c r="I76" s="29"/>
      <c r="J76" s="29"/>
      <c r="K76" s="57"/>
      <c r="L76" s="57">
        <f t="shared" si="28"/>
        <v>79.11</v>
      </c>
      <c r="M76" s="57">
        <f t="shared" si="29"/>
        <v>28.290000000000006</v>
      </c>
      <c r="N76" s="57"/>
      <c r="O76" s="57"/>
      <c r="P76" s="50">
        <f t="shared" si="27"/>
        <v>10033.76</v>
      </c>
      <c r="Q76" s="29">
        <f t="shared" si="22"/>
        <v>41892.131307743963</v>
      </c>
      <c r="R76" s="42"/>
      <c r="S76" s="6"/>
      <c r="T76" s="51"/>
      <c r="U76" s="58"/>
      <c r="V76" s="51">
        <f t="shared" si="30"/>
        <v>27203.851307743967</v>
      </c>
      <c r="W76" s="58">
        <f t="shared" si="31"/>
        <v>14688.279999999995</v>
      </c>
      <c r="AA76" s="98"/>
      <c r="AB76" s="98"/>
    </row>
    <row r="77" spans="1:28" hidden="1" outlineLevel="1" x14ac:dyDescent="0.25">
      <c r="A77" s="8">
        <f t="shared" si="10"/>
        <v>70</v>
      </c>
      <c r="B77" s="2">
        <v>42795</v>
      </c>
      <c r="C77" s="63"/>
      <c r="D77" s="38">
        <v>11054.54</v>
      </c>
      <c r="E77" s="42"/>
      <c r="F77" s="62">
        <v>3.5000000000000003E-2</v>
      </c>
      <c r="G77" s="29">
        <f t="shared" si="17"/>
        <v>138.31</v>
      </c>
      <c r="H77" s="29"/>
      <c r="I77" s="29"/>
      <c r="J77" s="29"/>
      <c r="K77" s="57"/>
      <c r="L77" s="57">
        <f t="shared" si="28"/>
        <v>79.34</v>
      </c>
      <c r="M77" s="57">
        <f t="shared" si="29"/>
        <v>58.97</v>
      </c>
      <c r="N77" s="57"/>
      <c r="O77" s="57"/>
      <c r="P77" s="50">
        <f t="shared" si="27"/>
        <v>11192.85</v>
      </c>
      <c r="Q77" s="29">
        <f t="shared" si="22"/>
        <v>53084.981307743961</v>
      </c>
      <c r="R77" s="42"/>
      <c r="S77" s="6"/>
      <c r="T77" s="51"/>
      <c r="U77" s="58"/>
      <c r="V77" s="51">
        <f t="shared" si="30"/>
        <v>27283.191307743968</v>
      </c>
      <c r="W77" s="58">
        <f t="shared" si="31"/>
        <v>25801.789999999994</v>
      </c>
    </row>
    <row r="78" spans="1:28" hidden="1" outlineLevel="1" x14ac:dyDescent="0.25">
      <c r="A78" s="8">
        <f t="shared" si="10"/>
        <v>71</v>
      </c>
      <c r="B78" s="2">
        <v>42826</v>
      </c>
      <c r="C78" s="63"/>
      <c r="D78" s="38">
        <v>9267.52</v>
      </c>
      <c r="E78" s="42"/>
      <c r="F78" s="62">
        <v>3.7100000000000001E-2</v>
      </c>
      <c r="G78" s="29">
        <f t="shared" si="17"/>
        <v>178.45</v>
      </c>
      <c r="H78" s="29"/>
      <c r="I78" s="29"/>
      <c r="J78" s="29"/>
      <c r="K78" s="57"/>
      <c r="L78" s="57">
        <f t="shared" si="28"/>
        <v>84.35</v>
      </c>
      <c r="M78" s="57">
        <f t="shared" si="29"/>
        <v>94.1</v>
      </c>
      <c r="N78" s="57"/>
      <c r="O78" s="57"/>
      <c r="P78" s="50">
        <f t="shared" si="27"/>
        <v>9445.9700000000012</v>
      </c>
      <c r="Q78" s="29">
        <f t="shared" si="22"/>
        <v>62530.951307743962</v>
      </c>
      <c r="R78" s="42"/>
      <c r="S78" s="6"/>
      <c r="T78" s="51"/>
      <c r="U78" s="58"/>
      <c r="V78" s="51">
        <f t="shared" si="30"/>
        <v>27367.541307743966</v>
      </c>
      <c r="W78" s="58">
        <f t="shared" si="31"/>
        <v>35163.409999999996</v>
      </c>
    </row>
    <row r="79" spans="1:28" hidden="1" outlineLevel="1" x14ac:dyDescent="0.25">
      <c r="A79" s="8">
        <f t="shared" si="10"/>
        <v>72</v>
      </c>
      <c r="B79" s="2">
        <v>42856</v>
      </c>
      <c r="C79" s="63"/>
      <c r="D79" s="38">
        <v>7492.63</v>
      </c>
      <c r="E79" s="42"/>
      <c r="F79" s="62">
        <v>3.7100000000000001E-2</v>
      </c>
      <c r="G79" s="29">
        <f t="shared" si="17"/>
        <v>204.91</v>
      </c>
      <c r="H79" s="29"/>
      <c r="I79" s="29"/>
      <c r="J79" s="29"/>
      <c r="K79" s="57"/>
      <c r="L79" s="57">
        <f t="shared" si="28"/>
        <v>84.61</v>
      </c>
      <c r="M79" s="57">
        <f t="shared" si="29"/>
        <v>120.3</v>
      </c>
      <c r="N79" s="57"/>
      <c r="O79" s="57"/>
      <c r="P79" s="50">
        <f t="shared" si="27"/>
        <v>7697.54</v>
      </c>
      <c r="Q79" s="29">
        <f t="shared" si="22"/>
        <v>70228.491307743956</v>
      </c>
      <c r="R79" s="42"/>
      <c r="S79" s="6"/>
      <c r="T79" s="51"/>
      <c r="U79" s="58"/>
      <c r="V79" s="51">
        <f t="shared" si="30"/>
        <v>27452.151307743967</v>
      </c>
      <c r="W79" s="58">
        <f t="shared" si="31"/>
        <v>42776.339999999989</v>
      </c>
    </row>
    <row r="80" spans="1:28" hidden="1" outlineLevel="1" x14ac:dyDescent="0.25">
      <c r="A80" s="8">
        <f t="shared" si="10"/>
        <v>73</v>
      </c>
      <c r="B80" s="2">
        <v>42887</v>
      </c>
      <c r="C80" s="63"/>
      <c r="D80" s="38">
        <v>277.54000000000002</v>
      </c>
      <c r="E80" s="42"/>
      <c r="F80" s="62">
        <v>3.7100000000000001E-2</v>
      </c>
      <c r="G80" s="29">
        <f t="shared" ref="G80:G108" si="32">ROUND((+Q79+E80+(D80/2))*F80/12,2)</f>
        <v>217.55</v>
      </c>
      <c r="H80" s="29"/>
      <c r="I80" s="29"/>
      <c r="J80" s="29"/>
      <c r="K80" s="57"/>
      <c r="L80" s="57">
        <f t="shared" si="28"/>
        <v>84.87</v>
      </c>
      <c r="M80" s="57">
        <f t="shared" si="29"/>
        <v>132.68</v>
      </c>
      <c r="N80" s="57"/>
      <c r="O80" s="57"/>
      <c r="P80" s="50">
        <f t="shared" si="27"/>
        <v>495.09000000000003</v>
      </c>
      <c r="Q80" s="29">
        <f t="shared" si="22"/>
        <v>70723.581307743952</v>
      </c>
      <c r="R80" s="42"/>
      <c r="S80" s="6"/>
      <c r="T80" s="51"/>
      <c r="U80" s="58"/>
      <c r="V80" s="51">
        <f t="shared" si="30"/>
        <v>27537.021307743966</v>
      </c>
      <c r="W80" s="58">
        <f t="shared" si="31"/>
        <v>43186.559999999983</v>
      </c>
    </row>
    <row r="81" spans="1:24" hidden="1" outlineLevel="1" x14ac:dyDescent="0.25">
      <c r="A81" s="8">
        <f t="shared" si="10"/>
        <v>74</v>
      </c>
      <c r="B81" s="2">
        <v>42917</v>
      </c>
      <c r="C81" s="59"/>
      <c r="D81" s="38">
        <v>462.55</v>
      </c>
      <c r="E81" s="42"/>
      <c r="F81" s="62">
        <v>3.9600000000000003E-2</v>
      </c>
      <c r="G81" s="29">
        <f t="shared" si="32"/>
        <v>234.15</v>
      </c>
      <c r="H81" s="29"/>
      <c r="I81" s="29"/>
      <c r="J81" s="29"/>
      <c r="K81" s="57"/>
      <c r="L81" s="57">
        <f t="shared" si="28"/>
        <v>90.87</v>
      </c>
      <c r="M81" s="57">
        <f t="shared" si="29"/>
        <v>143.28</v>
      </c>
      <c r="N81" s="57"/>
      <c r="O81" s="57"/>
      <c r="P81" s="50">
        <f t="shared" si="27"/>
        <v>696.7</v>
      </c>
      <c r="Q81" s="29">
        <f t="shared" si="22"/>
        <v>71420.28130774395</v>
      </c>
      <c r="R81" s="42"/>
      <c r="S81" s="6"/>
      <c r="T81" s="51"/>
      <c r="U81" s="58"/>
      <c r="V81" s="51">
        <f t="shared" si="30"/>
        <v>27627.891307743965</v>
      </c>
      <c r="W81" s="58">
        <f t="shared" si="31"/>
        <v>43792.389999999985</v>
      </c>
    </row>
    <row r="82" spans="1:24" hidden="1" outlineLevel="1" x14ac:dyDescent="0.25">
      <c r="A82" s="8">
        <f t="shared" si="10"/>
        <v>75</v>
      </c>
      <c r="B82" s="2">
        <v>42948</v>
      </c>
      <c r="C82" s="63"/>
      <c r="D82" s="38">
        <v>22348.15</v>
      </c>
      <c r="E82" s="42"/>
      <c r="F82" s="62">
        <v>3.9600000000000003E-2</v>
      </c>
      <c r="G82" s="29">
        <f t="shared" si="32"/>
        <v>272.56</v>
      </c>
      <c r="H82" s="29"/>
      <c r="I82" s="29"/>
      <c r="J82" s="29"/>
      <c r="K82" s="57"/>
      <c r="L82" s="57">
        <f t="shared" si="28"/>
        <v>91.17</v>
      </c>
      <c r="M82" s="57">
        <f t="shared" si="29"/>
        <v>181.39</v>
      </c>
      <c r="N82" s="57"/>
      <c r="O82" s="57"/>
      <c r="P82" s="50">
        <f t="shared" si="27"/>
        <v>22620.710000000003</v>
      </c>
      <c r="Q82" s="29">
        <f t="shared" si="22"/>
        <v>94040.991307743956</v>
      </c>
      <c r="R82" s="42"/>
      <c r="S82" s="6"/>
      <c r="T82" s="51"/>
      <c r="U82" s="58"/>
      <c r="V82" s="51">
        <f t="shared" si="30"/>
        <v>27719.061307743963</v>
      </c>
      <c r="W82" s="58">
        <f t="shared" si="31"/>
        <v>66321.929999999993</v>
      </c>
    </row>
    <row r="83" spans="1:24" hidden="1" outlineLevel="1" x14ac:dyDescent="0.25">
      <c r="A83" s="8">
        <f t="shared" si="10"/>
        <v>76</v>
      </c>
      <c r="B83" s="2">
        <v>42979</v>
      </c>
      <c r="C83" s="63"/>
      <c r="D83" s="38">
        <v>5438.83</v>
      </c>
      <c r="E83" s="42"/>
      <c r="F83" s="62">
        <v>3.9600000000000003E-2</v>
      </c>
      <c r="G83" s="29">
        <f t="shared" si="32"/>
        <v>319.31</v>
      </c>
      <c r="H83" s="29"/>
      <c r="I83" s="29"/>
      <c r="J83" s="29"/>
      <c r="K83" s="57"/>
      <c r="L83" s="57">
        <f t="shared" si="28"/>
        <v>91.47</v>
      </c>
      <c r="M83" s="57">
        <f t="shared" si="29"/>
        <v>227.84</v>
      </c>
      <c r="N83" s="57"/>
      <c r="O83" s="57"/>
      <c r="P83" s="50">
        <f t="shared" si="27"/>
        <v>5758.14</v>
      </c>
      <c r="Q83" s="29">
        <f t="shared" si="22"/>
        <v>99799.131307743955</v>
      </c>
      <c r="R83" s="42"/>
      <c r="S83" s="6"/>
      <c r="T83" s="51"/>
      <c r="U83" s="58"/>
      <c r="V83" s="51">
        <f t="shared" si="30"/>
        <v>27810.531307743964</v>
      </c>
      <c r="W83" s="58">
        <f t="shared" si="31"/>
        <v>71988.599999999991</v>
      </c>
    </row>
    <row r="84" spans="1:24" hidden="1" outlineLevel="1" x14ac:dyDescent="0.25">
      <c r="A84" s="8">
        <f t="shared" si="10"/>
        <v>77</v>
      </c>
      <c r="B84" s="2">
        <v>43009</v>
      </c>
      <c r="C84" s="63"/>
      <c r="D84" s="38">
        <v>1033.8699999999999</v>
      </c>
      <c r="E84" s="42"/>
      <c r="F84" s="62">
        <v>4.2099999999999999E-2</v>
      </c>
      <c r="G84" s="29">
        <f t="shared" si="32"/>
        <v>351.94</v>
      </c>
      <c r="H84" s="29"/>
      <c r="I84" s="29"/>
      <c r="J84" s="29"/>
      <c r="K84" s="57"/>
      <c r="L84" s="57">
        <f t="shared" si="28"/>
        <v>97.57</v>
      </c>
      <c r="M84" s="57">
        <f t="shared" si="29"/>
        <v>254.37</v>
      </c>
      <c r="N84" s="57"/>
      <c r="O84" s="57"/>
      <c r="P84" s="50">
        <f t="shared" si="27"/>
        <v>1385.81</v>
      </c>
      <c r="Q84" s="29">
        <f t="shared" si="22"/>
        <v>101184.94130774395</v>
      </c>
      <c r="R84" s="42"/>
      <c r="S84" s="6"/>
      <c r="T84" s="51"/>
      <c r="U84" s="58"/>
      <c r="V84" s="51">
        <f t="shared" si="30"/>
        <v>27908.101307743964</v>
      </c>
      <c r="W84" s="58">
        <f t="shared" si="31"/>
        <v>73276.84</v>
      </c>
    </row>
    <row r="85" spans="1:24" hidden="1" outlineLevel="1" x14ac:dyDescent="0.25">
      <c r="A85" s="8">
        <f t="shared" si="10"/>
        <v>78</v>
      </c>
      <c r="B85" s="2">
        <v>43040</v>
      </c>
      <c r="C85" s="52" t="s">
        <v>38</v>
      </c>
      <c r="D85" s="38">
        <v>11557.93</v>
      </c>
      <c r="E85" s="42">
        <f>-V84</f>
        <v>-27908.101307743964</v>
      </c>
      <c r="F85" s="62">
        <v>4.2099999999999999E-2</v>
      </c>
      <c r="G85" s="29">
        <f t="shared" si="32"/>
        <v>277.35000000000002</v>
      </c>
      <c r="H85" s="29"/>
      <c r="I85" s="29"/>
      <c r="J85" s="29"/>
      <c r="K85" s="57"/>
      <c r="L85" s="57"/>
      <c r="M85" s="57">
        <f t="shared" si="29"/>
        <v>277.35000000000002</v>
      </c>
      <c r="N85" s="57"/>
      <c r="O85" s="57"/>
      <c r="P85" s="50">
        <f t="shared" si="27"/>
        <v>-16072.821307743963</v>
      </c>
      <c r="Q85" s="29">
        <f t="shared" si="22"/>
        <v>85112.12</v>
      </c>
      <c r="R85" s="42"/>
      <c r="S85" s="6"/>
      <c r="T85" s="51"/>
      <c r="U85" s="58"/>
      <c r="V85" s="51"/>
      <c r="W85" s="58">
        <f t="shared" si="31"/>
        <v>85112.12</v>
      </c>
    </row>
    <row r="86" spans="1:24" ht="13.8" hidden="1" outlineLevel="1" thickBot="1" x14ac:dyDescent="0.3">
      <c r="A86" s="8">
        <f t="shared" si="10"/>
        <v>79</v>
      </c>
      <c r="B86" s="20">
        <v>43070</v>
      </c>
      <c r="C86" s="65"/>
      <c r="D86" s="43">
        <v>5944.98</v>
      </c>
      <c r="E86" s="44"/>
      <c r="F86" s="66">
        <v>4.2099999999999999E-2</v>
      </c>
      <c r="G86" s="31">
        <f t="shared" si="32"/>
        <v>309.02999999999997</v>
      </c>
      <c r="H86" s="31"/>
      <c r="I86" s="31"/>
      <c r="J86" s="31"/>
      <c r="K86" s="67"/>
      <c r="L86" s="67"/>
      <c r="M86" s="67">
        <f t="shared" si="29"/>
        <v>309.02999999999997</v>
      </c>
      <c r="N86" s="67"/>
      <c r="O86" s="67"/>
      <c r="P86" s="54">
        <f t="shared" si="27"/>
        <v>6254.0099999999993</v>
      </c>
      <c r="Q86" s="31">
        <f>+Q85+P86</f>
        <v>91366.12999999999</v>
      </c>
      <c r="R86" s="44"/>
      <c r="S86" s="55"/>
      <c r="T86" s="56"/>
      <c r="U86" s="54"/>
      <c r="V86" s="56"/>
      <c r="W86" s="54">
        <f t="shared" si="31"/>
        <v>91366.12999999999</v>
      </c>
      <c r="X86" s="54"/>
    </row>
    <row r="87" spans="1:24" collapsed="1" x14ac:dyDescent="0.25">
      <c r="A87" s="8">
        <f t="shared" si="10"/>
        <v>80</v>
      </c>
      <c r="B87" s="2">
        <v>43101</v>
      </c>
      <c r="C87" s="63"/>
      <c r="D87" s="38">
        <v>11022.12</v>
      </c>
      <c r="E87" s="42"/>
      <c r="F87" s="62">
        <v>4.2500000000000003E-2</v>
      </c>
      <c r="G87" s="29">
        <f t="shared" si="32"/>
        <v>343.11</v>
      </c>
      <c r="H87" s="29"/>
      <c r="I87" s="29"/>
      <c r="J87" s="29"/>
      <c r="K87" s="57"/>
      <c r="L87" s="57"/>
      <c r="M87" s="57">
        <f t="shared" ref="M87:M96" si="33">ROUND(W86*F87/12,2)</f>
        <v>323.58999999999997</v>
      </c>
      <c r="N87" s="57">
        <f t="shared" ref="N87:N98" si="34">G87-M87</f>
        <v>19.520000000000039</v>
      </c>
      <c r="O87" s="57"/>
      <c r="P87" s="50">
        <f t="shared" si="27"/>
        <v>11365.230000000001</v>
      </c>
      <c r="Q87" s="29">
        <f t="shared" si="22"/>
        <v>102731.35999999999</v>
      </c>
      <c r="R87" s="42"/>
      <c r="S87" s="6"/>
      <c r="T87" s="51"/>
      <c r="U87" s="58"/>
      <c r="V87" s="51"/>
      <c r="W87" s="58">
        <f t="shared" ref="W87:W96" si="35">W86+M87</f>
        <v>91689.719999999987</v>
      </c>
      <c r="X87" s="58">
        <f t="shared" ref="X87:X98" si="36">Q87-W87</f>
        <v>11041.64</v>
      </c>
    </row>
    <row r="88" spans="1:24" x14ac:dyDescent="0.25">
      <c r="A88" s="8">
        <f t="shared" si="10"/>
        <v>81</v>
      </c>
      <c r="B88" s="2">
        <v>43132</v>
      </c>
      <c r="C88" s="63"/>
      <c r="D88" s="38">
        <v>7072.02</v>
      </c>
      <c r="E88" s="42"/>
      <c r="F88" s="62">
        <v>4.2500000000000003E-2</v>
      </c>
      <c r="G88" s="29">
        <f t="shared" si="32"/>
        <v>376.36</v>
      </c>
      <c r="H88" s="29"/>
      <c r="I88" s="29"/>
      <c r="J88" s="29"/>
      <c r="K88" s="57"/>
      <c r="L88" s="57"/>
      <c r="M88" s="57">
        <f t="shared" si="33"/>
        <v>324.73</v>
      </c>
      <c r="N88" s="57">
        <f t="shared" si="34"/>
        <v>51.629999999999995</v>
      </c>
      <c r="O88" s="57"/>
      <c r="P88" s="50">
        <f t="shared" si="27"/>
        <v>7448.38</v>
      </c>
      <c r="Q88" s="29">
        <f t="shared" si="22"/>
        <v>110179.73999999999</v>
      </c>
      <c r="R88" s="42"/>
      <c r="S88" s="6"/>
      <c r="T88" s="51"/>
      <c r="U88" s="58"/>
      <c r="V88" s="51"/>
      <c r="W88" s="58">
        <f t="shared" si="35"/>
        <v>92014.449999999983</v>
      </c>
      <c r="X88" s="58">
        <f t="shared" si="36"/>
        <v>18165.290000000008</v>
      </c>
    </row>
    <row r="89" spans="1:24" x14ac:dyDescent="0.25">
      <c r="A89" s="8">
        <f t="shared" si="10"/>
        <v>82</v>
      </c>
      <c r="B89" s="2">
        <v>43160</v>
      </c>
      <c r="C89" s="63"/>
      <c r="D89" s="38">
        <v>2120.0300000000002</v>
      </c>
      <c r="E89" s="42"/>
      <c r="F89" s="62">
        <v>4.2500000000000003E-2</v>
      </c>
      <c r="G89" s="29">
        <f t="shared" si="32"/>
        <v>393.97</v>
      </c>
      <c r="H89" s="29"/>
      <c r="I89" s="29"/>
      <c r="J89" s="29"/>
      <c r="K89" s="57"/>
      <c r="L89" s="57"/>
      <c r="M89" s="57">
        <f t="shared" si="33"/>
        <v>325.88</v>
      </c>
      <c r="N89" s="57">
        <f t="shared" si="34"/>
        <v>68.090000000000032</v>
      </c>
      <c r="O89" s="57"/>
      <c r="P89" s="50">
        <f t="shared" si="27"/>
        <v>2514</v>
      </c>
      <c r="Q89" s="29">
        <f t="shared" si="22"/>
        <v>112693.73999999999</v>
      </c>
      <c r="R89" s="42"/>
      <c r="S89" s="6"/>
      <c r="T89" s="51"/>
      <c r="U89" s="58"/>
      <c r="V89" s="51"/>
      <c r="W89" s="58">
        <f t="shared" si="35"/>
        <v>92340.329999999987</v>
      </c>
      <c r="X89" s="58">
        <f t="shared" si="36"/>
        <v>20353.410000000003</v>
      </c>
    </row>
    <row r="90" spans="1:24" x14ac:dyDescent="0.25">
      <c r="A90" s="8">
        <f t="shared" si="10"/>
        <v>83</v>
      </c>
      <c r="B90" s="2">
        <v>43191</v>
      </c>
      <c r="C90" s="63"/>
      <c r="D90" s="38">
        <v>3486.65</v>
      </c>
      <c r="E90" s="42"/>
      <c r="F90" s="62">
        <v>4.4699999999999997E-2</v>
      </c>
      <c r="G90" s="29">
        <f t="shared" si="32"/>
        <v>426.28</v>
      </c>
      <c r="H90" s="29"/>
      <c r="I90" s="29"/>
      <c r="J90" s="29"/>
      <c r="K90" s="57"/>
      <c r="L90" s="57"/>
      <c r="M90" s="57">
        <f t="shared" si="33"/>
        <v>343.97</v>
      </c>
      <c r="N90" s="57">
        <f t="shared" si="34"/>
        <v>82.309999999999945</v>
      </c>
      <c r="O90" s="57"/>
      <c r="P90" s="50">
        <f t="shared" si="27"/>
        <v>3912.9300000000003</v>
      </c>
      <c r="Q90" s="29">
        <f t="shared" si="22"/>
        <v>116606.66999999998</v>
      </c>
      <c r="R90" s="42"/>
      <c r="S90" s="6"/>
      <c r="T90" s="51"/>
      <c r="U90" s="58"/>
      <c r="V90" s="51"/>
      <c r="W90" s="58">
        <f t="shared" si="35"/>
        <v>92684.299999999988</v>
      </c>
      <c r="X90" s="58">
        <f t="shared" si="36"/>
        <v>23922.369999999995</v>
      </c>
    </row>
    <row r="91" spans="1:24" x14ac:dyDescent="0.25">
      <c r="A91" s="8">
        <f t="shared" si="10"/>
        <v>84</v>
      </c>
      <c r="B91" s="2">
        <v>43221</v>
      </c>
      <c r="C91" s="63"/>
      <c r="D91" s="38">
        <v>4127.7</v>
      </c>
      <c r="E91" s="42"/>
      <c r="F91" s="62">
        <v>4.4699999999999997E-2</v>
      </c>
      <c r="G91" s="29">
        <f t="shared" si="32"/>
        <v>442.05</v>
      </c>
      <c r="H91" s="29"/>
      <c r="I91" s="29"/>
      <c r="J91" s="29"/>
      <c r="K91" s="57"/>
      <c r="L91" s="57"/>
      <c r="M91" s="57">
        <f t="shared" si="33"/>
        <v>345.25</v>
      </c>
      <c r="N91" s="57">
        <f t="shared" si="34"/>
        <v>96.800000000000011</v>
      </c>
      <c r="O91" s="57"/>
      <c r="P91" s="50">
        <f t="shared" si="27"/>
        <v>4569.75</v>
      </c>
      <c r="Q91" s="29">
        <f t="shared" si="22"/>
        <v>121176.41999999998</v>
      </c>
      <c r="R91" s="42"/>
      <c r="S91" s="6"/>
      <c r="T91" s="51"/>
      <c r="U91" s="58"/>
      <c r="V91" s="51"/>
      <c r="W91" s="58">
        <f t="shared" si="35"/>
        <v>93029.549999999988</v>
      </c>
      <c r="X91" s="58">
        <f t="shared" si="36"/>
        <v>28146.869999999995</v>
      </c>
    </row>
    <row r="92" spans="1:24" x14ac:dyDescent="0.25">
      <c r="A92" s="8">
        <f t="shared" si="10"/>
        <v>85</v>
      </c>
      <c r="B92" s="2">
        <v>43252</v>
      </c>
      <c r="C92" s="63"/>
      <c r="D92" s="38">
        <v>6080.13</v>
      </c>
      <c r="E92" s="42"/>
      <c r="F92" s="62">
        <v>4.4699999999999997E-2</v>
      </c>
      <c r="G92" s="29">
        <f t="shared" si="32"/>
        <v>462.71</v>
      </c>
      <c r="H92" s="29"/>
      <c r="I92" s="29"/>
      <c r="J92" s="29"/>
      <c r="K92" s="57"/>
      <c r="L92" s="57"/>
      <c r="M92" s="57">
        <f t="shared" si="33"/>
        <v>346.54</v>
      </c>
      <c r="N92" s="57">
        <f t="shared" si="34"/>
        <v>116.16999999999996</v>
      </c>
      <c r="O92" s="57"/>
      <c r="P92" s="50">
        <f t="shared" si="27"/>
        <v>6542.84</v>
      </c>
      <c r="Q92" s="29">
        <f t="shared" si="22"/>
        <v>127719.25999999998</v>
      </c>
      <c r="R92" s="42"/>
      <c r="S92" s="6"/>
      <c r="T92" s="51"/>
      <c r="U92" s="58"/>
      <c r="V92" s="51"/>
      <c r="W92" s="58">
        <f t="shared" si="35"/>
        <v>93376.089999999982</v>
      </c>
      <c r="X92" s="58">
        <f t="shared" si="36"/>
        <v>34343.17</v>
      </c>
    </row>
    <row r="93" spans="1:24" x14ac:dyDescent="0.25">
      <c r="A93" s="8">
        <f t="shared" si="10"/>
        <v>86</v>
      </c>
      <c r="B93" s="2">
        <v>43282</v>
      </c>
      <c r="C93" s="63"/>
      <c r="D93" s="38">
        <v>3647.95</v>
      </c>
      <c r="E93" s="42"/>
      <c r="F93" s="62">
        <v>4.6899999999999997E-2</v>
      </c>
      <c r="G93" s="29">
        <f t="shared" si="32"/>
        <v>506.3</v>
      </c>
      <c r="H93" s="29"/>
      <c r="I93" s="29"/>
      <c r="J93" s="29"/>
      <c r="K93" s="57"/>
      <c r="L93" s="57"/>
      <c r="M93" s="57">
        <f t="shared" si="33"/>
        <v>364.94</v>
      </c>
      <c r="N93" s="57">
        <f t="shared" si="34"/>
        <v>141.36000000000001</v>
      </c>
      <c r="O93" s="57"/>
      <c r="P93" s="50">
        <f t="shared" si="27"/>
        <v>4154.25</v>
      </c>
      <c r="Q93" s="29">
        <f t="shared" si="22"/>
        <v>131873.50999999998</v>
      </c>
      <c r="R93" s="42"/>
      <c r="S93" s="6"/>
      <c r="T93" s="51"/>
      <c r="U93" s="58"/>
      <c r="V93" s="51"/>
      <c r="W93" s="58">
        <f t="shared" si="35"/>
        <v>93741.029999999984</v>
      </c>
      <c r="X93" s="58">
        <f t="shared" si="36"/>
        <v>38132.479999999996</v>
      </c>
    </row>
    <row r="94" spans="1:24" x14ac:dyDescent="0.25">
      <c r="A94" s="8">
        <f t="shared" si="10"/>
        <v>87</v>
      </c>
      <c r="B94" s="2">
        <v>43313</v>
      </c>
      <c r="C94" s="63"/>
      <c r="D94" s="38">
        <v>4936.38</v>
      </c>
      <c r="E94" s="42"/>
      <c r="F94" s="62">
        <v>4.6899999999999997E-2</v>
      </c>
      <c r="G94" s="29">
        <f t="shared" si="32"/>
        <v>525.04999999999995</v>
      </c>
      <c r="H94" s="29"/>
      <c r="I94" s="29"/>
      <c r="J94" s="29"/>
      <c r="K94" s="57"/>
      <c r="L94" s="57"/>
      <c r="M94" s="57">
        <f t="shared" si="33"/>
        <v>366.37</v>
      </c>
      <c r="N94" s="57">
        <f t="shared" si="34"/>
        <v>158.67999999999995</v>
      </c>
      <c r="O94" s="57"/>
      <c r="P94" s="50">
        <f t="shared" si="27"/>
        <v>5461.43</v>
      </c>
      <c r="Q94" s="29">
        <f t="shared" si="22"/>
        <v>137334.93999999997</v>
      </c>
      <c r="R94" s="42"/>
      <c r="S94" s="6"/>
      <c r="T94" s="51"/>
      <c r="U94" s="58"/>
      <c r="V94" s="51"/>
      <c r="W94" s="58">
        <f t="shared" si="35"/>
        <v>94107.39999999998</v>
      </c>
      <c r="X94" s="58">
        <f t="shared" si="36"/>
        <v>43227.539999999994</v>
      </c>
    </row>
    <row r="95" spans="1:24" x14ac:dyDescent="0.25">
      <c r="A95" s="8">
        <f t="shared" si="10"/>
        <v>88</v>
      </c>
      <c r="B95" s="2">
        <v>43344</v>
      </c>
      <c r="C95" s="63"/>
      <c r="D95" s="38">
        <v>6519.88</v>
      </c>
      <c r="E95" s="42"/>
      <c r="F95" s="62">
        <v>4.6899999999999997E-2</v>
      </c>
      <c r="G95" s="29">
        <f t="shared" si="32"/>
        <v>549.49</v>
      </c>
      <c r="H95" s="29"/>
      <c r="I95" s="29"/>
      <c r="J95" s="29"/>
      <c r="K95" s="57"/>
      <c r="L95" s="57"/>
      <c r="M95" s="57">
        <f t="shared" si="33"/>
        <v>367.8</v>
      </c>
      <c r="N95" s="57">
        <f t="shared" si="34"/>
        <v>181.69</v>
      </c>
      <c r="O95" s="57"/>
      <c r="P95" s="50">
        <f t="shared" si="27"/>
        <v>7069.37</v>
      </c>
      <c r="Q95" s="29">
        <f t="shared" si="22"/>
        <v>144404.30999999997</v>
      </c>
      <c r="R95" s="42"/>
      <c r="S95" s="6"/>
      <c r="T95" s="51"/>
      <c r="U95" s="58"/>
      <c r="V95" s="51"/>
      <c r="W95" s="58">
        <f t="shared" si="35"/>
        <v>94475.199999999983</v>
      </c>
      <c r="X95" s="58">
        <f t="shared" si="36"/>
        <v>49929.109999999986</v>
      </c>
    </row>
    <row r="96" spans="1:24" x14ac:dyDescent="0.25">
      <c r="A96" s="8">
        <f t="shared" si="10"/>
        <v>89</v>
      </c>
      <c r="B96" s="2">
        <v>43374</v>
      </c>
      <c r="C96" s="63"/>
      <c r="D96" s="38">
        <v>5235.26</v>
      </c>
      <c r="E96" s="42"/>
      <c r="F96" s="68">
        <v>4.9599999999999998E-2</v>
      </c>
      <c r="G96" s="29">
        <f t="shared" si="32"/>
        <v>607.69000000000005</v>
      </c>
      <c r="H96" s="29"/>
      <c r="I96" s="29"/>
      <c r="J96" s="29"/>
      <c r="K96" s="57"/>
      <c r="L96" s="57"/>
      <c r="M96" s="57">
        <f t="shared" si="33"/>
        <v>390.5</v>
      </c>
      <c r="N96" s="57">
        <f t="shared" si="34"/>
        <v>217.19000000000005</v>
      </c>
      <c r="O96" s="57"/>
      <c r="P96" s="50">
        <f t="shared" si="27"/>
        <v>5842.9500000000007</v>
      </c>
      <c r="Q96" s="29">
        <f t="shared" si="22"/>
        <v>150247.25999999998</v>
      </c>
      <c r="R96" s="42"/>
      <c r="S96" s="6"/>
      <c r="T96" s="51"/>
      <c r="U96" s="58"/>
      <c r="V96" s="51"/>
      <c r="W96" s="58">
        <f t="shared" si="35"/>
        <v>94865.699999999983</v>
      </c>
      <c r="X96" s="58">
        <f t="shared" si="36"/>
        <v>55381.56</v>
      </c>
    </row>
    <row r="97" spans="1:25" x14ac:dyDescent="0.25">
      <c r="A97" s="8">
        <f t="shared" si="10"/>
        <v>90</v>
      </c>
      <c r="B97" s="2">
        <v>43405</v>
      </c>
      <c r="C97" s="52" t="s">
        <v>38</v>
      </c>
      <c r="D97" s="38">
        <v>5389</v>
      </c>
      <c r="E97" s="42">
        <f>-W96</f>
        <v>-94865.699999999983</v>
      </c>
      <c r="F97" s="68">
        <v>4.9599999999999998E-2</v>
      </c>
      <c r="G97" s="29">
        <f t="shared" si="32"/>
        <v>240.05</v>
      </c>
      <c r="H97" s="29"/>
      <c r="I97" s="29"/>
      <c r="J97" s="29"/>
      <c r="K97" s="57"/>
      <c r="L97" s="57"/>
      <c r="M97" s="57"/>
      <c r="N97" s="57">
        <f t="shared" si="34"/>
        <v>240.05</v>
      </c>
      <c r="O97" s="57"/>
      <c r="P97" s="50">
        <f t="shared" si="27"/>
        <v>-89236.64999999998</v>
      </c>
      <c r="Q97" s="29">
        <f t="shared" si="22"/>
        <v>61010.61</v>
      </c>
      <c r="R97" s="42"/>
      <c r="S97" s="6"/>
      <c r="T97" s="51"/>
      <c r="U97" s="58"/>
      <c r="V97" s="51"/>
      <c r="W97" s="58"/>
      <c r="X97" s="58">
        <f t="shared" si="36"/>
        <v>61010.61</v>
      </c>
    </row>
    <row r="98" spans="1:25" ht="13.8" thickBot="1" x14ac:dyDescent="0.3">
      <c r="A98" s="8">
        <f t="shared" ref="A98:A115" si="37">+A97+1</f>
        <v>91</v>
      </c>
      <c r="B98" s="20">
        <v>43435</v>
      </c>
      <c r="C98" s="65"/>
      <c r="D98" s="43">
        <f>20579.52+646.95</f>
        <v>21226.47</v>
      </c>
      <c r="E98" s="44"/>
      <c r="F98" s="69">
        <v>4.9599999999999998E-2</v>
      </c>
      <c r="G98" s="31">
        <f t="shared" si="32"/>
        <v>296.05</v>
      </c>
      <c r="H98" s="31"/>
      <c r="I98" s="31"/>
      <c r="J98" s="31"/>
      <c r="K98" s="67"/>
      <c r="L98" s="67"/>
      <c r="M98" s="67"/>
      <c r="N98" s="67">
        <f t="shared" si="34"/>
        <v>296.05</v>
      </c>
      <c r="O98" s="67"/>
      <c r="P98" s="54">
        <f t="shared" si="27"/>
        <v>21522.52</v>
      </c>
      <c r="Q98" s="31">
        <f t="shared" si="22"/>
        <v>82533.13</v>
      </c>
      <c r="R98" s="44"/>
      <c r="S98" s="55"/>
      <c r="T98" s="56"/>
      <c r="U98" s="54"/>
      <c r="V98" s="56"/>
      <c r="W98" s="54"/>
      <c r="X98" s="54">
        <f t="shared" si="36"/>
        <v>82533.13</v>
      </c>
      <c r="Y98" s="56"/>
    </row>
    <row r="99" spans="1:25" x14ac:dyDescent="0.25">
      <c r="A99" s="8">
        <f t="shared" si="37"/>
        <v>92</v>
      </c>
      <c r="B99" s="2">
        <v>43466</v>
      </c>
      <c r="C99" s="63"/>
      <c r="D99" s="38">
        <f>5647.24+468.88</f>
        <v>6116.12</v>
      </c>
      <c r="E99" s="42"/>
      <c r="F99" s="68">
        <v>5.1799999999999999E-2</v>
      </c>
      <c r="G99" s="29">
        <f t="shared" si="32"/>
        <v>369.47</v>
      </c>
      <c r="H99" s="29"/>
      <c r="I99" s="29"/>
      <c r="J99" s="29"/>
      <c r="K99" s="57"/>
      <c r="L99" s="57"/>
      <c r="M99" s="57"/>
      <c r="N99" s="57">
        <f t="shared" ref="N99:N108" si="38">ROUND(X98*F99/12,2)</f>
        <v>356.27</v>
      </c>
      <c r="O99" s="57">
        <f t="shared" ref="O99:O108" si="39">G99-N99</f>
        <v>13.200000000000045</v>
      </c>
      <c r="P99" s="50">
        <f t="shared" si="27"/>
        <v>6485.59</v>
      </c>
      <c r="Q99" s="29">
        <f t="shared" ref="Q99" si="40">+Q98+P99</f>
        <v>89018.72</v>
      </c>
      <c r="R99" s="42"/>
      <c r="S99" s="6"/>
      <c r="T99" s="51"/>
      <c r="U99" s="58"/>
      <c r="V99" s="51"/>
      <c r="W99" s="58"/>
      <c r="X99" s="58">
        <f t="shared" ref="X99:X108" si="41">X98+N99</f>
        <v>82889.400000000009</v>
      </c>
      <c r="Y99" s="58">
        <f t="shared" ref="Y99:Y108" si="42">Q99-X99</f>
        <v>6129.3199999999924</v>
      </c>
    </row>
    <row r="100" spans="1:25" x14ac:dyDescent="0.25">
      <c r="A100" s="8">
        <f t="shared" si="37"/>
        <v>93</v>
      </c>
      <c r="B100" s="2">
        <v>43497</v>
      </c>
      <c r="D100" s="38">
        <f>6323.63+42.63</f>
        <v>6366.26</v>
      </c>
      <c r="E100" s="28"/>
      <c r="F100" s="68">
        <v>5.1799999999999999E-2</v>
      </c>
      <c r="G100" s="29">
        <f t="shared" si="32"/>
        <v>398</v>
      </c>
      <c r="H100" s="18"/>
      <c r="I100" s="18"/>
      <c r="J100" s="18"/>
      <c r="K100" s="18"/>
      <c r="L100" s="18"/>
      <c r="M100" s="18"/>
      <c r="N100" s="57">
        <f t="shared" si="38"/>
        <v>357.81</v>
      </c>
      <c r="O100" s="57">
        <f t="shared" si="39"/>
        <v>40.19</v>
      </c>
      <c r="P100" s="50">
        <f t="shared" si="27"/>
        <v>6764.26</v>
      </c>
      <c r="Q100" s="29">
        <f t="shared" ref="Q100:Q108" si="43">+Q99+P100</f>
        <v>95782.98</v>
      </c>
      <c r="R100" s="28"/>
      <c r="X100" s="58">
        <f t="shared" si="41"/>
        <v>83247.210000000006</v>
      </c>
      <c r="Y100" s="58">
        <f t="shared" si="42"/>
        <v>12535.76999999999</v>
      </c>
    </row>
    <row r="101" spans="1:25" x14ac:dyDescent="0.25">
      <c r="A101" s="8">
        <f t="shared" si="37"/>
        <v>94</v>
      </c>
      <c r="B101" s="2">
        <v>43525</v>
      </c>
      <c r="C101" s="52" t="s">
        <v>39</v>
      </c>
      <c r="D101" s="38">
        <v>7757.76</v>
      </c>
      <c r="E101" s="28"/>
      <c r="F101" s="68">
        <v>5.1799999999999999E-2</v>
      </c>
      <c r="G101" s="29">
        <f t="shared" si="32"/>
        <v>430.21</v>
      </c>
      <c r="H101" s="18"/>
      <c r="I101" s="18"/>
      <c r="J101" s="18"/>
      <c r="K101" s="18"/>
      <c r="L101" s="18"/>
      <c r="M101" s="18"/>
      <c r="N101" s="57">
        <f t="shared" si="38"/>
        <v>359.35</v>
      </c>
      <c r="O101" s="57">
        <f t="shared" si="39"/>
        <v>70.859999999999957</v>
      </c>
      <c r="P101" s="50">
        <f t="shared" si="27"/>
        <v>8187.97</v>
      </c>
      <c r="Q101" s="29">
        <f t="shared" si="43"/>
        <v>103970.95</v>
      </c>
      <c r="R101" s="28"/>
      <c r="X101" s="58">
        <f t="shared" si="41"/>
        <v>83606.560000000012</v>
      </c>
      <c r="Y101" s="58">
        <f t="shared" si="42"/>
        <v>20364.389999999985</v>
      </c>
    </row>
    <row r="102" spans="1:25" x14ac:dyDescent="0.25">
      <c r="A102" s="8">
        <f t="shared" si="37"/>
        <v>95</v>
      </c>
      <c r="B102" s="2">
        <v>43556</v>
      </c>
      <c r="C102" s="52" t="s">
        <v>39</v>
      </c>
      <c r="D102" s="38">
        <v>7421.98</v>
      </c>
      <c r="E102" s="28"/>
      <c r="F102" s="68">
        <v>5.45E-2</v>
      </c>
      <c r="G102" s="29">
        <f t="shared" si="32"/>
        <v>489.06</v>
      </c>
      <c r="H102" s="18"/>
      <c r="I102" s="18"/>
      <c r="J102" s="18"/>
      <c r="K102" s="18"/>
      <c r="L102" s="18"/>
      <c r="M102" s="18"/>
      <c r="N102" s="57">
        <f t="shared" si="38"/>
        <v>379.71</v>
      </c>
      <c r="O102" s="57">
        <f t="shared" si="39"/>
        <v>109.35000000000002</v>
      </c>
      <c r="P102" s="50">
        <f t="shared" si="27"/>
        <v>7911.04</v>
      </c>
      <c r="Q102" s="29">
        <f t="shared" si="43"/>
        <v>111881.98999999999</v>
      </c>
      <c r="R102" s="28"/>
      <c r="X102" s="58">
        <f t="shared" si="41"/>
        <v>83986.270000000019</v>
      </c>
      <c r="Y102" s="58">
        <f t="shared" si="42"/>
        <v>27895.719999999972</v>
      </c>
    </row>
    <row r="103" spans="1:25" x14ac:dyDescent="0.25">
      <c r="A103" s="8">
        <f t="shared" si="37"/>
        <v>96</v>
      </c>
      <c r="B103" s="2">
        <v>43586</v>
      </c>
      <c r="C103" s="52" t="s">
        <v>39</v>
      </c>
      <c r="D103" s="38">
        <v>2709.82</v>
      </c>
      <c r="E103" s="28"/>
      <c r="F103" s="68">
        <v>5.45E-2</v>
      </c>
      <c r="G103" s="29">
        <f t="shared" si="32"/>
        <v>514.28</v>
      </c>
      <c r="H103" s="18"/>
      <c r="I103" s="18"/>
      <c r="J103" s="18"/>
      <c r="K103" s="18"/>
      <c r="L103" s="18"/>
      <c r="M103" s="18"/>
      <c r="N103" s="57">
        <f t="shared" si="38"/>
        <v>381.44</v>
      </c>
      <c r="O103" s="57">
        <f t="shared" si="39"/>
        <v>132.83999999999997</v>
      </c>
      <c r="P103" s="50">
        <f t="shared" si="27"/>
        <v>3224.1000000000004</v>
      </c>
      <c r="Q103" s="29">
        <f t="shared" si="43"/>
        <v>115106.09</v>
      </c>
      <c r="R103" s="28"/>
      <c r="X103" s="58">
        <f t="shared" si="41"/>
        <v>84367.710000000021</v>
      </c>
      <c r="Y103" s="58">
        <f t="shared" si="42"/>
        <v>30738.379999999976</v>
      </c>
    </row>
    <row r="104" spans="1:25" x14ac:dyDescent="0.25">
      <c r="A104" s="8">
        <f t="shared" si="37"/>
        <v>97</v>
      </c>
      <c r="B104" s="2">
        <v>43617</v>
      </c>
      <c r="C104" s="52" t="s">
        <v>39</v>
      </c>
      <c r="D104" s="38">
        <v>4654.3900000000003</v>
      </c>
      <c r="E104" s="28"/>
      <c r="F104" s="68">
        <v>5.45E-2</v>
      </c>
      <c r="G104" s="29">
        <f t="shared" si="32"/>
        <v>533.34</v>
      </c>
      <c r="H104" s="18"/>
      <c r="I104" s="18"/>
      <c r="J104" s="18"/>
      <c r="K104" s="18"/>
      <c r="L104" s="18"/>
      <c r="M104" s="18"/>
      <c r="N104" s="57">
        <f t="shared" si="38"/>
        <v>383.17</v>
      </c>
      <c r="O104" s="57">
        <f t="shared" si="39"/>
        <v>150.17000000000002</v>
      </c>
      <c r="P104" s="50">
        <f t="shared" si="27"/>
        <v>5187.7300000000005</v>
      </c>
      <c r="Q104" s="29">
        <f t="shared" si="43"/>
        <v>120293.81999999999</v>
      </c>
      <c r="R104" s="28"/>
      <c r="X104" s="58">
        <f t="shared" si="41"/>
        <v>84750.880000000019</v>
      </c>
      <c r="Y104" s="58">
        <f t="shared" si="42"/>
        <v>35542.939999999973</v>
      </c>
    </row>
    <row r="105" spans="1:25" x14ac:dyDescent="0.25">
      <c r="A105" s="8">
        <f t="shared" si="37"/>
        <v>98</v>
      </c>
      <c r="B105" s="2">
        <v>43647</v>
      </c>
      <c r="C105" s="52" t="s">
        <v>64</v>
      </c>
      <c r="D105" s="38">
        <v>4734.2700000000004</v>
      </c>
      <c r="E105" s="28"/>
      <c r="F105" s="296">
        <v>5.5E-2</v>
      </c>
      <c r="G105" s="29">
        <f t="shared" si="32"/>
        <v>562.20000000000005</v>
      </c>
      <c r="H105" s="18"/>
      <c r="I105" s="18"/>
      <c r="J105" s="18"/>
      <c r="K105" s="18"/>
      <c r="L105" s="18"/>
      <c r="M105" s="18"/>
      <c r="N105" s="57">
        <f t="shared" si="38"/>
        <v>388.44</v>
      </c>
      <c r="O105" s="57">
        <f t="shared" si="39"/>
        <v>173.76000000000005</v>
      </c>
      <c r="P105" s="50">
        <f t="shared" si="27"/>
        <v>5296.47</v>
      </c>
      <c r="Q105" s="29">
        <f t="shared" si="43"/>
        <v>125590.29</v>
      </c>
      <c r="R105" s="28"/>
      <c r="X105" s="58">
        <f t="shared" si="41"/>
        <v>85139.320000000022</v>
      </c>
      <c r="Y105" s="58">
        <f t="shared" si="42"/>
        <v>40450.969999999972</v>
      </c>
    </row>
    <row r="106" spans="1:25" x14ac:dyDescent="0.25">
      <c r="A106" s="8">
        <f t="shared" si="37"/>
        <v>99</v>
      </c>
      <c r="B106" s="2">
        <v>43678</v>
      </c>
      <c r="C106" s="52" t="s">
        <v>64</v>
      </c>
      <c r="D106" s="38">
        <v>4497.6499999999996</v>
      </c>
      <c r="E106" s="28"/>
      <c r="F106" s="296">
        <v>5.5E-2</v>
      </c>
      <c r="G106" s="29">
        <f t="shared" si="32"/>
        <v>585.92999999999995</v>
      </c>
      <c r="H106" s="18"/>
      <c r="I106" s="18"/>
      <c r="J106" s="18"/>
      <c r="K106" s="18"/>
      <c r="L106" s="18"/>
      <c r="M106" s="18"/>
      <c r="N106" s="57">
        <f t="shared" si="38"/>
        <v>390.22</v>
      </c>
      <c r="O106" s="57">
        <f t="shared" si="39"/>
        <v>195.70999999999992</v>
      </c>
      <c r="P106" s="50">
        <f t="shared" si="27"/>
        <v>5083.58</v>
      </c>
      <c r="Q106" s="29">
        <f t="shared" si="43"/>
        <v>130673.87</v>
      </c>
      <c r="R106" s="28"/>
      <c r="X106" s="58">
        <f t="shared" si="41"/>
        <v>85529.540000000023</v>
      </c>
      <c r="Y106" s="58">
        <f t="shared" si="42"/>
        <v>45144.329999999973</v>
      </c>
    </row>
    <row r="107" spans="1:25" x14ac:dyDescent="0.25">
      <c r="A107" s="8">
        <f t="shared" si="37"/>
        <v>100</v>
      </c>
      <c r="B107" s="2">
        <v>43709</v>
      </c>
      <c r="C107" s="52" t="s">
        <v>64</v>
      </c>
      <c r="D107" s="38">
        <v>4196.0200000000004</v>
      </c>
      <c r="E107" s="28"/>
      <c r="F107" s="296">
        <v>5.5E-2</v>
      </c>
      <c r="G107" s="29">
        <f t="shared" si="32"/>
        <v>608.54</v>
      </c>
      <c r="H107" s="18"/>
      <c r="I107" s="18"/>
      <c r="J107" s="18"/>
      <c r="K107" s="18"/>
      <c r="L107" s="18"/>
      <c r="M107" s="18"/>
      <c r="N107" s="57">
        <f t="shared" si="38"/>
        <v>392.01</v>
      </c>
      <c r="O107" s="57">
        <f t="shared" si="39"/>
        <v>216.52999999999997</v>
      </c>
      <c r="P107" s="50">
        <f t="shared" si="27"/>
        <v>4804.5600000000004</v>
      </c>
      <c r="Q107" s="29">
        <f t="shared" si="43"/>
        <v>135478.43</v>
      </c>
      <c r="R107" s="28"/>
      <c r="X107" s="58">
        <f t="shared" si="41"/>
        <v>85921.550000000017</v>
      </c>
      <c r="Y107" s="58">
        <f t="shared" si="42"/>
        <v>49556.879999999976</v>
      </c>
    </row>
    <row r="108" spans="1:25" x14ac:dyDescent="0.25">
      <c r="A108" s="8">
        <f t="shared" si="37"/>
        <v>101</v>
      </c>
      <c r="B108" s="2">
        <v>43739</v>
      </c>
      <c r="C108" s="52" t="s">
        <v>64</v>
      </c>
      <c r="D108" s="38">
        <v>4196.0200000000004</v>
      </c>
      <c r="E108" s="28"/>
      <c r="F108" s="296">
        <v>5.4199999999999998E-2</v>
      </c>
      <c r="G108" s="29">
        <f t="shared" si="32"/>
        <v>621.39</v>
      </c>
      <c r="H108" s="18"/>
      <c r="I108" s="18"/>
      <c r="J108" s="18"/>
      <c r="K108" s="18"/>
      <c r="L108" s="18"/>
      <c r="M108" s="18"/>
      <c r="N108" s="57">
        <f t="shared" si="38"/>
        <v>388.08</v>
      </c>
      <c r="O108" s="57">
        <f t="shared" si="39"/>
        <v>233.31</v>
      </c>
      <c r="P108" s="50">
        <f t="shared" si="27"/>
        <v>4817.4100000000008</v>
      </c>
      <c r="Q108" s="297">
        <f t="shared" si="43"/>
        <v>140295.84</v>
      </c>
      <c r="R108" s="28"/>
      <c r="X108" s="58">
        <f t="shared" si="41"/>
        <v>86309.630000000019</v>
      </c>
      <c r="Y108" s="58">
        <f t="shared" si="42"/>
        <v>53986.209999999977</v>
      </c>
    </row>
    <row r="109" spans="1:25" x14ac:dyDescent="0.25">
      <c r="A109" s="8">
        <f t="shared" si="37"/>
        <v>102</v>
      </c>
      <c r="D109" s="38"/>
      <c r="E109" s="28"/>
      <c r="F109" s="25"/>
      <c r="G109" s="18"/>
      <c r="H109" s="18"/>
      <c r="I109" s="18"/>
      <c r="J109" s="18"/>
      <c r="K109" s="18"/>
      <c r="L109" s="18"/>
      <c r="M109" s="18"/>
      <c r="N109" s="18"/>
      <c r="O109" s="18"/>
      <c r="P109" s="15"/>
      <c r="Q109" s="18"/>
      <c r="R109" s="28"/>
    </row>
    <row r="110" spans="1:25" x14ac:dyDescent="0.25">
      <c r="A110" s="8">
        <f t="shared" si="37"/>
        <v>103</v>
      </c>
      <c r="B110" s="70" t="s">
        <v>40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</row>
    <row r="111" spans="1:25" x14ac:dyDescent="0.25">
      <c r="A111" s="8">
        <f t="shared" si="37"/>
        <v>104</v>
      </c>
      <c r="B111" s="71" t="s">
        <v>60</v>
      </c>
      <c r="D111" s="28"/>
      <c r="E111" s="28"/>
      <c r="F111" s="28"/>
      <c r="G111" s="28"/>
      <c r="H111" s="28"/>
      <c r="I111" s="28"/>
      <c r="J111" s="28"/>
      <c r="K111" s="219" t="s">
        <v>311</v>
      </c>
      <c r="L111" s="301"/>
      <c r="M111" s="300"/>
      <c r="N111" s="300"/>
      <c r="O111" s="300"/>
      <c r="P111" s="300"/>
      <c r="Q111" s="50"/>
    </row>
    <row r="112" spans="1:25" x14ac:dyDescent="0.25">
      <c r="A112" s="8">
        <f t="shared" si="37"/>
        <v>105</v>
      </c>
      <c r="B112" s="72" t="s">
        <v>65</v>
      </c>
      <c r="D112" s="28"/>
      <c r="E112" s="28"/>
      <c r="F112" s="28"/>
      <c r="G112" s="28"/>
      <c r="H112" s="28"/>
      <c r="I112" s="28"/>
      <c r="J112" s="28"/>
      <c r="K112" s="298">
        <f>Q108</f>
        <v>140295.84</v>
      </c>
      <c r="L112" s="300"/>
      <c r="M112" s="302"/>
      <c r="N112" s="300"/>
      <c r="O112" s="300"/>
      <c r="P112" s="300"/>
      <c r="Q112" s="50"/>
      <c r="S112" s="2" t="s">
        <v>312</v>
      </c>
    </row>
    <row r="113" spans="1:19" x14ac:dyDescent="0.25">
      <c r="A113" s="8">
        <f t="shared" si="37"/>
        <v>106</v>
      </c>
      <c r="B113" s="2" t="s">
        <v>61</v>
      </c>
      <c r="D113" s="28"/>
      <c r="E113" s="28"/>
      <c r="F113" s="28"/>
      <c r="G113" s="28"/>
      <c r="H113" s="28"/>
      <c r="I113" s="28"/>
      <c r="J113" s="28"/>
      <c r="K113" s="298">
        <f>'186312 Energy Eff Res &amp; Comm'!Q107</f>
        <v>5225698.08</v>
      </c>
      <c r="L113" s="300"/>
      <c r="M113" s="302"/>
      <c r="N113" s="300"/>
      <c r="O113" s="300"/>
      <c r="P113" s="300"/>
      <c r="Q113" s="50"/>
      <c r="S113" s="2" t="s">
        <v>313</v>
      </c>
    </row>
    <row r="114" spans="1:19" x14ac:dyDescent="0.25">
      <c r="A114" s="8">
        <f t="shared" si="37"/>
        <v>107</v>
      </c>
      <c r="B114" s="72" t="s">
        <v>62</v>
      </c>
      <c r="K114" s="220">
        <f>K112+K113</f>
        <v>5365993.92</v>
      </c>
      <c r="L114" s="50"/>
      <c r="M114" s="84"/>
      <c r="N114" s="50"/>
      <c r="O114" s="50"/>
      <c r="P114" s="50"/>
      <c r="Q114" s="50"/>
    </row>
    <row r="115" spans="1:19" x14ac:dyDescent="0.25">
      <c r="A115" s="8">
        <f t="shared" si="37"/>
        <v>108</v>
      </c>
      <c r="B115" s="2" t="s">
        <v>63</v>
      </c>
      <c r="K115" s="50"/>
      <c r="L115" s="50"/>
      <c r="M115" s="84"/>
      <c r="N115" s="50"/>
      <c r="O115" s="50"/>
      <c r="P115" s="50"/>
      <c r="Q115" s="50"/>
      <c r="R115" s="7"/>
      <c r="S115" s="221"/>
    </row>
    <row r="116" spans="1:19" x14ac:dyDescent="0.25">
      <c r="K116" s="50"/>
      <c r="L116" s="50"/>
      <c r="M116" s="84"/>
      <c r="N116" s="50"/>
      <c r="O116" s="50"/>
      <c r="P116" s="50"/>
      <c r="Q116" s="50"/>
      <c r="R116" s="58"/>
    </row>
    <row r="117" spans="1:19" x14ac:dyDescent="0.25">
      <c r="K117" s="50"/>
      <c r="L117" s="50"/>
      <c r="M117" s="84"/>
      <c r="N117" s="50"/>
      <c r="O117" s="50"/>
      <c r="P117" s="50"/>
      <c r="Q117" s="50"/>
      <c r="R117" s="58"/>
    </row>
    <row r="118" spans="1:19" x14ac:dyDescent="0.25">
      <c r="K118" s="50"/>
      <c r="L118" s="50"/>
      <c r="M118" s="84"/>
      <c r="N118" s="50"/>
      <c r="O118" s="50"/>
      <c r="P118" s="50"/>
      <c r="Q118" s="50"/>
      <c r="R118" s="58"/>
    </row>
    <row r="119" spans="1:19" x14ac:dyDescent="0.25">
      <c r="K119" s="50"/>
      <c r="L119" s="50"/>
      <c r="M119" s="50"/>
      <c r="N119" s="50"/>
      <c r="O119" s="50"/>
      <c r="P119" s="50"/>
      <c r="Q119" s="50"/>
    </row>
  </sheetData>
  <printOptions horizontalCentered="1"/>
  <pageMargins left="0.5" right="0.5" top="0.5" bottom="0.5" header="0.25" footer="0.25"/>
  <pageSetup scale="37" orientation="landscape" r:id="rId1"/>
  <headerFooter alignWithMargins="0">
    <oddHeader>&amp;RUG-181053 NWN Compliance Filing
Advice 19-07 / Work Paper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Y114"/>
  <sheetViews>
    <sheetView topLeftCell="O1" zoomScaleNormal="100" workbookViewId="0">
      <selection activeCell="W2" sqref="W2"/>
    </sheetView>
  </sheetViews>
  <sheetFormatPr defaultColWidth="9.109375" defaultRowHeight="13.2" outlineLevelRow="1" x14ac:dyDescent="0.25"/>
  <cols>
    <col min="1" max="1" width="4.6640625" style="1" customWidth="1"/>
    <col min="2" max="2" width="15.6640625" style="2" customWidth="1"/>
    <col min="3" max="3" width="10.44140625" style="2" customWidth="1"/>
    <col min="4" max="4" width="15.6640625" style="2" customWidth="1"/>
    <col min="5" max="5" width="19" style="2" customWidth="1"/>
    <col min="6" max="7" width="15.6640625" style="2" customWidth="1"/>
    <col min="8" max="10" width="15.6640625" style="3" customWidth="1"/>
    <col min="11" max="11" width="11.44140625" style="3" customWidth="1" collapsed="1"/>
    <col min="12" max="15" width="15.6640625" style="15" customWidth="1"/>
    <col min="16" max="16" width="17.109375" style="2" bestFit="1" customWidth="1"/>
    <col min="17" max="17" width="15.6640625" style="2" customWidth="1"/>
    <col min="18" max="18" width="15.6640625" style="3" customWidth="1"/>
    <col min="19" max="20" width="15.6640625" style="2" customWidth="1"/>
    <col min="21" max="21" width="16" style="2" customWidth="1" collapsed="1"/>
    <col min="22" max="22" width="16.33203125" style="2" customWidth="1"/>
    <col min="23" max="23" width="15.88671875" style="2" customWidth="1"/>
    <col min="24" max="25" width="15.6640625" style="2" customWidth="1"/>
    <col min="26" max="16384" width="9.109375" style="2"/>
  </cols>
  <sheetData>
    <row r="1" spans="1:25" x14ac:dyDescent="0.25">
      <c r="B1" s="2" t="s">
        <v>0</v>
      </c>
      <c r="D1" s="2" t="s">
        <v>1</v>
      </c>
    </row>
    <row r="2" spans="1:25" x14ac:dyDescent="0.25">
      <c r="B2" s="2" t="s">
        <v>2</v>
      </c>
      <c r="D2" s="2" t="s">
        <v>3</v>
      </c>
    </row>
    <row r="3" spans="1:25" x14ac:dyDescent="0.25">
      <c r="B3" s="2" t="s">
        <v>4</v>
      </c>
      <c r="D3" s="14" t="s">
        <v>41</v>
      </c>
    </row>
    <row r="4" spans="1:25" x14ac:dyDescent="0.25">
      <c r="B4" s="2" t="s">
        <v>6</v>
      </c>
      <c r="D4" s="5">
        <v>186312</v>
      </c>
    </row>
    <row r="5" spans="1:25" x14ac:dyDescent="0.25">
      <c r="B5" s="2" t="s">
        <v>7</v>
      </c>
      <c r="D5" s="6" t="s">
        <v>42</v>
      </c>
    </row>
    <row r="6" spans="1:25" x14ac:dyDescent="0.25">
      <c r="D6" s="6" t="s">
        <v>9</v>
      </c>
    </row>
    <row r="8" spans="1:25" x14ac:dyDescent="0.25">
      <c r="A8" s="8">
        <v>1</v>
      </c>
      <c r="B8" s="2" t="s">
        <v>10</v>
      </c>
      <c r="F8" s="11"/>
      <c r="G8" s="11"/>
      <c r="H8" s="9"/>
      <c r="I8" s="9"/>
      <c r="J8" s="9"/>
      <c r="K8" s="9"/>
      <c r="L8" s="73"/>
      <c r="M8" s="73"/>
      <c r="N8" s="73"/>
      <c r="O8" s="73"/>
    </row>
    <row r="9" spans="1:25" x14ac:dyDescent="0.25">
      <c r="A9" s="8">
        <f t="shared" ref="A9:A14" si="0">+A8+1</f>
        <v>2</v>
      </c>
      <c r="E9" s="98"/>
      <c r="F9" s="110"/>
      <c r="G9" s="11"/>
      <c r="H9" s="10">
        <v>2012</v>
      </c>
      <c r="I9" s="10">
        <v>2013</v>
      </c>
      <c r="J9" s="10">
        <v>2014</v>
      </c>
      <c r="K9" s="10">
        <v>2015</v>
      </c>
      <c r="L9" s="74">
        <v>2016</v>
      </c>
      <c r="M9" s="74">
        <v>2017</v>
      </c>
      <c r="N9" s="74">
        <v>2018</v>
      </c>
      <c r="O9" s="74">
        <v>2019</v>
      </c>
      <c r="R9" s="10">
        <v>2012</v>
      </c>
      <c r="S9" s="10">
        <v>2013</v>
      </c>
      <c r="T9" s="10">
        <v>2014</v>
      </c>
      <c r="U9" s="10">
        <v>2015</v>
      </c>
      <c r="V9" s="10">
        <v>2016</v>
      </c>
      <c r="W9" s="10">
        <v>2017</v>
      </c>
      <c r="X9" s="10">
        <v>2018</v>
      </c>
      <c r="Y9" s="10">
        <v>2019</v>
      </c>
    </row>
    <row r="10" spans="1:25" x14ac:dyDescent="0.25">
      <c r="A10" s="8">
        <f t="shared" si="0"/>
        <v>3</v>
      </c>
      <c r="B10" s="11"/>
      <c r="C10" s="11"/>
      <c r="D10" s="11"/>
      <c r="E10" s="11"/>
      <c r="F10" s="11" t="s">
        <v>11</v>
      </c>
      <c r="G10" s="11"/>
      <c r="H10" s="9" t="s">
        <v>12</v>
      </c>
      <c r="I10" s="9" t="s">
        <v>12</v>
      </c>
      <c r="J10" s="9" t="s">
        <v>12</v>
      </c>
      <c r="K10" s="9" t="s">
        <v>12</v>
      </c>
      <c r="L10" s="9" t="s">
        <v>12</v>
      </c>
      <c r="M10" s="9" t="s">
        <v>12</v>
      </c>
      <c r="N10" s="9" t="s">
        <v>12</v>
      </c>
      <c r="O10" s="9" t="s">
        <v>12</v>
      </c>
      <c r="P10" s="11" t="s">
        <v>13</v>
      </c>
      <c r="Q10" s="11"/>
      <c r="R10" s="9" t="s">
        <v>12</v>
      </c>
      <c r="S10" s="9" t="s">
        <v>12</v>
      </c>
      <c r="T10" s="9" t="s">
        <v>12</v>
      </c>
      <c r="U10" s="10" t="s">
        <v>12</v>
      </c>
      <c r="V10" s="10" t="s">
        <v>12</v>
      </c>
      <c r="W10" s="10" t="s">
        <v>12</v>
      </c>
      <c r="X10" s="10" t="s">
        <v>12</v>
      </c>
      <c r="Y10" s="10" t="s">
        <v>12</v>
      </c>
    </row>
    <row r="11" spans="1:25" x14ac:dyDescent="0.25">
      <c r="A11" s="8">
        <f t="shared" si="0"/>
        <v>4</v>
      </c>
      <c r="B11" s="12" t="s">
        <v>14</v>
      </c>
      <c r="C11" s="12" t="s">
        <v>15</v>
      </c>
      <c r="D11" s="13" t="s">
        <v>16</v>
      </c>
      <c r="E11" s="12" t="s">
        <v>17</v>
      </c>
      <c r="F11" s="12" t="s">
        <v>18</v>
      </c>
      <c r="G11" s="12" t="s">
        <v>11</v>
      </c>
      <c r="H11" s="13" t="s">
        <v>11</v>
      </c>
      <c r="I11" s="13" t="s">
        <v>11</v>
      </c>
      <c r="J11" s="13" t="s">
        <v>11</v>
      </c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2" t="s">
        <v>19</v>
      </c>
      <c r="Q11" s="12" t="s">
        <v>20</v>
      </c>
      <c r="R11" s="13" t="s">
        <v>20</v>
      </c>
      <c r="S11" s="13" t="s">
        <v>20</v>
      </c>
      <c r="T11" s="13" t="s">
        <v>20</v>
      </c>
      <c r="U11" s="10" t="s">
        <v>20</v>
      </c>
      <c r="V11" s="10" t="s">
        <v>20</v>
      </c>
      <c r="W11" s="10" t="s">
        <v>20</v>
      </c>
      <c r="X11" s="10" t="s">
        <v>20</v>
      </c>
      <c r="Y11" s="10" t="s">
        <v>20</v>
      </c>
    </row>
    <row r="12" spans="1:25" x14ac:dyDescent="0.25">
      <c r="A12" s="8">
        <f t="shared" si="0"/>
        <v>5</v>
      </c>
      <c r="B12" s="11" t="s">
        <v>21</v>
      </c>
      <c r="C12" s="11" t="s">
        <v>22</v>
      </c>
      <c r="D12" s="11" t="s">
        <v>23</v>
      </c>
      <c r="E12" s="11" t="s">
        <v>24</v>
      </c>
      <c r="F12" s="11" t="s">
        <v>25</v>
      </c>
      <c r="G12" s="11" t="s">
        <v>26</v>
      </c>
      <c r="H12" s="11" t="s">
        <v>27</v>
      </c>
      <c r="I12" s="11" t="s">
        <v>28</v>
      </c>
      <c r="J12" s="11" t="s">
        <v>29</v>
      </c>
      <c r="K12" s="11" t="s">
        <v>30</v>
      </c>
      <c r="L12" s="11" t="s">
        <v>56</v>
      </c>
      <c r="M12" s="11" t="s">
        <v>57</v>
      </c>
      <c r="N12" s="11" t="s">
        <v>58</v>
      </c>
      <c r="O12" s="11" t="s">
        <v>59</v>
      </c>
      <c r="P12" s="11" t="s">
        <v>31</v>
      </c>
      <c r="Q12" s="11" t="s">
        <v>32</v>
      </c>
      <c r="R12" s="11" t="s">
        <v>33</v>
      </c>
      <c r="S12" s="11" t="s">
        <v>34</v>
      </c>
      <c r="T12" s="11" t="s">
        <v>35</v>
      </c>
      <c r="U12" s="11" t="s">
        <v>36</v>
      </c>
      <c r="V12" s="11" t="s">
        <v>52</v>
      </c>
      <c r="W12" s="11" t="s">
        <v>53</v>
      </c>
      <c r="X12" s="11" t="s">
        <v>54</v>
      </c>
      <c r="Y12" s="11" t="s">
        <v>55</v>
      </c>
    </row>
    <row r="13" spans="1:25" hidden="1" outlineLevel="1" x14ac:dyDescent="0.25">
      <c r="A13" s="8">
        <f t="shared" si="0"/>
        <v>6</v>
      </c>
      <c r="F13" s="11"/>
      <c r="G13" s="11"/>
      <c r="H13" s="9"/>
      <c r="I13" s="9"/>
      <c r="J13" s="9"/>
      <c r="K13" s="9"/>
      <c r="L13" s="73"/>
      <c r="M13" s="73"/>
      <c r="N13" s="73"/>
      <c r="O13" s="73"/>
    </row>
    <row r="14" spans="1:25" hidden="1" outlineLevel="1" x14ac:dyDescent="0.25">
      <c r="A14" s="8">
        <f t="shared" si="0"/>
        <v>7</v>
      </c>
      <c r="B14" s="2">
        <v>40939</v>
      </c>
      <c r="D14" s="17">
        <v>0</v>
      </c>
      <c r="F14" s="77">
        <v>3.2500000000000001E-2</v>
      </c>
      <c r="G14" s="26">
        <f>ROUND((+E14+(D14/2))*F14/12,2)</f>
        <v>0</v>
      </c>
      <c r="H14" s="78">
        <f t="shared" ref="H14:H25" si="1">+G14</f>
        <v>0</v>
      </c>
      <c r="I14" s="78"/>
      <c r="J14" s="78"/>
      <c r="K14" s="78"/>
      <c r="L14" s="78"/>
      <c r="M14" s="78"/>
      <c r="N14" s="78"/>
      <c r="O14" s="78"/>
      <c r="P14" s="15">
        <f t="shared" ref="P14:P45" si="2">SUM(D14:G14)</f>
        <v>3.2500000000000001E-2</v>
      </c>
      <c r="Q14" s="26">
        <f>+P14</f>
        <v>3.2500000000000001E-2</v>
      </c>
      <c r="R14" s="3">
        <f>+Q14</f>
        <v>3.2500000000000001E-2</v>
      </c>
    </row>
    <row r="15" spans="1:25" hidden="1" outlineLevel="1" x14ac:dyDescent="0.25">
      <c r="A15" s="8">
        <f t="shared" ref="A15:A71" si="3">+A14+1</f>
        <v>8</v>
      </c>
      <c r="B15" s="2">
        <f>+B14+29</f>
        <v>40968</v>
      </c>
      <c r="C15" s="34">
        <v>1</v>
      </c>
      <c r="D15" s="19">
        <v>630957</v>
      </c>
      <c r="F15" s="77">
        <v>3.2500000000000001E-2</v>
      </c>
      <c r="G15" s="26">
        <f t="shared" ref="G15:G46" si="4">ROUND((+Q14+E15+(D15/2))*F15/12,2)</f>
        <v>854.42</v>
      </c>
      <c r="H15" s="78">
        <f t="shared" si="1"/>
        <v>854.42</v>
      </c>
      <c r="I15" s="78"/>
      <c r="J15" s="78"/>
      <c r="K15" s="78"/>
      <c r="L15" s="78"/>
      <c r="M15" s="78"/>
      <c r="N15" s="78"/>
      <c r="O15" s="78"/>
      <c r="P15" s="15">
        <f t="shared" si="2"/>
        <v>631811.45250000001</v>
      </c>
      <c r="Q15" s="26">
        <f t="shared" ref="Q15:Q23" si="5">+Q14+P15</f>
        <v>631811.48499999999</v>
      </c>
      <c r="R15" s="3">
        <f t="shared" ref="R15:R25" si="6">+Q15</f>
        <v>631811.48499999999</v>
      </c>
    </row>
    <row r="16" spans="1:25" hidden="1" outlineLevel="1" x14ac:dyDescent="0.25">
      <c r="A16" s="8">
        <f t="shared" si="3"/>
        <v>9</v>
      </c>
      <c r="B16" s="2">
        <f>+B15+31</f>
        <v>40999</v>
      </c>
      <c r="D16" s="17">
        <v>0</v>
      </c>
      <c r="F16" s="77">
        <v>3.2500000000000001E-2</v>
      </c>
      <c r="G16" s="26">
        <f t="shared" si="4"/>
        <v>1711.16</v>
      </c>
      <c r="H16" s="78">
        <f t="shared" si="1"/>
        <v>1711.16</v>
      </c>
      <c r="I16" s="78"/>
      <c r="J16" s="78"/>
      <c r="K16" s="78"/>
      <c r="L16" s="78"/>
      <c r="M16" s="78"/>
      <c r="N16" s="78"/>
      <c r="O16" s="78"/>
      <c r="P16" s="15">
        <f t="shared" si="2"/>
        <v>1711.1925000000001</v>
      </c>
      <c r="Q16" s="26">
        <f t="shared" si="5"/>
        <v>633522.67749999999</v>
      </c>
      <c r="R16" s="3">
        <f t="shared" si="6"/>
        <v>633522.67749999999</v>
      </c>
    </row>
    <row r="17" spans="1:19" hidden="1" outlineLevel="1" x14ac:dyDescent="0.25">
      <c r="A17" s="8">
        <f t="shared" si="3"/>
        <v>10</v>
      </c>
      <c r="B17" s="2">
        <f>+B16+30</f>
        <v>41029</v>
      </c>
      <c r="D17" s="17">
        <v>0</v>
      </c>
      <c r="F17" s="77">
        <v>3.2500000000000001E-2</v>
      </c>
      <c r="G17" s="26">
        <f t="shared" si="4"/>
        <v>1715.79</v>
      </c>
      <c r="H17" s="78">
        <f t="shared" si="1"/>
        <v>1715.79</v>
      </c>
      <c r="I17" s="78"/>
      <c r="J17" s="78"/>
      <c r="K17" s="78"/>
      <c r="L17" s="78"/>
      <c r="M17" s="78"/>
      <c r="N17" s="78"/>
      <c r="O17" s="78"/>
      <c r="P17" s="15">
        <f t="shared" si="2"/>
        <v>1715.8225</v>
      </c>
      <c r="Q17" s="26">
        <f t="shared" si="5"/>
        <v>635238.5</v>
      </c>
      <c r="R17" s="3">
        <f t="shared" si="6"/>
        <v>635238.5</v>
      </c>
    </row>
    <row r="18" spans="1:19" hidden="1" outlineLevel="1" x14ac:dyDescent="0.25">
      <c r="A18" s="8">
        <f t="shared" si="3"/>
        <v>11</v>
      </c>
      <c r="B18" s="2">
        <f>+B17+31</f>
        <v>41060</v>
      </c>
      <c r="D18" s="17">
        <v>0</v>
      </c>
      <c r="F18" s="77">
        <v>3.2500000000000001E-2</v>
      </c>
      <c r="G18" s="26">
        <f t="shared" si="4"/>
        <v>1720.44</v>
      </c>
      <c r="H18" s="78">
        <f t="shared" si="1"/>
        <v>1720.44</v>
      </c>
      <c r="I18" s="78"/>
      <c r="J18" s="78"/>
      <c r="K18" s="78"/>
      <c r="L18" s="78"/>
      <c r="M18" s="78"/>
      <c r="N18" s="78"/>
      <c r="O18" s="78"/>
      <c r="P18" s="15">
        <f t="shared" si="2"/>
        <v>1720.4725000000001</v>
      </c>
      <c r="Q18" s="26">
        <f t="shared" si="5"/>
        <v>636958.97250000003</v>
      </c>
      <c r="R18" s="3">
        <f t="shared" si="6"/>
        <v>636958.97250000003</v>
      </c>
    </row>
    <row r="19" spans="1:19" hidden="1" outlineLevel="1" x14ac:dyDescent="0.25">
      <c r="A19" s="8">
        <f t="shared" si="3"/>
        <v>12</v>
      </c>
      <c r="B19" s="2">
        <f>+B18+30</f>
        <v>41090</v>
      </c>
      <c r="D19" s="17">
        <v>0</v>
      </c>
      <c r="F19" s="77">
        <v>3.2500000000000001E-2</v>
      </c>
      <c r="G19" s="26">
        <f t="shared" si="4"/>
        <v>1725.1</v>
      </c>
      <c r="H19" s="78">
        <f t="shared" si="1"/>
        <v>1725.1</v>
      </c>
      <c r="I19" s="78"/>
      <c r="J19" s="78"/>
      <c r="K19" s="78"/>
      <c r="L19" s="78"/>
      <c r="M19" s="78"/>
      <c r="N19" s="78"/>
      <c r="O19" s="78"/>
      <c r="P19" s="15">
        <f t="shared" si="2"/>
        <v>1725.1324999999999</v>
      </c>
      <c r="Q19" s="26">
        <f t="shared" si="5"/>
        <v>638684.10499999998</v>
      </c>
      <c r="R19" s="3">
        <f t="shared" si="6"/>
        <v>638684.10499999998</v>
      </c>
    </row>
    <row r="20" spans="1:19" hidden="1" outlineLevel="1" x14ac:dyDescent="0.25">
      <c r="A20" s="8">
        <f t="shared" si="3"/>
        <v>13</v>
      </c>
      <c r="B20" s="2">
        <f>+B19+31</f>
        <v>41121</v>
      </c>
      <c r="D20" s="17">
        <v>0</v>
      </c>
      <c r="F20" s="77">
        <v>3.2500000000000001E-2</v>
      </c>
      <c r="G20" s="26">
        <f t="shared" si="4"/>
        <v>1729.77</v>
      </c>
      <c r="H20" s="78">
        <f t="shared" si="1"/>
        <v>1729.77</v>
      </c>
      <c r="I20" s="78"/>
      <c r="J20" s="78"/>
      <c r="K20" s="78"/>
      <c r="L20" s="78"/>
      <c r="M20" s="78"/>
      <c r="N20" s="78"/>
      <c r="O20" s="78"/>
      <c r="P20" s="15">
        <f t="shared" si="2"/>
        <v>1729.8025</v>
      </c>
      <c r="Q20" s="26">
        <f t="shared" si="5"/>
        <v>640413.90749999997</v>
      </c>
      <c r="R20" s="3">
        <f t="shared" si="6"/>
        <v>640413.90749999997</v>
      </c>
    </row>
    <row r="21" spans="1:19" hidden="1" outlineLevel="1" x14ac:dyDescent="0.25">
      <c r="A21" s="8">
        <f t="shared" si="3"/>
        <v>14</v>
      </c>
      <c r="B21" s="2">
        <f>+B20+31</f>
        <v>41152</v>
      </c>
      <c r="D21" s="17">
        <v>0</v>
      </c>
      <c r="F21" s="77">
        <v>3.2500000000000001E-2</v>
      </c>
      <c r="G21" s="26">
        <f t="shared" si="4"/>
        <v>1734.45</v>
      </c>
      <c r="H21" s="78">
        <f t="shared" si="1"/>
        <v>1734.45</v>
      </c>
      <c r="I21" s="78"/>
      <c r="J21" s="78"/>
      <c r="K21" s="78"/>
      <c r="L21" s="78"/>
      <c r="M21" s="78"/>
      <c r="N21" s="78"/>
      <c r="O21" s="78"/>
      <c r="P21" s="15">
        <f t="shared" si="2"/>
        <v>1734.4825000000001</v>
      </c>
      <c r="Q21" s="26">
        <f t="shared" si="5"/>
        <v>642148.39</v>
      </c>
      <c r="R21" s="3">
        <f t="shared" si="6"/>
        <v>642148.39</v>
      </c>
    </row>
    <row r="22" spans="1:19" hidden="1" outlineLevel="1" x14ac:dyDescent="0.25">
      <c r="A22" s="8">
        <f t="shared" si="3"/>
        <v>15</v>
      </c>
      <c r="B22" s="2">
        <f>+B21+30</f>
        <v>41182</v>
      </c>
      <c r="D22" s="17">
        <v>0</v>
      </c>
      <c r="F22" s="77">
        <v>3.2500000000000001E-2</v>
      </c>
      <c r="G22" s="26">
        <f t="shared" si="4"/>
        <v>1739.15</v>
      </c>
      <c r="H22" s="78">
        <f t="shared" si="1"/>
        <v>1739.15</v>
      </c>
      <c r="I22" s="78"/>
      <c r="J22" s="78"/>
      <c r="K22" s="78"/>
      <c r="L22" s="78"/>
      <c r="M22" s="78"/>
      <c r="N22" s="78"/>
      <c r="O22" s="78"/>
      <c r="P22" s="15">
        <f t="shared" si="2"/>
        <v>1739.1825000000001</v>
      </c>
      <c r="Q22" s="26">
        <f t="shared" si="5"/>
        <v>643887.57250000001</v>
      </c>
      <c r="R22" s="3">
        <f t="shared" si="6"/>
        <v>643887.57250000001</v>
      </c>
    </row>
    <row r="23" spans="1:19" hidden="1" outlineLevel="1" x14ac:dyDescent="0.25">
      <c r="A23" s="8">
        <f t="shared" si="3"/>
        <v>16</v>
      </c>
      <c r="B23" s="2">
        <f>+B22+31</f>
        <v>41213</v>
      </c>
      <c r="C23" s="34">
        <v>1</v>
      </c>
      <c r="D23" s="17">
        <v>630957</v>
      </c>
      <c r="F23" s="77">
        <v>3.2500000000000001E-2</v>
      </c>
      <c r="G23" s="26">
        <f t="shared" si="4"/>
        <v>2598.2800000000002</v>
      </c>
      <c r="H23" s="78">
        <f t="shared" si="1"/>
        <v>2598.2800000000002</v>
      </c>
      <c r="I23" s="78"/>
      <c r="J23" s="78"/>
      <c r="K23" s="78"/>
      <c r="L23" s="78"/>
      <c r="M23" s="78"/>
      <c r="N23" s="78"/>
      <c r="O23" s="78"/>
      <c r="P23" s="15">
        <f t="shared" si="2"/>
        <v>633555.3125</v>
      </c>
      <c r="Q23" s="26">
        <f t="shared" si="5"/>
        <v>1277442.885</v>
      </c>
      <c r="R23" s="3">
        <f t="shared" si="6"/>
        <v>1277442.885</v>
      </c>
    </row>
    <row r="24" spans="1:19" hidden="1" outlineLevel="1" x14ac:dyDescent="0.25">
      <c r="A24" s="8">
        <f t="shared" si="3"/>
        <v>17</v>
      </c>
      <c r="B24" s="2">
        <f>+B23+30</f>
        <v>41243</v>
      </c>
      <c r="C24" s="34">
        <v>2</v>
      </c>
      <c r="D24" s="17">
        <v>0</v>
      </c>
      <c r="E24" s="3"/>
      <c r="F24" s="77">
        <v>3.2500000000000001E-2</v>
      </c>
      <c r="G24" s="26">
        <f t="shared" si="4"/>
        <v>3459.74</v>
      </c>
      <c r="H24" s="78">
        <f t="shared" si="1"/>
        <v>3459.74</v>
      </c>
      <c r="I24" s="78"/>
      <c r="J24" s="78"/>
      <c r="K24" s="78"/>
      <c r="L24" s="78"/>
      <c r="M24" s="78"/>
      <c r="N24" s="78"/>
      <c r="O24" s="78"/>
      <c r="P24" s="15">
        <f t="shared" si="2"/>
        <v>3459.7724999999996</v>
      </c>
      <c r="Q24" s="26">
        <f>+Q23+P24</f>
        <v>1280902.6575</v>
      </c>
      <c r="R24" s="3">
        <f t="shared" si="6"/>
        <v>1280902.6575</v>
      </c>
    </row>
    <row r="25" spans="1:19" ht="13.8" hidden="1" outlineLevel="1" thickBot="1" x14ac:dyDescent="0.3">
      <c r="A25" s="8">
        <f t="shared" si="3"/>
        <v>18</v>
      </c>
      <c r="B25" s="20">
        <f>+B24+31</f>
        <v>41274</v>
      </c>
      <c r="C25" s="35"/>
      <c r="D25" s="21">
        <v>0</v>
      </c>
      <c r="E25" s="22"/>
      <c r="F25" s="27">
        <v>3.2500000000000001E-2</v>
      </c>
      <c r="G25" s="23">
        <f t="shared" si="4"/>
        <v>3469.11</v>
      </c>
      <c r="H25" s="79">
        <f t="shared" si="1"/>
        <v>3469.11</v>
      </c>
      <c r="I25" s="79"/>
      <c r="J25" s="79"/>
      <c r="K25" s="79"/>
      <c r="L25" s="79"/>
      <c r="M25" s="79"/>
      <c r="N25" s="79"/>
      <c r="O25" s="79"/>
      <c r="P25" s="22">
        <f t="shared" si="2"/>
        <v>3469.1424999999999</v>
      </c>
      <c r="Q25" s="23">
        <f>+Q24+P25</f>
        <v>1284371.8</v>
      </c>
      <c r="R25" s="22">
        <f t="shared" si="6"/>
        <v>1284371.8</v>
      </c>
      <c r="S25" s="20"/>
    </row>
    <row r="26" spans="1:19" hidden="1" outlineLevel="1" x14ac:dyDescent="0.25">
      <c r="A26" s="8">
        <f t="shared" si="3"/>
        <v>19</v>
      </c>
      <c r="B26" s="37">
        <f>+B25+31</f>
        <v>41305</v>
      </c>
      <c r="D26" s="17">
        <v>0</v>
      </c>
      <c r="F26" s="77">
        <v>3.2500000000000001E-2</v>
      </c>
      <c r="G26" s="26">
        <f t="shared" si="4"/>
        <v>3478.51</v>
      </c>
      <c r="H26" s="57">
        <f t="shared" ref="H26:H35" si="7">ROUND(R25*F26/12,2)</f>
        <v>3478.51</v>
      </c>
      <c r="I26" s="78">
        <f t="shared" ref="I26:I37" si="8">+G26-H26</f>
        <v>0</v>
      </c>
      <c r="J26" s="78"/>
      <c r="K26" s="78"/>
      <c r="L26" s="78"/>
      <c r="M26" s="78"/>
      <c r="N26" s="78"/>
      <c r="O26" s="78"/>
      <c r="P26" s="15">
        <f t="shared" si="2"/>
        <v>3478.5425</v>
      </c>
      <c r="Q26" s="26">
        <f>+Q25+P26</f>
        <v>1287850.3425</v>
      </c>
      <c r="R26" s="3">
        <f t="shared" ref="R26:R35" si="9">+R25+H26</f>
        <v>1287850.31</v>
      </c>
      <c r="S26" s="39">
        <f t="shared" ref="S26:S37" si="10">+Q26-R26</f>
        <v>3.2499999972060323E-2</v>
      </c>
    </row>
    <row r="27" spans="1:19" hidden="1" outlineLevel="1" x14ac:dyDescent="0.25">
      <c r="A27" s="8">
        <f t="shared" si="3"/>
        <v>20</v>
      </c>
      <c r="B27" s="16">
        <f>+B26+28</f>
        <v>41333</v>
      </c>
      <c r="D27" s="17">
        <v>0</v>
      </c>
      <c r="F27" s="77">
        <v>3.2500000000000001E-2</v>
      </c>
      <c r="G27" s="26">
        <f t="shared" si="4"/>
        <v>3487.93</v>
      </c>
      <c r="H27" s="57">
        <f t="shared" si="7"/>
        <v>3487.93</v>
      </c>
      <c r="I27" s="78">
        <f t="shared" si="8"/>
        <v>0</v>
      </c>
      <c r="J27" s="78"/>
      <c r="K27" s="78"/>
      <c r="L27" s="78"/>
      <c r="M27" s="78"/>
      <c r="N27" s="78"/>
      <c r="O27" s="78"/>
      <c r="P27" s="15">
        <f t="shared" si="2"/>
        <v>3487.9624999999996</v>
      </c>
      <c r="Q27" s="26">
        <f>+Q26+P27</f>
        <v>1291338.3049999999</v>
      </c>
      <c r="R27" s="3">
        <f t="shared" si="9"/>
        <v>1291338.24</v>
      </c>
      <c r="S27" s="39">
        <f t="shared" si="10"/>
        <v>6.4999999944120646E-2</v>
      </c>
    </row>
    <row r="28" spans="1:19" hidden="1" outlineLevel="1" x14ac:dyDescent="0.25">
      <c r="A28" s="8">
        <f t="shared" si="3"/>
        <v>21</v>
      </c>
      <c r="B28" s="16">
        <f>+B27+31</f>
        <v>41364</v>
      </c>
      <c r="C28" s="34">
        <v>1</v>
      </c>
      <c r="D28" s="17">
        <v>645551</v>
      </c>
      <c r="F28" s="77">
        <v>3.2500000000000001E-2</v>
      </c>
      <c r="G28" s="26">
        <f t="shared" si="4"/>
        <v>4371.5600000000004</v>
      </c>
      <c r="H28" s="57">
        <f t="shared" si="7"/>
        <v>3497.37</v>
      </c>
      <c r="I28" s="78">
        <f t="shared" si="8"/>
        <v>874.19000000000051</v>
      </c>
      <c r="J28" s="78"/>
      <c r="K28" s="78"/>
      <c r="L28" s="78"/>
      <c r="M28" s="78"/>
      <c r="N28" s="78"/>
      <c r="O28" s="78"/>
      <c r="P28" s="15">
        <f t="shared" si="2"/>
        <v>649922.59250000003</v>
      </c>
      <c r="Q28" s="26">
        <f>+Q27+P28</f>
        <v>1941260.8975</v>
      </c>
      <c r="R28" s="3">
        <f t="shared" si="9"/>
        <v>1294835.6100000001</v>
      </c>
      <c r="S28" s="39">
        <f t="shared" si="10"/>
        <v>646425.28749999986</v>
      </c>
    </row>
    <row r="29" spans="1:19" hidden="1" outlineLevel="1" x14ac:dyDescent="0.25">
      <c r="A29" s="8">
        <f t="shared" si="3"/>
        <v>22</v>
      </c>
      <c r="B29" s="2">
        <f>+B28+30</f>
        <v>41394</v>
      </c>
      <c r="D29" s="17">
        <v>0</v>
      </c>
      <c r="F29" s="77">
        <v>3.2500000000000001E-2</v>
      </c>
      <c r="G29" s="26">
        <f t="shared" si="4"/>
        <v>5257.58</v>
      </c>
      <c r="H29" s="57">
        <f t="shared" si="7"/>
        <v>3506.85</v>
      </c>
      <c r="I29" s="78">
        <f t="shared" si="8"/>
        <v>1750.73</v>
      </c>
      <c r="J29" s="78"/>
      <c r="K29" s="78"/>
      <c r="L29" s="78"/>
      <c r="M29" s="78"/>
      <c r="N29" s="78"/>
      <c r="O29" s="78"/>
      <c r="P29" s="15">
        <f t="shared" si="2"/>
        <v>5257.6125000000002</v>
      </c>
      <c r="Q29" s="26">
        <f t="shared" ref="Q29:Q69" si="11">+Q28+P29</f>
        <v>1946518.51</v>
      </c>
      <c r="R29" s="3">
        <f t="shared" si="9"/>
        <v>1298342.4600000002</v>
      </c>
      <c r="S29" s="39">
        <f t="shared" si="10"/>
        <v>648176.04999999981</v>
      </c>
    </row>
    <row r="30" spans="1:19" hidden="1" outlineLevel="1" x14ac:dyDescent="0.25">
      <c r="A30" s="8">
        <f t="shared" si="3"/>
        <v>23</v>
      </c>
      <c r="B30" s="2">
        <f>+B29+31</f>
        <v>41425</v>
      </c>
      <c r="D30" s="17">
        <v>0</v>
      </c>
      <c r="F30" s="77">
        <v>3.2500000000000001E-2</v>
      </c>
      <c r="G30" s="26">
        <f t="shared" si="4"/>
        <v>5271.82</v>
      </c>
      <c r="H30" s="57">
        <f t="shared" si="7"/>
        <v>3516.34</v>
      </c>
      <c r="I30" s="78">
        <f t="shared" si="8"/>
        <v>1755.4799999999996</v>
      </c>
      <c r="J30" s="78"/>
      <c r="K30" s="78"/>
      <c r="L30" s="78"/>
      <c r="M30" s="78"/>
      <c r="N30" s="78"/>
      <c r="O30" s="78"/>
      <c r="P30" s="15">
        <f t="shared" si="2"/>
        <v>5271.8525</v>
      </c>
      <c r="Q30" s="26">
        <f t="shared" si="11"/>
        <v>1951790.3625</v>
      </c>
      <c r="R30" s="3">
        <f t="shared" si="9"/>
        <v>1301858.8000000003</v>
      </c>
      <c r="S30" s="39">
        <f t="shared" si="10"/>
        <v>649931.56249999977</v>
      </c>
    </row>
    <row r="31" spans="1:19" hidden="1" outlineLevel="1" x14ac:dyDescent="0.25">
      <c r="A31" s="8">
        <f t="shared" si="3"/>
        <v>24</v>
      </c>
      <c r="B31" s="2">
        <f>+B30+30</f>
        <v>41455</v>
      </c>
      <c r="D31" s="17">
        <v>0</v>
      </c>
      <c r="F31" s="77">
        <v>3.2500000000000001E-2</v>
      </c>
      <c r="G31" s="26">
        <f t="shared" si="4"/>
        <v>5286.1</v>
      </c>
      <c r="H31" s="57">
        <f t="shared" si="7"/>
        <v>3525.87</v>
      </c>
      <c r="I31" s="78">
        <f t="shared" si="8"/>
        <v>1760.2300000000005</v>
      </c>
      <c r="J31" s="78"/>
      <c r="K31" s="78"/>
      <c r="L31" s="78"/>
      <c r="M31" s="78"/>
      <c r="N31" s="78"/>
      <c r="O31" s="78"/>
      <c r="P31" s="15">
        <f t="shared" si="2"/>
        <v>5286.1325000000006</v>
      </c>
      <c r="Q31" s="26">
        <f t="shared" si="11"/>
        <v>1957076.4950000001</v>
      </c>
      <c r="R31" s="3">
        <f t="shared" si="9"/>
        <v>1305384.6700000004</v>
      </c>
      <c r="S31" s="39">
        <f t="shared" si="10"/>
        <v>651691.82499999972</v>
      </c>
    </row>
    <row r="32" spans="1:19" hidden="1" outlineLevel="1" x14ac:dyDescent="0.25">
      <c r="A32" s="8">
        <f t="shared" si="3"/>
        <v>25</v>
      </c>
      <c r="B32" s="2">
        <f>+B31+31</f>
        <v>41486</v>
      </c>
      <c r="D32" s="17">
        <v>0</v>
      </c>
      <c r="F32" s="77">
        <v>3.2500000000000001E-2</v>
      </c>
      <c r="G32" s="26">
        <f t="shared" si="4"/>
        <v>5300.42</v>
      </c>
      <c r="H32" s="57">
        <f t="shared" si="7"/>
        <v>3535.42</v>
      </c>
      <c r="I32" s="78">
        <f t="shared" si="8"/>
        <v>1765</v>
      </c>
      <c r="J32" s="78"/>
      <c r="K32" s="78"/>
      <c r="L32" s="78"/>
      <c r="M32" s="78"/>
      <c r="N32" s="78"/>
      <c r="O32" s="78"/>
      <c r="P32" s="15">
        <f t="shared" si="2"/>
        <v>5300.4525000000003</v>
      </c>
      <c r="Q32" s="26">
        <f t="shared" si="11"/>
        <v>1962376.9475</v>
      </c>
      <c r="R32" s="3">
        <f t="shared" si="9"/>
        <v>1308920.0900000003</v>
      </c>
      <c r="S32" s="39">
        <f t="shared" si="10"/>
        <v>653456.85749999969</v>
      </c>
    </row>
    <row r="33" spans="1:20" hidden="1" outlineLevel="1" x14ac:dyDescent="0.25">
      <c r="A33" s="8">
        <f t="shared" si="3"/>
        <v>26</v>
      </c>
      <c r="B33" s="2">
        <f>+B32+31</f>
        <v>41517</v>
      </c>
      <c r="D33" s="17">
        <v>0</v>
      </c>
      <c r="F33" s="77">
        <v>3.2500000000000001E-2</v>
      </c>
      <c r="G33" s="26">
        <f t="shared" si="4"/>
        <v>5314.77</v>
      </c>
      <c r="H33" s="57">
        <f t="shared" si="7"/>
        <v>3544.99</v>
      </c>
      <c r="I33" s="78">
        <f t="shared" si="8"/>
        <v>1769.7800000000007</v>
      </c>
      <c r="J33" s="78"/>
      <c r="K33" s="78"/>
      <c r="L33" s="78"/>
      <c r="M33" s="78"/>
      <c r="N33" s="78"/>
      <c r="O33" s="78"/>
      <c r="P33" s="15">
        <f t="shared" si="2"/>
        <v>5314.8025000000007</v>
      </c>
      <c r="Q33" s="26">
        <f t="shared" si="11"/>
        <v>1967691.75</v>
      </c>
      <c r="R33" s="3">
        <f t="shared" si="9"/>
        <v>1312465.0800000003</v>
      </c>
      <c r="S33" s="39">
        <f t="shared" si="10"/>
        <v>655226.66999999969</v>
      </c>
    </row>
    <row r="34" spans="1:20" hidden="1" outlineLevel="1" x14ac:dyDescent="0.25">
      <c r="A34" s="8">
        <f t="shared" si="3"/>
        <v>27</v>
      </c>
      <c r="B34" s="2">
        <f>+B33+30</f>
        <v>41547</v>
      </c>
      <c r="D34" s="17">
        <v>0</v>
      </c>
      <c r="F34" s="77">
        <v>3.2500000000000001E-2</v>
      </c>
      <c r="G34" s="26">
        <f t="shared" si="4"/>
        <v>5329.17</v>
      </c>
      <c r="H34" s="57">
        <f t="shared" si="7"/>
        <v>3554.59</v>
      </c>
      <c r="I34" s="78">
        <f t="shared" si="8"/>
        <v>1774.58</v>
      </c>
      <c r="J34" s="78"/>
      <c r="K34" s="78"/>
      <c r="L34" s="78"/>
      <c r="M34" s="78"/>
      <c r="N34" s="78"/>
      <c r="O34" s="78"/>
      <c r="P34" s="15">
        <f t="shared" si="2"/>
        <v>5329.2025000000003</v>
      </c>
      <c r="Q34" s="26">
        <f t="shared" si="11"/>
        <v>1973020.9524999999</v>
      </c>
      <c r="R34" s="3">
        <f t="shared" si="9"/>
        <v>1316019.6700000004</v>
      </c>
      <c r="S34" s="39">
        <f t="shared" si="10"/>
        <v>657001.28249999951</v>
      </c>
    </row>
    <row r="35" spans="1:20" hidden="1" outlineLevel="1" x14ac:dyDescent="0.25">
      <c r="A35" s="8">
        <f t="shared" si="3"/>
        <v>28</v>
      </c>
      <c r="B35" s="2">
        <f>+B34+31</f>
        <v>41578</v>
      </c>
      <c r="C35" s="34">
        <v>1</v>
      </c>
      <c r="D35" s="17">
        <v>645551</v>
      </c>
      <c r="F35" s="77">
        <v>3.2500000000000001E-2</v>
      </c>
      <c r="G35" s="26">
        <f t="shared" si="4"/>
        <v>6217.78</v>
      </c>
      <c r="H35" s="57">
        <f t="shared" si="7"/>
        <v>3564.22</v>
      </c>
      <c r="I35" s="78">
        <f t="shared" si="8"/>
        <v>2653.56</v>
      </c>
      <c r="J35" s="78"/>
      <c r="K35" s="78"/>
      <c r="L35" s="78"/>
      <c r="M35" s="78"/>
      <c r="N35" s="78"/>
      <c r="O35" s="78"/>
      <c r="P35" s="15">
        <f t="shared" si="2"/>
        <v>651768.8125</v>
      </c>
      <c r="Q35" s="26">
        <f t="shared" si="11"/>
        <v>2624789.7649999997</v>
      </c>
      <c r="R35" s="58">
        <f t="shared" si="9"/>
        <v>1319583.8900000004</v>
      </c>
      <c r="S35" s="39">
        <f t="shared" si="10"/>
        <v>1305205.8749999993</v>
      </c>
    </row>
    <row r="36" spans="1:20" hidden="1" outlineLevel="1" x14ac:dyDescent="0.25">
      <c r="A36" s="8">
        <f t="shared" si="3"/>
        <v>29</v>
      </c>
      <c r="B36" s="2">
        <f>+B35+30</f>
        <v>41608</v>
      </c>
      <c r="C36" s="34">
        <v>2</v>
      </c>
      <c r="D36" s="17">
        <v>0</v>
      </c>
      <c r="E36" s="3">
        <f>-R35</f>
        <v>-1319583.8900000004</v>
      </c>
      <c r="F36" s="77">
        <v>3.2500000000000001E-2</v>
      </c>
      <c r="G36" s="26">
        <f t="shared" si="4"/>
        <v>3534.93</v>
      </c>
      <c r="H36" s="57"/>
      <c r="I36" s="78">
        <f t="shared" si="8"/>
        <v>3534.93</v>
      </c>
      <c r="J36" s="78"/>
      <c r="K36" s="78"/>
      <c r="L36" s="78"/>
      <c r="M36" s="78"/>
      <c r="N36" s="78"/>
      <c r="O36" s="78"/>
      <c r="P36" s="15">
        <f t="shared" si="2"/>
        <v>-1316048.9275000005</v>
      </c>
      <c r="Q36" s="26">
        <f t="shared" si="11"/>
        <v>1308740.8374999992</v>
      </c>
      <c r="S36" s="39">
        <f t="shared" si="10"/>
        <v>1308740.8374999992</v>
      </c>
    </row>
    <row r="37" spans="1:20" ht="13.8" hidden="1" outlineLevel="1" thickBot="1" x14ac:dyDescent="0.3">
      <c r="A37" s="8">
        <f t="shared" si="3"/>
        <v>30</v>
      </c>
      <c r="B37" s="20">
        <f>+B36+31</f>
        <v>41639</v>
      </c>
      <c r="C37" s="20"/>
      <c r="D37" s="21">
        <v>0</v>
      </c>
      <c r="E37" s="20"/>
      <c r="F37" s="27">
        <v>3.2500000000000001E-2</v>
      </c>
      <c r="G37" s="23">
        <f t="shared" si="4"/>
        <v>3544.51</v>
      </c>
      <c r="H37" s="67"/>
      <c r="I37" s="79">
        <f t="shared" si="8"/>
        <v>3544.51</v>
      </c>
      <c r="J37" s="79"/>
      <c r="K37" s="79"/>
      <c r="L37" s="79"/>
      <c r="M37" s="79"/>
      <c r="N37" s="79"/>
      <c r="O37" s="79"/>
      <c r="P37" s="22">
        <f t="shared" si="2"/>
        <v>3544.5425</v>
      </c>
      <c r="Q37" s="23">
        <f t="shared" si="11"/>
        <v>1312285.3799999992</v>
      </c>
      <c r="R37" s="22"/>
      <c r="S37" s="45">
        <f t="shared" si="10"/>
        <v>1312285.3799999992</v>
      </c>
      <c r="T37" s="20"/>
    </row>
    <row r="38" spans="1:20" hidden="1" outlineLevel="1" x14ac:dyDescent="0.25">
      <c r="A38" s="8">
        <f t="shared" si="3"/>
        <v>31</v>
      </c>
      <c r="B38" s="37">
        <f>+B37+31</f>
        <v>41670</v>
      </c>
      <c r="D38" s="17">
        <v>0</v>
      </c>
      <c r="F38" s="77">
        <v>3.2500000000000001E-2</v>
      </c>
      <c r="G38" s="26">
        <f t="shared" si="4"/>
        <v>3554.11</v>
      </c>
      <c r="H38" s="78"/>
      <c r="I38" s="57">
        <f t="shared" ref="I38:I47" si="12">ROUND(S37*F38/12,2)</f>
        <v>3554.11</v>
      </c>
      <c r="J38" s="78">
        <f t="shared" ref="J38:J49" si="13">+G38-I38</f>
        <v>0</v>
      </c>
      <c r="K38" s="78"/>
      <c r="L38" s="78"/>
      <c r="M38" s="78"/>
      <c r="N38" s="78"/>
      <c r="O38" s="78"/>
      <c r="P38" s="15">
        <f t="shared" si="2"/>
        <v>3554.1424999999999</v>
      </c>
      <c r="Q38" s="26">
        <f t="shared" si="11"/>
        <v>1315839.5224999993</v>
      </c>
      <c r="S38" s="3">
        <f t="shared" ref="S38:S47" si="14">+S37+I38</f>
        <v>1315839.4899999993</v>
      </c>
      <c r="T38" s="3">
        <f t="shared" ref="T38:T49" si="15">+Q38-S38</f>
        <v>3.2499999972060323E-2</v>
      </c>
    </row>
    <row r="39" spans="1:20" hidden="1" outlineLevel="1" x14ac:dyDescent="0.25">
      <c r="A39" s="8">
        <f t="shared" si="3"/>
        <v>32</v>
      </c>
      <c r="B39" s="16">
        <f>+B38+28</f>
        <v>41698</v>
      </c>
      <c r="C39" s="34">
        <v>1</v>
      </c>
      <c r="D39" s="17">
        <v>527177</v>
      </c>
      <c r="F39" s="77">
        <v>3.2500000000000001E-2</v>
      </c>
      <c r="G39" s="26">
        <f t="shared" si="4"/>
        <v>4277.62</v>
      </c>
      <c r="H39" s="78"/>
      <c r="I39" s="57">
        <f t="shared" si="12"/>
        <v>3563.73</v>
      </c>
      <c r="J39" s="78">
        <f t="shared" si="13"/>
        <v>713.88999999999987</v>
      </c>
      <c r="K39" s="78"/>
      <c r="L39" s="78"/>
      <c r="M39" s="78"/>
      <c r="N39" s="78"/>
      <c r="O39" s="78"/>
      <c r="P39" s="15">
        <f t="shared" si="2"/>
        <v>531454.65249999997</v>
      </c>
      <c r="Q39" s="26">
        <f t="shared" si="11"/>
        <v>1847294.1749999993</v>
      </c>
      <c r="S39" s="3">
        <f t="shared" si="14"/>
        <v>1319403.2199999993</v>
      </c>
      <c r="T39" s="15">
        <f t="shared" si="15"/>
        <v>527890.95500000007</v>
      </c>
    </row>
    <row r="40" spans="1:20" hidden="1" outlineLevel="1" x14ac:dyDescent="0.25">
      <c r="A40" s="8">
        <f t="shared" si="3"/>
        <v>33</v>
      </c>
      <c r="B40" s="16">
        <f>+B39+31</f>
        <v>41729</v>
      </c>
      <c r="D40" s="17">
        <v>0</v>
      </c>
      <c r="F40" s="77">
        <v>3.2500000000000001E-2</v>
      </c>
      <c r="G40" s="26">
        <f t="shared" si="4"/>
        <v>5003.09</v>
      </c>
      <c r="H40" s="78"/>
      <c r="I40" s="57">
        <f t="shared" si="12"/>
        <v>3573.38</v>
      </c>
      <c r="J40" s="78">
        <f t="shared" si="13"/>
        <v>1429.71</v>
      </c>
      <c r="K40" s="78"/>
      <c r="L40" s="78"/>
      <c r="M40" s="78"/>
      <c r="N40" s="78"/>
      <c r="O40" s="78"/>
      <c r="P40" s="15">
        <f t="shared" si="2"/>
        <v>5003.1225000000004</v>
      </c>
      <c r="Q40" s="26">
        <f t="shared" si="11"/>
        <v>1852297.2974999994</v>
      </c>
      <c r="S40" s="3">
        <f t="shared" si="14"/>
        <v>1322976.5999999992</v>
      </c>
      <c r="T40" s="15">
        <f t="shared" si="15"/>
        <v>529320.69750000024</v>
      </c>
    </row>
    <row r="41" spans="1:20" hidden="1" outlineLevel="1" x14ac:dyDescent="0.25">
      <c r="A41" s="8">
        <f t="shared" si="3"/>
        <v>34</v>
      </c>
      <c r="B41" s="2">
        <f>+B40+30</f>
        <v>41759</v>
      </c>
      <c r="D41" s="17">
        <v>0</v>
      </c>
      <c r="F41" s="77">
        <v>3.2500000000000001E-2</v>
      </c>
      <c r="G41" s="26">
        <f t="shared" si="4"/>
        <v>5016.6400000000003</v>
      </c>
      <c r="H41" s="78"/>
      <c r="I41" s="57">
        <f t="shared" si="12"/>
        <v>3583.06</v>
      </c>
      <c r="J41" s="78">
        <f t="shared" si="13"/>
        <v>1433.5800000000004</v>
      </c>
      <c r="K41" s="78"/>
      <c r="L41" s="78"/>
      <c r="M41" s="78"/>
      <c r="N41" s="78"/>
      <c r="O41" s="78"/>
      <c r="P41" s="15">
        <f t="shared" si="2"/>
        <v>5016.6725000000006</v>
      </c>
      <c r="Q41" s="26">
        <f t="shared" si="11"/>
        <v>1857313.9699999995</v>
      </c>
      <c r="S41" s="3">
        <f t="shared" si="14"/>
        <v>1326559.6599999992</v>
      </c>
      <c r="T41" s="15">
        <f t="shared" si="15"/>
        <v>530754.31000000029</v>
      </c>
    </row>
    <row r="42" spans="1:20" hidden="1" outlineLevel="1" x14ac:dyDescent="0.25">
      <c r="A42" s="8">
        <f t="shared" si="3"/>
        <v>35</v>
      </c>
      <c r="B42" s="2">
        <f>+B41+31</f>
        <v>41790</v>
      </c>
      <c r="D42" s="17">
        <v>0</v>
      </c>
      <c r="F42" s="77">
        <v>3.2500000000000001E-2</v>
      </c>
      <c r="G42" s="26">
        <f t="shared" si="4"/>
        <v>5030.2299999999996</v>
      </c>
      <c r="H42" s="78"/>
      <c r="I42" s="57">
        <f t="shared" si="12"/>
        <v>3592.77</v>
      </c>
      <c r="J42" s="78">
        <f t="shared" si="13"/>
        <v>1437.4599999999996</v>
      </c>
      <c r="K42" s="78"/>
      <c r="L42" s="78"/>
      <c r="M42" s="78"/>
      <c r="N42" s="78"/>
      <c r="O42" s="78"/>
      <c r="P42" s="15">
        <f t="shared" si="2"/>
        <v>5030.2624999999998</v>
      </c>
      <c r="Q42" s="26">
        <f t="shared" si="11"/>
        <v>1862344.2324999995</v>
      </c>
      <c r="S42" s="3">
        <f t="shared" si="14"/>
        <v>1330152.4299999992</v>
      </c>
      <c r="T42" s="15">
        <f t="shared" si="15"/>
        <v>532191.80250000022</v>
      </c>
    </row>
    <row r="43" spans="1:20" hidden="1" outlineLevel="1" x14ac:dyDescent="0.25">
      <c r="A43" s="8">
        <f t="shared" si="3"/>
        <v>36</v>
      </c>
      <c r="B43" s="2">
        <f>+B42+30</f>
        <v>41820</v>
      </c>
      <c r="D43" s="17">
        <v>0</v>
      </c>
      <c r="F43" s="77">
        <v>3.2500000000000001E-2</v>
      </c>
      <c r="G43" s="26">
        <f t="shared" si="4"/>
        <v>5043.8500000000004</v>
      </c>
      <c r="H43" s="78"/>
      <c r="I43" s="57">
        <f t="shared" si="12"/>
        <v>3602.5</v>
      </c>
      <c r="J43" s="78">
        <f t="shared" si="13"/>
        <v>1441.3500000000004</v>
      </c>
      <c r="K43" s="78"/>
      <c r="L43" s="78"/>
      <c r="M43" s="78"/>
      <c r="N43" s="78"/>
      <c r="O43" s="78"/>
      <c r="P43" s="15">
        <f t="shared" si="2"/>
        <v>5043.8825000000006</v>
      </c>
      <c r="Q43" s="26">
        <f t="shared" si="11"/>
        <v>1867388.1149999995</v>
      </c>
      <c r="S43" s="3">
        <f t="shared" si="14"/>
        <v>1333754.9299999992</v>
      </c>
      <c r="T43" s="15">
        <f t="shared" si="15"/>
        <v>533633.18500000029</v>
      </c>
    </row>
    <row r="44" spans="1:20" hidden="1" outlineLevel="1" x14ac:dyDescent="0.25">
      <c r="A44" s="8">
        <f t="shared" si="3"/>
        <v>37</v>
      </c>
      <c r="B44" s="2">
        <f>+B43+31</f>
        <v>41851</v>
      </c>
      <c r="D44" s="17">
        <v>0</v>
      </c>
      <c r="F44" s="77">
        <v>3.2500000000000001E-2</v>
      </c>
      <c r="G44" s="26">
        <f t="shared" si="4"/>
        <v>5057.51</v>
      </c>
      <c r="H44" s="78"/>
      <c r="I44" s="57">
        <f t="shared" si="12"/>
        <v>3612.25</v>
      </c>
      <c r="J44" s="78">
        <f t="shared" si="13"/>
        <v>1445.2600000000002</v>
      </c>
      <c r="K44" s="78"/>
      <c r="L44" s="78"/>
      <c r="M44" s="78"/>
      <c r="N44" s="78"/>
      <c r="O44" s="78"/>
      <c r="P44" s="15">
        <f t="shared" si="2"/>
        <v>5057.5425000000005</v>
      </c>
      <c r="Q44" s="26">
        <f t="shared" si="11"/>
        <v>1872445.6574999995</v>
      </c>
      <c r="S44" s="3">
        <f t="shared" si="14"/>
        <v>1337367.1799999992</v>
      </c>
      <c r="T44" s="15">
        <f t="shared" si="15"/>
        <v>535078.47750000027</v>
      </c>
    </row>
    <row r="45" spans="1:20" hidden="1" outlineLevel="1" x14ac:dyDescent="0.25">
      <c r="A45" s="8">
        <f t="shared" si="3"/>
        <v>38</v>
      </c>
      <c r="B45" s="2">
        <f>+B44+31</f>
        <v>41882</v>
      </c>
      <c r="D45" s="17">
        <v>0</v>
      </c>
      <c r="F45" s="77">
        <v>3.2500000000000001E-2</v>
      </c>
      <c r="G45" s="26">
        <f t="shared" si="4"/>
        <v>5071.21</v>
      </c>
      <c r="H45" s="78"/>
      <c r="I45" s="57">
        <f t="shared" si="12"/>
        <v>3622.04</v>
      </c>
      <c r="J45" s="78">
        <f t="shared" si="13"/>
        <v>1449.17</v>
      </c>
      <c r="K45" s="78"/>
      <c r="L45" s="78"/>
      <c r="M45" s="78"/>
      <c r="N45" s="78"/>
      <c r="O45" s="78"/>
      <c r="P45" s="15">
        <f t="shared" si="2"/>
        <v>5071.2425000000003</v>
      </c>
      <c r="Q45" s="26">
        <f t="shared" si="11"/>
        <v>1877516.8999999994</v>
      </c>
      <c r="S45" s="3">
        <f t="shared" si="14"/>
        <v>1340989.2199999993</v>
      </c>
      <c r="T45" s="15">
        <f t="shared" si="15"/>
        <v>536527.68000000017</v>
      </c>
    </row>
    <row r="46" spans="1:20" hidden="1" outlineLevel="1" x14ac:dyDescent="0.25">
      <c r="A46" s="8">
        <f t="shared" si="3"/>
        <v>39</v>
      </c>
      <c r="B46" s="2">
        <f>+B45+30</f>
        <v>41912</v>
      </c>
      <c r="D46" s="17">
        <v>0</v>
      </c>
      <c r="F46" s="77">
        <v>3.2500000000000001E-2</v>
      </c>
      <c r="G46" s="26">
        <f t="shared" si="4"/>
        <v>5084.9399999999996</v>
      </c>
      <c r="H46" s="78"/>
      <c r="I46" s="57">
        <f t="shared" si="12"/>
        <v>3631.85</v>
      </c>
      <c r="J46" s="78">
        <f t="shared" si="13"/>
        <v>1453.0899999999997</v>
      </c>
      <c r="K46" s="78"/>
      <c r="L46" s="78"/>
      <c r="M46" s="78"/>
      <c r="N46" s="78"/>
      <c r="O46" s="78"/>
      <c r="P46" s="15">
        <f t="shared" ref="P46:P71" si="16">SUM(D46:G46)</f>
        <v>5084.9724999999999</v>
      </c>
      <c r="Q46" s="26">
        <f t="shared" si="11"/>
        <v>1882601.8724999994</v>
      </c>
      <c r="S46" s="3">
        <f t="shared" si="14"/>
        <v>1344621.0699999994</v>
      </c>
      <c r="T46" s="15">
        <f t="shared" si="15"/>
        <v>537980.80249999999</v>
      </c>
    </row>
    <row r="47" spans="1:20" hidden="1" outlineLevel="1" x14ac:dyDescent="0.25">
      <c r="A47" s="8">
        <f t="shared" si="3"/>
        <v>40</v>
      </c>
      <c r="B47" s="2">
        <f>+B46+31</f>
        <v>41943</v>
      </c>
      <c r="C47" s="34">
        <v>1</v>
      </c>
      <c r="D47" s="17">
        <v>527177</v>
      </c>
      <c r="F47" s="77">
        <v>3.2500000000000001E-2</v>
      </c>
      <c r="G47" s="26">
        <f t="shared" ref="G47:G78" si="17">ROUND((+Q46+E47+(D47/2))*F47/12,2)</f>
        <v>5812.6</v>
      </c>
      <c r="H47" s="78"/>
      <c r="I47" s="57">
        <f t="shared" si="12"/>
        <v>3641.68</v>
      </c>
      <c r="J47" s="78">
        <f t="shared" si="13"/>
        <v>2170.9200000000005</v>
      </c>
      <c r="K47" s="78"/>
      <c r="L47" s="78"/>
      <c r="M47" s="78"/>
      <c r="N47" s="78"/>
      <c r="O47" s="78"/>
      <c r="P47" s="15">
        <f t="shared" si="16"/>
        <v>532989.63249999995</v>
      </c>
      <c r="Q47" s="26">
        <f t="shared" si="11"/>
        <v>2415591.5049999994</v>
      </c>
      <c r="S47" s="3">
        <f t="shared" si="14"/>
        <v>1348262.7499999993</v>
      </c>
      <c r="T47" s="15">
        <f t="shared" si="15"/>
        <v>1067328.7550000001</v>
      </c>
    </row>
    <row r="48" spans="1:20" hidden="1" outlineLevel="1" x14ac:dyDescent="0.25">
      <c r="A48" s="8">
        <f t="shared" si="3"/>
        <v>41</v>
      </c>
      <c r="B48" s="2">
        <f>+B47+30</f>
        <v>41973</v>
      </c>
      <c r="C48" s="34">
        <v>2</v>
      </c>
      <c r="D48" s="17">
        <v>0</v>
      </c>
      <c r="E48" s="3">
        <f>-S47</f>
        <v>-1348262.7499999993</v>
      </c>
      <c r="F48" s="77">
        <v>3.2500000000000001E-2</v>
      </c>
      <c r="G48" s="26">
        <f t="shared" si="17"/>
        <v>2890.68</v>
      </c>
      <c r="H48" s="78"/>
      <c r="I48" s="57"/>
      <c r="J48" s="78">
        <f t="shared" si="13"/>
        <v>2890.68</v>
      </c>
      <c r="K48" s="78"/>
      <c r="L48" s="78"/>
      <c r="M48" s="78"/>
      <c r="N48" s="78"/>
      <c r="O48" s="78"/>
      <c r="P48" s="15">
        <f t="shared" si="16"/>
        <v>-1345372.0374999994</v>
      </c>
      <c r="Q48" s="26">
        <f t="shared" si="11"/>
        <v>1070219.4675</v>
      </c>
      <c r="S48" s="3"/>
      <c r="T48" s="15">
        <f t="shared" si="15"/>
        <v>1070219.4675</v>
      </c>
    </row>
    <row r="49" spans="1:22" ht="13.8" hidden="1" outlineLevel="1" thickBot="1" x14ac:dyDescent="0.3">
      <c r="A49" s="8">
        <f t="shared" si="3"/>
        <v>42</v>
      </c>
      <c r="B49" s="20">
        <f>+B48+31</f>
        <v>42004</v>
      </c>
      <c r="C49" s="20"/>
      <c r="D49" s="21">
        <v>0</v>
      </c>
      <c r="E49" s="20"/>
      <c r="F49" s="27">
        <v>3.2500000000000001E-2</v>
      </c>
      <c r="G49" s="23">
        <f t="shared" si="17"/>
        <v>2898.51</v>
      </c>
      <c r="H49" s="79"/>
      <c r="I49" s="79"/>
      <c r="J49" s="79">
        <f t="shared" si="13"/>
        <v>2898.51</v>
      </c>
      <c r="K49" s="79"/>
      <c r="L49" s="79"/>
      <c r="M49" s="79"/>
      <c r="N49" s="79"/>
      <c r="O49" s="79"/>
      <c r="P49" s="22">
        <f t="shared" si="16"/>
        <v>2898.5425</v>
      </c>
      <c r="Q49" s="22">
        <f t="shared" si="11"/>
        <v>1073118.01</v>
      </c>
      <c r="R49" s="22"/>
      <c r="S49" s="22"/>
      <c r="T49" s="22">
        <f t="shared" si="15"/>
        <v>1073118.01</v>
      </c>
      <c r="U49" s="22"/>
    </row>
    <row r="50" spans="1:22" hidden="1" outlineLevel="1" x14ac:dyDescent="0.25">
      <c r="A50" s="8">
        <f t="shared" si="3"/>
        <v>43</v>
      </c>
      <c r="B50" s="37">
        <f>+B49+30</f>
        <v>42034</v>
      </c>
      <c r="C50" s="37"/>
      <c r="D50" s="80">
        <v>0</v>
      </c>
      <c r="E50" s="37"/>
      <c r="F50" s="81">
        <v>3.2500000000000001E-2</v>
      </c>
      <c r="G50" s="26">
        <f t="shared" si="17"/>
        <v>2906.36</v>
      </c>
      <c r="H50" s="78"/>
      <c r="I50" s="78"/>
      <c r="J50" s="78">
        <f t="shared" ref="J50:J59" si="18">ROUND(T49*F50/12,2)</f>
        <v>2906.36</v>
      </c>
      <c r="K50" s="78">
        <f t="shared" ref="K50:K61" si="19">+G50-J50</f>
        <v>0</v>
      </c>
      <c r="L50" s="78"/>
      <c r="M50" s="78"/>
      <c r="N50" s="78"/>
      <c r="O50" s="78"/>
      <c r="P50" s="15">
        <f t="shared" si="16"/>
        <v>2906.3924999999999</v>
      </c>
      <c r="Q50" s="26">
        <f t="shared" si="11"/>
        <v>1076024.4025000001</v>
      </c>
      <c r="R50" s="15"/>
      <c r="S50" s="3"/>
      <c r="T50" s="15">
        <f t="shared" ref="T50:T59" si="20">T49+J50</f>
        <v>1076024.3700000001</v>
      </c>
      <c r="U50" s="3">
        <f t="shared" ref="U50:U61" si="21">Q50-T50</f>
        <v>3.2499999972060323E-2</v>
      </c>
    </row>
    <row r="51" spans="1:22" hidden="1" outlineLevel="1" x14ac:dyDescent="0.25">
      <c r="A51" s="8">
        <f t="shared" si="3"/>
        <v>44</v>
      </c>
      <c r="B51" s="37">
        <f>+B50+28</f>
        <v>42062</v>
      </c>
      <c r="C51" s="37"/>
      <c r="D51" s="80">
        <v>0</v>
      </c>
      <c r="E51" s="37"/>
      <c r="F51" s="81">
        <v>3.2500000000000001E-2</v>
      </c>
      <c r="G51" s="26">
        <f t="shared" si="17"/>
        <v>2914.23</v>
      </c>
      <c r="H51" s="78"/>
      <c r="I51" s="78"/>
      <c r="J51" s="78">
        <f t="shared" si="18"/>
        <v>2914.23</v>
      </c>
      <c r="K51" s="78">
        <f t="shared" si="19"/>
        <v>0</v>
      </c>
      <c r="L51" s="78"/>
      <c r="M51" s="78"/>
      <c r="N51" s="78"/>
      <c r="O51" s="78"/>
      <c r="P51" s="15">
        <f t="shared" si="16"/>
        <v>2914.2624999999998</v>
      </c>
      <c r="Q51" s="26">
        <f t="shared" si="11"/>
        <v>1078938.665</v>
      </c>
      <c r="R51" s="15"/>
      <c r="S51" s="3"/>
      <c r="T51" s="15">
        <f t="shared" si="20"/>
        <v>1078938.6000000001</v>
      </c>
      <c r="U51" s="3">
        <f t="shared" si="21"/>
        <v>6.4999999944120646E-2</v>
      </c>
    </row>
    <row r="52" spans="1:22" hidden="1" outlineLevel="1" x14ac:dyDescent="0.25">
      <c r="A52" s="8">
        <f t="shared" si="3"/>
        <v>45</v>
      </c>
      <c r="B52" s="37">
        <f t="shared" ref="B52:B59" si="22">+B51+31</f>
        <v>42093</v>
      </c>
      <c r="C52" s="37"/>
      <c r="D52" s="80">
        <v>0</v>
      </c>
      <c r="E52" s="37"/>
      <c r="F52" s="81">
        <v>3.2500000000000001E-2</v>
      </c>
      <c r="G52" s="26">
        <f t="shared" si="17"/>
        <v>2922.13</v>
      </c>
      <c r="H52" s="78"/>
      <c r="I52" s="78"/>
      <c r="J52" s="78">
        <f t="shared" si="18"/>
        <v>2922.13</v>
      </c>
      <c r="K52" s="78">
        <f t="shared" si="19"/>
        <v>0</v>
      </c>
      <c r="L52" s="78"/>
      <c r="M52" s="78"/>
      <c r="N52" s="78"/>
      <c r="O52" s="78"/>
      <c r="P52" s="15">
        <f t="shared" si="16"/>
        <v>2922.1624999999999</v>
      </c>
      <c r="Q52" s="26">
        <f t="shared" si="11"/>
        <v>1081860.8275000001</v>
      </c>
      <c r="R52" s="15"/>
      <c r="S52" s="3"/>
      <c r="T52" s="15">
        <f t="shared" si="20"/>
        <v>1081860.73</v>
      </c>
      <c r="U52" s="3">
        <f t="shared" si="21"/>
        <v>9.7500000149011612E-2</v>
      </c>
    </row>
    <row r="53" spans="1:22" hidden="1" outlineLevel="1" x14ac:dyDescent="0.25">
      <c r="A53" s="8">
        <f t="shared" si="3"/>
        <v>46</v>
      </c>
      <c r="B53" s="37">
        <f>+B52+30</f>
        <v>42123</v>
      </c>
      <c r="C53" s="34">
        <v>1</v>
      </c>
      <c r="D53" s="80">
        <v>678392</v>
      </c>
      <c r="E53" s="37"/>
      <c r="F53" s="81">
        <v>3.2500000000000001E-2</v>
      </c>
      <c r="G53" s="26">
        <f t="shared" si="17"/>
        <v>3848.7</v>
      </c>
      <c r="H53" s="78"/>
      <c r="I53" s="78"/>
      <c r="J53" s="78">
        <f t="shared" si="18"/>
        <v>2930.04</v>
      </c>
      <c r="K53" s="78">
        <f t="shared" si="19"/>
        <v>918.65999999999985</v>
      </c>
      <c r="L53" s="78"/>
      <c r="M53" s="78"/>
      <c r="N53" s="78"/>
      <c r="O53" s="78"/>
      <c r="P53" s="15">
        <f t="shared" si="16"/>
        <v>682240.73249999993</v>
      </c>
      <c r="Q53" s="26">
        <f t="shared" si="11"/>
        <v>1764101.56</v>
      </c>
      <c r="R53" s="15"/>
      <c r="S53" s="3"/>
      <c r="T53" s="15">
        <f t="shared" si="20"/>
        <v>1084790.77</v>
      </c>
      <c r="U53" s="3">
        <f t="shared" si="21"/>
        <v>679310.79</v>
      </c>
    </row>
    <row r="54" spans="1:22" hidden="1" outlineLevel="1" x14ac:dyDescent="0.25">
      <c r="A54" s="8">
        <f t="shared" si="3"/>
        <v>47</v>
      </c>
      <c r="B54" s="37">
        <f t="shared" si="22"/>
        <v>42154</v>
      </c>
      <c r="C54" s="37"/>
      <c r="D54" s="80">
        <v>0</v>
      </c>
      <c r="E54" s="37"/>
      <c r="F54" s="81">
        <v>3.2500000000000001E-2</v>
      </c>
      <c r="G54" s="26">
        <f t="shared" si="17"/>
        <v>4777.78</v>
      </c>
      <c r="H54" s="78"/>
      <c r="I54" s="78"/>
      <c r="J54" s="78">
        <f t="shared" si="18"/>
        <v>2937.98</v>
      </c>
      <c r="K54" s="78">
        <f t="shared" si="19"/>
        <v>1839.7999999999997</v>
      </c>
      <c r="L54" s="78"/>
      <c r="M54" s="78"/>
      <c r="N54" s="78"/>
      <c r="O54" s="78"/>
      <c r="P54" s="15">
        <f t="shared" si="16"/>
        <v>4777.8125</v>
      </c>
      <c r="Q54" s="26">
        <f t="shared" si="11"/>
        <v>1768879.3725000001</v>
      </c>
      <c r="R54" s="15"/>
      <c r="S54" s="3"/>
      <c r="T54" s="15">
        <f t="shared" si="20"/>
        <v>1087728.75</v>
      </c>
      <c r="U54" s="3">
        <f t="shared" si="21"/>
        <v>681150.62250000006</v>
      </c>
    </row>
    <row r="55" spans="1:22" hidden="1" outlineLevel="1" x14ac:dyDescent="0.25">
      <c r="A55" s="8">
        <f t="shared" si="3"/>
        <v>48</v>
      </c>
      <c r="B55" s="37">
        <f>+B54+30</f>
        <v>42184</v>
      </c>
      <c r="C55" s="37"/>
      <c r="D55" s="80">
        <v>0</v>
      </c>
      <c r="E55" s="37"/>
      <c r="F55" s="81">
        <v>3.2500000000000001E-2</v>
      </c>
      <c r="G55" s="26">
        <f t="shared" si="17"/>
        <v>4790.71</v>
      </c>
      <c r="H55" s="78"/>
      <c r="I55" s="78"/>
      <c r="J55" s="78">
        <f t="shared" si="18"/>
        <v>2945.93</v>
      </c>
      <c r="K55" s="78">
        <f t="shared" si="19"/>
        <v>1844.7800000000002</v>
      </c>
      <c r="L55" s="78"/>
      <c r="M55" s="78"/>
      <c r="N55" s="78"/>
      <c r="O55" s="78"/>
      <c r="P55" s="15">
        <f t="shared" si="16"/>
        <v>4790.7425000000003</v>
      </c>
      <c r="Q55" s="26">
        <f t="shared" si="11"/>
        <v>1773670.115</v>
      </c>
      <c r="R55" s="15"/>
      <c r="S55" s="3"/>
      <c r="T55" s="15">
        <f t="shared" si="20"/>
        <v>1090674.68</v>
      </c>
      <c r="U55" s="3">
        <f t="shared" si="21"/>
        <v>682995.43500000006</v>
      </c>
    </row>
    <row r="56" spans="1:22" hidden="1" outlineLevel="1" x14ac:dyDescent="0.25">
      <c r="A56" s="8">
        <f t="shared" si="3"/>
        <v>49</v>
      </c>
      <c r="B56" s="37">
        <f t="shared" si="22"/>
        <v>42215</v>
      </c>
      <c r="C56" s="37"/>
      <c r="D56" s="80">
        <v>0</v>
      </c>
      <c r="E56" s="37"/>
      <c r="F56" s="81">
        <v>3.2500000000000001E-2</v>
      </c>
      <c r="G56" s="26">
        <f t="shared" si="17"/>
        <v>4803.6899999999996</v>
      </c>
      <c r="H56" s="78"/>
      <c r="I56" s="78"/>
      <c r="J56" s="78">
        <f t="shared" si="18"/>
        <v>2953.91</v>
      </c>
      <c r="K56" s="78">
        <f t="shared" si="19"/>
        <v>1849.7799999999997</v>
      </c>
      <c r="L56" s="78"/>
      <c r="M56" s="78"/>
      <c r="N56" s="78"/>
      <c r="O56" s="78"/>
      <c r="P56" s="15">
        <f t="shared" si="16"/>
        <v>4803.7224999999999</v>
      </c>
      <c r="Q56" s="30">
        <f t="shared" si="11"/>
        <v>1778473.8374999999</v>
      </c>
      <c r="R56" s="15"/>
      <c r="S56" s="3"/>
      <c r="T56" s="15">
        <f t="shared" si="20"/>
        <v>1093628.5899999999</v>
      </c>
      <c r="U56" s="3">
        <f t="shared" si="21"/>
        <v>684845.24750000006</v>
      </c>
    </row>
    <row r="57" spans="1:22" hidden="1" outlineLevel="1" x14ac:dyDescent="0.25">
      <c r="A57" s="8">
        <f t="shared" si="3"/>
        <v>50</v>
      </c>
      <c r="B57" s="37">
        <f t="shared" si="22"/>
        <v>42246</v>
      </c>
      <c r="C57" s="37"/>
      <c r="D57" s="80">
        <v>0</v>
      </c>
      <c r="E57" s="82"/>
      <c r="F57" s="81">
        <v>3.2500000000000001E-2</v>
      </c>
      <c r="G57" s="26">
        <f t="shared" si="17"/>
        <v>4816.7</v>
      </c>
      <c r="H57" s="78"/>
      <c r="I57" s="78"/>
      <c r="J57" s="78">
        <f t="shared" si="18"/>
        <v>2961.91</v>
      </c>
      <c r="K57" s="78">
        <f t="shared" si="19"/>
        <v>1854.79</v>
      </c>
      <c r="L57" s="78"/>
      <c r="M57" s="78"/>
      <c r="N57" s="78"/>
      <c r="O57" s="78"/>
      <c r="P57" s="15">
        <f t="shared" si="16"/>
        <v>4816.7325000000001</v>
      </c>
      <c r="Q57" s="26">
        <f t="shared" si="11"/>
        <v>1783290.5699999998</v>
      </c>
      <c r="R57" s="15"/>
      <c r="S57" s="3"/>
      <c r="T57" s="15">
        <f t="shared" si="20"/>
        <v>1096590.4999999998</v>
      </c>
      <c r="U57" s="3">
        <f t="shared" si="21"/>
        <v>686700.07000000007</v>
      </c>
    </row>
    <row r="58" spans="1:22" hidden="1" outlineLevel="1" x14ac:dyDescent="0.25">
      <c r="A58" s="8">
        <f t="shared" si="3"/>
        <v>51</v>
      </c>
      <c r="B58" s="37">
        <f>+B57+30</f>
        <v>42276</v>
      </c>
      <c r="C58" s="83"/>
      <c r="D58" s="80">
        <v>0</v>
      </c>
      <c r="E58" s="37"/>
      <c r="F58" s="81">
        <v>3.2500000000000001E-2</v>
      </c>
      <c r="G58" s="26">
        <f t="shared" si="17"/>
        <v>4829.75</v>
      </c>
      <c r="H58" s="78"/>
      <c r="I58" s="78"/>
      <c r="J58" s="78">
        <f t="shared" si="18"/>
        <v>2969.93</v>
      </c>
      <c r="K58" s="78">
        <f t="shared" si="19"/>
        <v>1859.8200000000002</v>
      </c>
      <c r="L58" s="78"/>
      <c r="M58" s="78"/>
      <c r="N58" s="78"/>
      <c r="O58" s="78"/>
      <c r="P58" s="15">
        <f t="shared" si="16"/>
        <v>4829.7825000000003</v>
      </c>
      <c r="Q58" s="26">
        <f t="shared" si="11"/>
        <v>1788120.3524999998</v>
      </c>
      <c r="R58" s="15"/>
      <c r="S58" s="3"/>
      <c r="T58" s="15">
        <f t="shared" si="20"/>
        <v>1099560.4299999997</v>
      </c>
      <c r="U58" s="3">
        <f t="shared" si="21"/>
        <v>688559.9225000001</v>
      </c>
    </row>
    <row r="59" spans="1:22" hidden="1" outlineLevel="1" x14ac:dyDescent="0.25">
      <c r="A59" s="8">
        <f t="shared" si="3"/>
        <v>52</v>
      </c>
      <c r="B59" s="84">
        <f t="shared" si="22"/>
        <v>42307</v>
      </c>
      <c r="C59" s="34">
        <v>1</v>
      </c>
      <c r="D59" s="86">
        <v>757123</v>
      </c>
      <c r="E59" s="6"/>
      <c r="F59" s="87">
        <v>3.2500000000000001E-2</v>
      </c>
      <c r="G59" s="30">
        <f t="shared" si="17"/>
        <v>5868.1</v>
      </c>
      <c r="H59" s="57"/>
      <c r="I59" s="57"/>
      <c r="J59" s="57">
        <f t="shared" si="18"/>
        <v>2977.98</v>
      </c>
      <c r="K59" s="57">
        <f t="shared" si="19"/>
        <v>2890.1200000000003</v>
      </c>
      <c r="L59" s="57"/>
      <c r="M59" s="57"/>
      <c r="N59" s="57"/>
      <c r="O59" s="57"/>
      <c r="P59" s="50">
        <f t="shared" si="16"/>
        <v>762991.13249999995</v>
      </c>
      <c r="Q59" s="30">
        <f t="shared" si="11"/>
        <v>2551111.4849999999</v>
      </c>
      <c r="R59" s="50"/>
      <c r="S59" s="58"/>
      <c r="T59" s="50">
        <f t="shared" si="20"/>
        <v>1102538.4099999997</v>
      </c>
      <c r="U59" s="58">
        <f t="shared" si="21"/>
        <v>1448573.0750000002</v>
      </c>
    </row>
    <row r="60" spans="1:22" hidden="1" outlineLevel="1" x14ac:dyDescent="0.25">
      <c r="A60" s="8">
        <f t="shared" si="3"/>
        <v>53</v>
      </c>
      <c r="B60" s="2">
        <f>+B59+30</f>
        <v>42337</v>
      </c>
      <c r="C60" s="34">
        <v>2</v>
      </c>
      <c r="D60" s="88">
        <v>0</v>
      </c>
      <c r="E60" s="3">
        <f>-T59</f>
        <v>-1102538.4099999997</v>
      </c>
      <c r="F60" s="87">
        <v>3.2500000000000001E-2</v>
      </c>
      <c r="G60" s="30">
        <f t="shared" si="17"/>
        <v>3923.22</v>
      </c>
      <c r="H60" s="57"/>
      <c r="I60" s="57"/>
      <c r="J60" s="57"/>
      <c r="K60" s="57">
        <f t="shared" si="19"/>
        <v>3923.22</v>
      </c>
      <c r="L60" s="57"/>
      <c r="M60" s="57"/>
      <c r="N60" s="57"/>
      <c r="O60" s="57"/>
      <c r="P60" s="50">
        <f t="shared" si="16"/>
        <v>-1098615.1574999997</v>
      </c>
      <c r="Q60" s="30">
        <f t="shared" si="11"/>
        <v>1452496.3275000001</v>
      </c>
      <c r="R60" s="50"/>
      <c r="S60" s="58"/>
      <c r="T60" s="50"/>
      <c r="U60" s="58">
        <f t="shared" si="21"/>
        <v>1452496.3275000001</v>
      </c>
    </row>
    <row r="61" spans="1:22" ht="13.8" hidden="1" outlineLevel="1" thickBot="1" x14ac:dyDescent="0.3">
      <c r="A61" s="89">
        <f t="shared" si="3"/>
        <v>54</v>
      </c>
      <c r="B61" s="20">
        <f>+B60+31</f>
        <v>42368</v>
      </c>
      <c r="C61" s="20"/>
      <c r="D61" s="90">
        <v>0</v>
      </c>
      <c r="E61" s="20"/>
      <c r="F61" s="53">
        <v>3.2500000000000001E-2</v>
      </c>
      <c r="G61" s="31">
        <f t="shared" si="17"/>
        <v>3933.84</v>
      </c>
      <c r="H61" s="67"/>
      <c r="I61" s="67"/>
      <c r="J61" s="67"/>
      <c r="K61" s="67">
        <f t="shared" si="19"/>
        <v>3933.84</v>
      </c>
      <c r="L61" s="67"/>
      <c r="M61" s="67"/>
      <c r="N61" s="67"/>
      <c r="O61" s="67"/>
      <c r="P61" s="54">
        <f t="shared" si="16"/>
        <v>3933.8724999999999</v>
      </c>
      <c r="Q61" s="31">
        <f t="shared" si="11"/>
        <v>1456430.2000000002</v>
      </c>
      <c r="R61" s="54"/>
      <c r="S61" s="54"/>
      <c r="T61" s="54"/>
      <c r="U61" s="54">
        <f t="shared" si="21"/>
        <v>1456430.2000000002</v>
      </c>
      <c r="V61" s="20"/>
    </row>
    <row r="62" spans="1:22" hidden="1" outlineLevel="1" x14ac:dyDescent="0.25">
      <c r="A62" s="8">
        <f t="shared" si="3"/>
        <v>55</v>
      </c>
      <c r="B62" s="2">
        <f>B61+31</f>
        <v>42399</v>
      </c>
      <c r="D62" s="88">
        <v>0</v>
      </c>
      <c r="F62" s="87">
        <v>3.2500000000000001E-2</v>
      </c>
      <c r="G62" s="30">
        <f t="shared" si="17"/>
        <v>3944.5</v>
      </c>
      <c r="H62" s="57"/>
      <c r="I62" s="57"/>
      <c r="J62" s="57"/>
      <c r="K62" s="57">
        <f t="shared" ref="K62:K71" si="23">ROUND(U61*F62/12,2)</f>
        <v>3944.5</v>
      </c>
      <c r="L62" s="57">
        <f t="shared" ref="L62:L73" si="24">+G62-K62</f>
        <v>0</v>
      </c>
      <c r="M62" s="57"/>
      <c r="N62" s="57"/>
      <c r="O62" s="57"/>
      <c r="P62" s="50">
        <f t="shared" si="16"/>
        <v>3944.5324999999998</v>
      </c>
      <c r="Q62" s="30">
        <f t="shared" si="11"/>
        <v>1460374.7325000002</v>
      </c>
      <c r="R62" s="50"/>
      <c r="S62" s="58"/>
      <c r="T62" s="50"/>
      <c r="U62" s="58">
        <f t="shared" ref="U62:U71" si="25">+U61+K62</f>
        <v>1460374.7000000002</v>
      </c>
      <c r="V62" s="58">
        <f t="shared" ref="V62:V73" si="26">Q62-U62</f>
        <v>3.2499999972060323E-2</v>
      </c>
    </row>
    <row r="63" spans="1:22" hidden="1" outlineLevel="1" x14ac:dyDescent="0.25">
      <c r="A63" s="8">
        <f t="shared" si="3"/>
        <v>56</v>
      </c>
      <c r="B63" s="2">
        <f>B62+31</f>
        <v>42430</v>
      </c>
      <c r="D63" s="88">
        <v>0</v>
      </c>
      <c r="F63" s="87">
        <v>3.2500000000000001E-2</v>
      </c>
      <c r="G63" s="30">
        <f t="shared" si="17"/>
        <v>3955.18</v>
      </c>
      <c r="H63" s="57"/>
      <c r="I63" s="57"/>
      <c r="J63" s="57"/>
      <c r="K63" s="57">
        <f t="shared" si="23"/>
        <v>3955.18</v>
      </c>
      <c r="L63" s="57">
        <f t="shared" si="24"/>
        <v>0</v>
      </c>
      <c r="M63" s="57"/>
      <c r="N63" s="57"/>
      <c r="O63" s="57"/>
      <c r="P63" s="50">
        <f t="shared" si="16"/>
        <v>3955.2124999999996</v>
      </c>
      <c r="Q63" s="30">
        <f t="shared" si="11"/>
        <v>1464329.9450000001</v>
      </c>
      <c r="R63" s="50"/>
      <c r="S63" s="58"/>
      <c r="T63" s="50"/>
      <c r="U63" s="58">
        <f t="shared" si="25"/>
        <v>1464329.8800000001</v>
      </c>
      <c r="V63" s="58">
        <f t="shared" si="26"/>
        <v>6.4999999944120646E-2</v>
      </c>
    </row>
    <row r="64" spans="1:22" hidden="1" outlineLevel="1" x14ac:dyDescent="0.25">
      <c r="A64" s="8">
        <f t="shared" si="3"/>
        <v>57</v>
      </c>
      <c r="B64" s="2">
        <f>B63+29</f>
        <v>42459</v>
      </c>
      <c r="C64" s="52" t="s">
        <v>38</v>
      </c>
      <c r="D64" s="88">
        <v>768840</v>
      </c>
      <c r="F64" s="87">
        <v>3.2500000000000001E-2</v>
      </c>
      <c r="G64" s="30">
        <f t="shared" si="17"/>
        <v>5007.03</v>
      </c>
      <c r="H64" s="57"/>
      <c r="I64" s="57"/>
      <c r="J64" s="57"/>
      <c r="K64" s="57">
        <f t="shared" si="23"/>
        <v>3965.89</v>
      </c>
      <c r="L64" s="57">
        <f t="shared" si="24"/>
        <v>1041.1399999999999</v>
      </c>
      <c r="M64" s="57"/>
      <c r="N64" s="57"/>
      <c r="O64" s="57"/>
      <c r="P64" s="50">
        <f t="shared" si="16"/>
        <v>773847.0625</v>
      </c>
      <c r="Q64" s="30">
        <f t="shared" si="11"/>
        <v>2238177.0075000003</v>
      </c>
      <c r="R64" s="50"/>
      <c r="S64" s="58"/>
      <c r="T64" s="50"/>
      <c r="U64" s="58">
        <f t="shared" si="25"/>
        <v>1468295.77</v>
      </c>
      <c r="V64" s="58">
        <f t="shared" si="26"/>
        <v>769881.23750000028</v>
      </c>
    </row>
    <row r="65" spans="1:23" hidden="1" outlineLevel="1" x14ac:dyDescent="0.25">
      <c r="A65" s="8">
        <f t="shared" si="3"/>
        <v>58</v>
      </c>
      <c r="B65" s="2">
        <f>B64+31</f>
        <v>42490</v>
      </c>
      <c r="D65" s="88">
        <v>0</v>
      </c>
      <c r="F65" s="87">
        <v>3.460000825458099E-2</v>
      </c>
      <c r="G65" s="30">
        <f t="shared" si="17"/>
        <v>6453.41</v>
      </c>
      <c r="H65" s="78"/>
      <c r="I65" s="78"/>
      <c r="J65" s="57"/>
      <c r="K65" s="57">
        <f t="shared" si="23"/>
        <v>4233.59</v>
      </c>
      <c r="L65" s="57">
        <f t="shared" si="24"/>
        <v>2219.8199999999997</v>
      </c>
      <c r="M65" s="57"/>
      <c r="N65" s="57"/>
      <c r="O65" s="57"/>
      <c r="P65" s="50">
        <f t="shared" si="16"/>
        <v>6453.4446000082544</v>
      </c>
      <c r="Q65" s="30">
        <f t="shared" si="11"/>
        <v>2244630.4521000087</v>
      </c>
      <c r="R65" s="50"/>
      <c r="S65" s="58"/>
      <c r="T65" s="50"/>
      <c r="U65" s="58">
        <f t="shared" si="25"/>
        <v>1472529.36</v>
      </c>
      <c r="V65" s="58">
        <f t="shared" si="26"/>
        <v>772101.09210000862</v>
      </c>
    </row>
    <row r="66" spans="1:23" hidden="1" outlineLevel="1" x14ac:dyDescent="0.25">
      <c r="A66" s="8">
        <f t="shared" si="3"/>
        <v>59</v>
      </c>
      <c r="B66" s="2">
        <f>B65+30</f>
        <v>42520</v>
      </c>
      <c r="D66" s="88">
        <v>0</v>
      </c>
      <c r="F66" s="87">
        <v>3.460000825458099E-2</v>
      </c>
      <c r="G66" s="30">
        <f t="shared" si="17"/>
        <v>6472.02</v>
      </c>
      <c r="H66" s="78"/>
      <c r="I66" s="78"/>
      <c r="J66" s="57"/>
      <c r="K66" s="57">
        <f t="shared" si="23"/>
        <v>4245.79</v>
      </c>
      <c r="L66" s="57">
        <f t="shared" si="24"/>
        <v>2226.2300000000005</v>
      </c>
      <c r="M66" s="57"/>
      <c r="N66" s="57"/>
      <c r="O66" s="57"/>
      <c r="P66" s="50">
        <f t="shared" si="16"/>
        <v>6472.054600008255</v>
      </c>
      <c r="Q66" s="30">
        <f t="shared" si="11"/>
        <v>2251102.506700017</v>
      </c>
      <c r="R66" s="50"/>
      <c r="S66" s="58"/>
      <c r="T66" s="50"/>
      <c r="U66" s="58">
        <f t="shared" si="25"/>
        <v>1476775.1500000001</v>
      </c>
      <c r="V66" s="58">
        <f t="shared" si="26"/>
        <v>774327.35670001688</v>
      </c>
    </row>
    <row r="67" spans="1:23" hidden="1" outlineLevel="1" x14ac:dyDescent="0.25">
      <c r="A67" s="8">
        <f t="shared" si="3"/>
        <v>60</v>
      </c>
      <c r="B67" s="6">
        <f>B66+30</f>
        <v>42550</v>
      </c>
      <c r="C67" s="6"/>
      <c r="D67" s="91">
        <v>0</v>
      </c>
      <c r="E67" s="6"/>
      <c r="F67" s="87">
        <v>3.460000825458099E-2</v>
      </c>
      <c r="G67" s="30">
        <f t="shared" si="17"/>
        <v>6490.68</v>
      </c>
      <c r="H67" s="78"/>
      <c r="I67" s="78"/>
      <c r="J67" s="57"/>
      <c r="K67" s="57">
        <f t="shared" si="23"/>
        <v>4258.04</v>
      </c>
      <c r="L67" s="57">
        <f t="shared" si="24"/>
        <v>2232.6400000000003</v>
      </c>
      <c r="M67" s="57"/>
      <c r="N67" s="57"/>
      <c r="O67" s="57"/>
      <c r="P67" s="50">
        <f t="shared" si="16"/>
        <v>6490.7146000082548</v>
      </c>
      <c r="Q67" s="30">
        <f t="shared" si="11"/>
        <v>2257593.2213000255</v>
      </c>
      <c r="R67" s="50"/>
      <c r="S67" s="58"/>
      <c r="T67" s="50"/>
      <c r="U67" s="58">
        <f t="shared" si="25"/>
        <v>1481033.1900000002</v>
      </c>
      <c r="V67" s="58">
        <f t="shared" si="26"/>
        <v>776560.03130002529</v>
      </c>
    </row>
    <row r="68" spans="1:23" hidden="1" outlineLevel="1" x14ac:dyDescent="0.25">
      <c r="A68" s="8">
        <f t="shared" si="3"/>
        <v>61</v>
      </c>
      <c r="B68" s="2">
        <f>B67+31</f>
        <v>42581</v>
      </c>
      <c r="D68" s="88">
        <v>0</v>
      </c>
      <c r="F68" s="87">
        <v>3.5000000000000003E-2</v>
      </c>
      <c r="G68" s="30">
        <f t="shared" si="17"/>
        <v>6584.65</v>
      </c>
      <c r="H68" s="78"/>
      <c r="I68" s="78"/>
      <c r="J68" s="57"/>
      <c r="K68" s="57">
        <f t="shared" si="23"/>
        <v>4319.68</v>
      </c>
      <c r="L68" s="57">
        <f t="shared" si="24"/>
        <v>2264.9699999999993</v>
      </c>
      <c r="M68" s="57"/>
      <c r="N68" s="57"/>
      <c r="O68" s="57"/>
      <c r="P68" s="50">
        <f t="shared" si="16"/>
        <v>6584.6849999999995</v>
      </c>
      <c r="Q68" s="30">
        <f t="shared" si="11"/>
        <v>2264177.9063000255</v>
      </c>
      <c r="R68" s="50"/>
      <c r="S68" s="58"/>
      <c r="T68" s="50"/>
      <c r="U68" s="58">
        <f t="shared" si="25"/>
        <v>1485352.87</v>
      </c>
      <c r="V68" s="58">
        <f t="shared" si="26"/>
        <v>778825.03630002541</v>
      </c>
    </row>
    <row r="69" spans="1:23" hidden="1" outlineLevel="1" x14ac:dyDescent="0.25">
      <c r="A69" s="8">
        <f t="shared" si="3"/>
        <v>62</v>
      </c>
      <c r="B69" s="2">
        <f>B68+31</f>
        <v>42612</v>
      </c>
      <c r="D69" s="88">
        <v>0</v>
      </c>
      <c r="F69" s="87">
        <v>3.5000000000000003E-2</v>
      </c>
      <c r="G69" s="30">
        <f t="shared" si="17"/>
        <v>6603.85</v>
      </c>
      <c r="H69" s="78"/>
      <c r="I69" s="78"/>
      <c r="J69" s="57"/>
      <c r="K69" s="57">
        <f t="shared" si="23"/>
        <v>4332.28</v>
      </c>
      <c r="L69" s="57">
        <f t="shared" si="24"/>
        <v>2271.5700000000006</v>
      </c>
      <c r="M69" s="57"/>
      <c r="N69" s="57"/>
      <c r="O69" s="57"/>
      <c r="P69" s="50">
        <f t="shared" si="16"/>
        <v>6603.8850000000002</v>
      </c>
      <c r="Q69" s="30">
        <f t="shared" si="11"/>
        <v>2270781.7913000253</v>
      </c>
      <c r="R69" s="50"/>
      <c r="S69" s="58"/>
      <c r="T69" s="50"/>
      <c r="U69" s="58">
        <f t="shared" si="25"/>
        <v>1489685.1500000001</v>
      </c>
      <c r="V69" s="58">
        <f t="shared" si="26"/>
        <v>781096.64130002516</v>
      </c>
    </row>
    <row r="70" spans="1:23" hidden="1" outlineLevel="1" x14ac:dyDescent="0.25">
      <c r="A70" s="8">
        <f t="shared" si="3"/>
        <v>63</v>
      </c>
      <c r="B70" s="2">
        <f>B69+30</f>
        <v>42642</v>
      </c>
      <c r="C70" s="52" t="s">
        <v>38</v>
      </c>
      <c r="D70" s="88">
        <v>768839</v>
      </c>
      <c r="F70" s="87">
        <v>3.5000000000000003E-2</v>
      </c>
      <c r="G70" s="30">
        <f t="shared" si="17"/>
        <v>7744.34</v>
      </c>
      <c r="H70" s="78"/>
      <c r="I70" s="78"/>
      <c r="J70" s="57"/>
      <c r="K70" s="57">
        <f t="shared" si="23"/>
        <v>4344.92</v>
      </c>
      <c r="L70" s="57">
        <f t="shared" si="24"/>
        <v>3399.42</v>
      </c>
      <c r="M70" s="57"/>
      <c r="N70" s="57"/>
      <c r="O70" s="57"/>
      <c r="P70" s="50">
        <f t="shared" si="16"/>
        <v>776583.375</v>
      </c>
      <c r="Q70" s="30">
        <f>+Q69+P70</f>
        <v>3047365.1663000253</v>
      </c>
      <c r="R70" s="50"/>
      <c r="S70" s="58"/>
      <c r="T70" s="50"/>
      <c r="U70" s="58">
        <f t="shared" si="25"/>
        <v>1494030.07</v>
      </c>
      <c r="V70" s="58">
        <f t="shared" si="26"/>
        <v>1553335.0963000252</v>
      </c>
    </row>
    <row r="71" spans="1:23" hidden="1" outlineLevel="1" x14ac:dyDescent="0.25">
      <c r="A71" s="8">
        <f t="shared" si="3"/>
        <v>64</v>
      </c>
      <c r="B71" s="2">
        <f>B70+31</f>
        <v>42673</v>
      </c>
      <c r="C71" s="60"/>
      <c r="D71" s="17">
        <v>0</v>
      </c>
      <c r="F71" s="87">
        <v>3.5000000000000003E-2</v>
      </c>
      <c r="G71" s="30">
        <f t="shared" si="17"/>
        <v>8888.15</v>
      </c>
      <c r="H71" s="78"/>
      <c r="I71" s="78"/>
      <c r="J71" s="57"/>
      <c r="K71" s="57">
        <f t="shared" si="23"/>
        <v>4357.59</v>
      </c>
      <c r="L71" s="57">
        <f t="shared" si="24"/>
        <v>4530.5599999999995</v>
      </c>
      <c r="M71" s="57"/>
      <c r="N71" s="57"/>
      <c r="O71" s="57"/>
      <c r="P71" s="50">
        <f t="shared" si="16"/>
        <v>8888.1849999999995</v>
      </c>
      <c r="Q71" s="30">
        <f>+Q70+P71</f>
        <v>3056253.3513000254</v>
      </c>
      <c r="R71" s="50"/>
      <c r="S71" s="58"/>
      <c r="T71" s="50"/>
      <c r="U71" s="58">
        <f t="shared" si="25"/>
        <v>1498387.6600000001</v>
      </c>
      <c r="V71" s="58">
        <f t="shared" si="26"/>
        <v>1557865.6913000252</v>
      </c>
    </row>
    <row r="72" spans="1:23" hidden="1" outlineLevel="1" x14ac:dyDescent="0.25">
      <c r="A72" s="8">
        <f t="shared" ref="A72:A107" si="27">+A71+1</f>
        <v>65</v>
      </c>
      <c r="B72" s="2">
        <f t="shared" ref="B72:B84" si="28">B71+31</f>
        <v>42704</v>
      </c>
      <c r="C72" s="34">
        <v>2</v>
      </c>
      <c r="D72" s="17">
        <v>0</v>
      </c>
      <c r="E72" s="92">
        <f>-U71</f>
        <v>-1498387.6600000001</v>
      </c>
      <c r="F72" s="87">
        <v>3.5000000000000003E-2</v>
      </c>
      <c r="G72" s="30">
        <f t="shared" si="17"/>
        <v>4543.7700000000004</v>
      </c>
      <c r="H72" s="78"/>
      <c r="I72" s="78"/>
      <c r="J72" s="57"/>
      <c r="K72" s="57"/>
      <c r="L72" s="57">
        <f t="shared" si="24"/>
        <v>4543.7700000000004</v>
      </c>
      <c r="M72" s="57"/>
      <c r="N72" s="57"/>
      <c r="O72" s="57"/>
      <c r="P72" s="50">
        <f t="shared" ref="P72:P107" si="29">D72+E72+G72</f>
        <v>-1493843.8900000001</v>
      </c>
      <c r="Q72" s="30">
        <f>+Q71+P72</f>
        <v>1562409.4613000252</v>
      </c>
      <c r="R72" s="50"/>
      <c r="S72" s="58"/>
      <c r="T72" s="50"/>
      <c r="U72" s="58"/>
      <c r="V72" s="58">
        <f t="shared" si="26"/>
        <v>1562409.4613000252</v>
      </c>
    </row>
    <row r="73" spans="1:23" ht="13.8" hidden="1" outlineLevel="1" thickBot="1" x14ac:dyDescent="0.3">
      <c r="A73" s="89">
        <f t="shared" si="27"/>
        <v>66</v>
      </c>
      <c r="B73" s="20">
        <f t="shared" si="28"/>
        <v>42735</v>
      </c>
      <c r="C73" s="107" t="s">
        <v>38</v>
      </c>
      <c r="D73" s="90">
        <v>400000</v>
      </c>
      <c r="E73" s="20"/>
      <c r="F73" s="53">
        <v>3.5000000000000003E-2</v>
      </c>
      <c r="G73" s="31">
        <f t="shared" si="17"/>
        <v>5140.3599999999997</v>
      </c>
      <c r="H73" s="67"/>
      <c r="I73" s="67"/>
      <c r="J73" s="67"/>
      <c r="K73" s="67"/>
      <c r="L73" s="67">
        <f t="shared" si="24"/>
        <v>5140.3599999999997</v>
      </c>
      <c r="M73" s="67"/>
      <c r="N73" s="67"/>
      <c r="O73" s="67"/>
      <c r="P73" s="54">
        <f t="shared" si="29"/>
        <v>405140.36</v>
      </c>
      <c r="Q73" s="31">
        <f>+Q72+P73</f>
        <v>1967549.8213000251</v>
      </c>
      <c r="R73" s="54"/>
      <c r="S73" s="54"/>
      <c r="T73" s="54"/>
      <c r="U73" s="54"/>
      <c r="V73" s="54">
        <f t="shared" si="26"/>
        <v>1967549.8213000251</v>
      </c>
      <c r="W73" s="20"/>
    </row>
    <row r="74" spans="1:23" hidden="1" outlineLevel="1" x14ac:dyDescent="0.25">
      <c r="A74" s="8">
        <f t="shared" si="27"/>
        <v>67</v>
      </c>
      <c r="B74" s="2">
        <f t="shared" si="28"/>
        <v>42766</v>
      </c>
      <c r="C74" s="60"/>
      <c r="D74" s="17">
        <v>0</v>
      </c>
      <c r="F74" s="87">
        <v>3.5000000000000003E-2</v>
      </c>
      <c r="G74" s="30">
        <f t="shared" si="17"/>
        <v>5738.69</v>
      </c>
      <c r="H74" s="78"/>
      <c r="I74" s="78"/>
      <c r="J74" s="57"/>
      <c r="K74" s="57"/>
      <c r="L74" s="57">
        <f t="shared" ref="L74:L83" si="30">ROUND(V73*F74/12,2)</f>
        <v>5738.69</v>
      </c>
      <c r="M74" s="57">
        <f t="shared" ref="M74:M85" si="31">+G74-L74</f>
        <v>0</v>
      </c>
      <c r="N74" s="57"/>
      <c r="O74" s="57"/>
      <c r="P74" s="50">
        <f t="shared" si="29"/>
        <v>5738.69</v>
      </c>
      <c r="Q74" s="30">
        <f t="shared" ref="Q74:Q97" si="32">+Q73+P74</f>
        <v>1973288.511300025</v>
      </c>
      <c r="R74" s="50"/>
      <c r="S74" s="58"/>
      <c r="T74" s="50"/>
      <c r="U74" s="58"/>
      <c r="V74" s="58">
        <f t="shared" ref="V74:V82" si="33">+V73+L74</f>
        <v>1973288.511300025</v>
      </c>
      <c r="W74" s="58">
        <f t="shared" ref="W74:W84" si="34">Q74-V74</f>
        <v>0</v>
      </c>
    </row>
    <row r="75" spans="1:23" hidden="1" outlineLevel="1" x14ac:dyDescent="0.25">
      <c r="A75" s="8">
        <f t="shared" si="27"/>
        <v>68</v>
      </c>
      <c r="B75" s="2">
        <f t="shared" si="28"/>
        <v>42797</v>
      </c>
      <c r="C75" s="60"/>
      <c r="D75" s="17">
        <v>0</v>
      </c>
      <c r="F75" s="87">
        <v>3.5000000000000003E-2</v>
      </c>
      <c r="G75" s="30">
        <f t="shared" si="17"/>
        <v>5755.42</v>
      </c>
      <c r="H75" s="78"/>
      <c r="I75" s="78"/>
      <c r="J75" s="57"/>
      <c r="K75" s="57"/>
      <c r="L75" s="57">
        <f t="shared" si="30"/>
        <v>5755.42</v>
      </c>
      <c r="M75" s="57">
        <f t="shared" si="31"/>
        <v>0</v>
      </c>
      <c r="N75" s="57"/>
      <c r="O75" s="57"/>
      <c r="P75" s="50">
        <f t="shared" si="29"/>
        <v>5755.42</v>
      </c>
      <c r="Q75" s="30">
        <f t="shared" si="32"/>
        <v>1979043.931300025</v>
      </c>
      <c r="R75" s="50"/>
      <c r="S75" s="58"/>
      <c r="T75" s="50"/>
      <c r="U75" s="58"/>
      <c r="V75" s="58">
        <f t="shared" si="33"/>
        <v>1979043.931300025</v>
      </c>
      <c r="W75" s="58">
        <f t="shared" si="34"/>
        <v>0</v>
      </c>
    </row>
    <row r="76" spans="1:23" hidden="1" outlineLevel="1" x14ac:dyDescent="0.25">
      <c r="A76" s="8">
        <f t="shared" si="27"/>
        <v>69</v>
      </c>
      <c r="B76" s="2">
        <f t="shared" si="28"/>
        <v>42828</v>
      </c>
      <c r="C76" s="52" t="s">
        <v>38</v>
      </c>
      <c r="D76" s="17">
        <v>544100</v>
      </c>
      <c r="F76" s="87">
        <v>3.5000000000000003E-2</v>
      </c>
      <c r="G76" s="30">
        <f t="shared" si="17"/>
        <v>6565.69</v>
      </c>
      <c r="H76" s="78"/>
      <c r="I76" s="78"/>
      <c r="J76" s="57"/>
      <c r="K76" s="57"/>
      <c r="L76" s="57">
        <f t="shared" si="30"/>
        <v>5772.21</v>
      </c>
      <c r="M76" s="57">
        <f t="shared" si="31"/>
        <v>793.47999999999956</v>
      </c>
      <c r="N76" s="57"/>
      <c r="O76" s="57"/>
      <c r="P76" s="50">
        <f t="shared" si="29"/>
        <v>550665.68999999994</v>
      </c>
      <c r="Q76" s="30">
        <f t="shared" si="32"/>
        <v>2529709.6213000249</v>
      </c>
      <c r="R76" s="50"/>
      <c r="S76" s="58"/>
      <c r="T76" s="50"/>
      <c r="U76" s="58"/>
      <c r="V76" s="58">
        <f t="shared" si="33"/>
        <v>1984816.1413000249</v>
      </c>
      <c r="W76" s="58">
        <f t="shared" si="34"/>
        <v>544893.48</v>
      </c>
    </row>
    <row r="77" spans="1:23" hidden="1" outlineLevel="1" x14ac:dyDescent="0.25">
      <c r="A77" s="8">
        <f t="shared" si="27"/>
        <v>70</v>
      </c>
      <c r="B77" s="2">
        <f t="shared" si="28"/>
        <v>42859</v>
      </c>
      <c r="C77" s="60"/>
      <c r="D77" s="17">
        <v>0</v>
      </c>
      <c r="F77" s="87">
        <v>3.7100000000000001E-2</v>
      </c>
      <c r="G77" s="30">
        <f t="shared" si="17"/>
        <v>7821.02</v>
      </c>
      <c r="H77" s="78"/>
      <c r="I77" s="78"/>
      <c r="J77" s="57"/>
      <c r="K77" s="57"/>
      <c r="L77" s="57">
        <f t="shared" si="30"/>
        <v>6136.39</v>
      </c>
      <c r="M77" s="57">
        <f t="shared" si="31"/>
        <v>1684.63</v>
      </c>
      <c r="N77" s="57"/>
      <c r="O77" s="57"/>
      <c r="P77" s="50">
        <f t="shared" si="29"/>
        <v>7821.02</v>
      </c>
      <c r="Q77" s="30">
        <f t="shared" si="32"/>
        <v>2537530.6413000249</v>
      </c>
      <c r="R77" s="50"/>
      <c r="S77" s="58"/>
      <c r="T77" s="50"/>
      <c r="U77" s="58"/>
      <c r="V77" s="58">
        <f t="shared" si="33"/>
        <v>1990952.5313000248</v>
      </c>
      <c r="W77" s="58">
        <f t="shared" si="34"/>
        <v>546578.1100000001</v>
      </c>
    </row>
    <row r="78" spans="1:23" hidden="1" outlineLevel="1" x14ac:dyDescent="0.25">
      <c r="A78" s="8">
        <f t="shared" si="27"/>
        <v>71</v>
      </c>
      <c r="B78" s="2">
        <f t="shared" si="28"/>
        <v>42890</v>
      </c>
      <c r="C78" s="60"/>
      <c r="D78" s="17">
        <v>0</v>
      </c>
      <c r="F78" s="87">
        <v>3.7100000000000001E-2</v>
      </c>
      <c r="G78" s="30">
        <f t="shared" si="17"/>
        <v>7845.2</v>
      </c>
      <c r="H78" s="78"/>
      <c r="I78" s="78"/>
      <c r="J78" s="57"/>
      <c r="K78" s="57"/>
      <c r="L78" s="57">
        <f t="shared" si="30"/>
        <v>6155.36</v>
      </c>
      <c r="M78" s="57">
        <f t="shared" si="31"/>
        <v>1689.8400000000001</v>
      </c>
      <c r="N78" s="57"/>
      <c r="O78" s="57"/>
      <c r="P78" s="50">
        <f t="shared" si="29"/>
        <v>7845.2</v>
      </c>
      <c r="Q78" s="30">
        <f t="shared" si="32"/>
        <v>2545375.8413000251</v>
      </c>
      <c r="R78" s="50"/>
      <c r="S78" s="58"/>
      <c r="T78" s="50"/>
      <c r="U78" s="58"/>
      <c r="V78" s="58">
        <f t="shared" si="33"/>
        <v>1997107.8913000249</v>
      </c>
      <c r="W78" s="58">
        <f t="shared" si="34"/>
        <v>548267.95000000019</v>
      </c>
    </row>
    <row r="79" spans="1:23" hidden="1" outlineLevel="1" x14ac:dyDescent="0.25">
      <c r="A79" s="8">
        <f t="shared" si="27"/>
        <v>72</v>
      </c>
      <c r="B79" s="2">
        <f t="shared" si="28"/>
        <v>42921</v>
      </c>
      <c r="C79" s="60"/>
      <c r="D79" s="17">
        <v>0</v>
      </c>
      <c r="F79" s="87">
        <v>3.7100000000000001E-2</v>
      </c>
      <c r="G79" s="30">
        <f t="shared" ref="G79:G107" si="35">ROUND((+Q78+E79+(D79/2))*F79/12,2)</f>
        <v>7869.45</v>
      </c>
      <c r="H79" s="78"/>
      <c r="I79" s="78"/>
      <c r="J79" s="57"/>
      <c r="K79" s="57"/>
      <c r="L79" s="57">
        <f t="shared" si="30"/>
        <v>6174.39</v>
      </c>
      <c r="M79" s="57">
        <f t="shared" si="31"/>
        <v>1695.0599999999995</v>
      </c>
      <c r="N79" s="57"/>
      <c r="O79" s="57"/>
      <c r="P79" s="50">
        <f t="shared" si="29"/>
        <v>7869.45</v>
      </c>
      <c r="Q79" s="30">
        <f t="shared" si="32"/>
        <v>2553245.2913000253</v>
      </c>
      <c r="R79" s="50"/>
      <c r="S79" s="58"/>
      <c r="T79" s="50"/>
      <c r="U79" s="58"/>
      <c r="V79" s="58">
        <f t="shared" si="33"/>
        <v>2003282.2813000248</v>
      </c>
      <c r="W79" s="58">
        <f t="shared" si="34"/>
        <v>549963.01000000047</v>
      </c>
    </row>
    <row r="80" spans="1:23" hidden="1" outlineLevel="1" x14ac:dyDescent="0.25">
      <c r="A80" s="8">
        <f t="shared" si="27"/>
        <v>73</v>
      </c>
      <c r="B80" s="2">
        <f t="shared" si="28"/>
        <v>42952</v>
      </c>
      <c r="C80" s="52" t="s">
        <v>38</v>
      </c>
      <c r="D80" s="17">
        <v>538367</v>
      </c>
      <c r="E80" s="39"/>
      <c r="F80" s="87">
        <v>3.9600000000000003E-2</v>
      </c>
      <c r="G80" s="30">
        <f t="shared" si="35"/>
        <v>9314.02</v>
      </c>
      <c r="H80" s="78"/>
      <c r="I80" s="78"/>
      <c r="J80" s="57"/>
      <c r="K80" s="57"/>
      <c r="L80" s="57">
        <f t="shared" si="30"/>
        <v>6610.83</v>
      </c>
      <c r="M80" s="57">
        <f t="shared" si="31"/>
        <v>2703.1900000000005</v>
      </c>
      <c r="N80" s="57"/>
      <c r="O80" s="57"/>
      <c r="P80" s="50">
        <f t="shared" si="29"/>
        <v>547681.02</v>
      </c>
      <c r="Q80" s="30">
        <f t="shared" si="32"/>
        <v>3100926.3113000253</v>
      </c>
      <c r="R80" s="50"/>
      <c r="S80" s="58"/>
      <c r="T80" s="50"/>
      <c r="U80" s="58"/>
      <c r="V80" s="58">
        <f t="shared" si="33"/>
        <v>2009893.1113000249</v>
      </c>
      <c r="W80" s="58">
        <f t="shared" si="34"/>
        <v>1091033.2000000004</v>
      </c>
    </row>
    <row r="81" spans="1:24" hidden="1" outlineLevel="1" x14ac:dyDescent="0.25">
      <c r="A81" s="8">
        <f t="shared" si="27"/>
        <v>74</v>
      </c>
      <c r="B81" s="2">
        <f t="shared" si="28"/>
        <v>42983</v>
      </c>
      <c r="C81" s="60"/>
      <c r="D81" s="93">
        <v>0</v>
      </c>
      <c r="F81" s="87">
        <v>3.9600000000000003E-2</v>
      </c>
      <c r="G81" s="30">
        <f t="shared" si="35"/>
        <v>10233.06</v>
      </c>
      <c r="H81" s="78"/>
      <c r="I81" s="78"/>
      <c r="J81" s="57"/>
      <c r="K81" s="57"/>
      <c r="L81" s="57">
        <f t="shared" si="30"/>
        <v>6632.65</v>
      </c>
      <c r="M81" s="57">
        <f t="shared" si="31"/>
        <v>3600.41</v>
      </c>
      <c r="N81" s="57"/>
      <c r="O81" s="57"/>
      <c r="P81" s="50">
        <f t="shared" si="29"/>
        <v>10233.06</v>
      </c>
      <c r="Q81" s="30">
        <f t="shared" si="32"/>
        <v>3111159.3713000254</v>
      </c>
      <c r="R81" s="50"/>
      <c r="S81" s="58"/>
      <c r="T81" s="50"/>
      <c r="U81" s="58"/>
      <c r="V81" s="58">
        <f t="shared" si="33"/>
        <v>2016525.7613000248</v>
      </c>
      <c r="W81" s="58">
        <f t="shared" si="34"/>
        <v>1094633.6100000006</v>
      </c>
    </row>
    <row r="82" spans="1:24" hidden="1" outlineLevel="1" x14ac:dyDescent="0.25">
      <c r="A82" s="8">
        <f t="shared" si="27"/>
        <v>75</v>
      </c>
      <c r="B82" s="2">
        <f>B81+29</f>
        <v>43012</v>
      </c>
      <c r="C82" s="52" t="s">
        <v>38</v>
      </c>
      <c r="D82" s="17">
        <v>938367</v>
      </c>
      <c r="F82" s="87">
        <v>3.9600000000000003E-2</v>
      </c>
      <c r="G82" s="30">
        <f t="shared" si="35"/>
        <v>11815.13</v>
      </c>
      <c r="H82" s="78"/>
      <c r="I82" s="78"/>
      <c r="J82" s="57"/>
      <c r="K82" s="57"/>
      <c r="L82" s="57">
        <f t="shared" si="30"/>
        <v>6654.54</v>
      </c>
      <c r="M82" s="57">
        <f t="shared" si="31"/>
        <v>5160.5899999999992</v>
      </c>
      <c r="N82" s="57"/>
      <c r="O82" s="57"/>
      <c r="P82" s="50">
        <f t="shared" si="29"/>
        <v>950182.13</v>
      </c>
      <c r="Q82" s="30">
        <f t="shared" si="32"/>
        <v>4061341.5013000253</v>
      </c>
      <c r="R82" s="50"/>
      <c r="S82" s="58"/>
      <c r="T82" s="50"/>
      <c r="U82" s="58"/>
      <c r="V82" s="58">
        <f t="shared" si="33"/>
        <v>2023180.3013000248</v>
      </c>
      <c r="W82" s="58">
        <f t="shared" si="34"/>
        <v>2038161.2000000004</v>
      </c>
    </row>
    <row r="83" spans="1:24" hidden="1" outlineLevel="1" x14ac:dyDescent="0.25">
      <c r="A83" s="8">
        <f t="shared" si="27"/>
        <v>76</v>
      </c>
      <c r="B83" s="2">
        <f t="shared" si="28"/>
        <v>43043</v>
      </c>
      <c r="C83" s="60"/>
      <c r="D83" s="17">
        <v>0</v>
      </c>
      <c r="F83" s="87">
        <v>4.2099999999999999E-2</v>
      </c>
      <c r="G83" s="30">
        <f t="shared" si="35"/>
        <v>14248.54</v>
      </c>
      <c r="H83" s="78"/>
      <c r="I83" s="78"/>
      <c r="J83" s="57"/>
      <c r="K83" s="57"/>
      <c r="L83" s="57">
        <f t="shared" si="30"/>
        <v>7097.99</v>
      </c>
      <c r="M83" s="57">
        <f t="shared" si="31"/>
        <v>7150.5500000000011</v>
      </c>
      <c r="N83" s="57"/>
      <c r="O83" s="57"/>
      <c r="P83" s="50">
        <f t="shared" si="29"/>
        <v>14248.54</v>
      </c>
      <c r="Q83" s="30">
        <f t="shared" si="32"/>
        <v>4075590.0413000253</v>
      </c>
      <c r="R83" s="50"/>
      <c r="S83" s="58"/>
      <c r="T83" s="50"/>
      <c r="U83" s="58"/>
      <c r="V83" s="58">
        <f>+V82+L83-421.48</f>
        <v>2029856.8113000249</v>
      </c>
      <c r="W83" s="58">
        <f>Q83-V83</f>
        <v>2045733.2300000004</v>
      </c>
    </row>
    <row r="84" spans="1:24" hidden="1" outlineLevel="1" x14ac:dyDescent="0.25">
      <c r="A84" s="8">
        <f t="shared" si="27"/>
        <v>77</v>
      </c>
      <c r="B84" s="2">
        <f t="shared" si="28"/>
        <v>43074</v>
      </c>
      <c r="C84" s="34">
        <v>2</v>
      </c>
      <c r="D84" s="17">
        <v>0</v>
      </c>
      <c r="E84" s="39">
        <f>-V83</f>
        <v>-2029856.8113000249</v>
      </c>
      <c r="F84" s="87">
        <v>4.2099999999999999E-2</v>
      </c>
      <c r="G84" s="30">
        <f t="shared" si="35"/>
        <v>7177.11</v>
      </c>
      <c r="H84" s="78"/>
      <c r="I84" s="78"/>
      <c r="J84" s="57"/>
      <c r="K84" s="57"/>
      <c r="L84" s="57"/>
      <c r="M84" s="57">
        <f t="shared" si="31"/>
        <v>7177.11</v>
      </c>
      <c r="N84" s="57"/>
      <c r="O84" s="57"/>
      <c r="P84" s="50">
        <f t="shared" si="29"/>
        <v>-2022679.7013000248</v>
      </c>
      <c r="Q84" s="30">
        <f t="shared" si="32"/>
        <v>2052910.3400000005</v>
      </c>
      <c r="R84" s="50"/>
      <c r="S84" s="58"/>
      <c r="T84" s="50"/>
      <c r="U84" s="58"/>
      <c r="V84" s="58"/>
      <c r="W84" s="58">
        <f t="shared" si="34"/>
        <v>2052910.3400000005</v>
      </c>
    </row>
    <row r="85" spans="1:24" ht="13.8" hidden="1" outlineLevel="1" thickBot="1" x14ac:dyDescent="0.3">
      <c r="A85" s="8">
        <f t="shared" si="27"/>
        <v>78</v>
      </c>
      <c r="B85" s="20">
        <f>B84+31</f>
        <v>43105</v>
      </c>
      <c r="C85" s="107" t="s">
        <v>38</v>
      </c>
      <c r="D85" s="21">
        <v>100000</v>
      </c>
      <c r="E85" s="20"/>
      <c r="F85" s="53">
        <v>4.2099999999999999E-2</v>
      </c>
      <c r="G85" s="31">
        <f t="shared" si="35"/>
        <v>7377.71</v>
      </c>
      <c r="H85" s="79"/>
      <c r="I85" s="79"/>
      <c r="J85" s="67"/>
      <c r="K85" s="67"/>
      <c r="L85" s="67"/>
      <c r="M85" s="67">
        <f t="shared" si="31"/>
        <v>7377.71</v>
      </c>
      <c r="N85" s="67"/>
      <c r="O85" s="67"/>
      <c r="P85" s="54">
        <f t="shared" si="29"/>
        <v>107377.71</v>
      </c>
      <c r="Q85" s="31">
        <f>+Q84+P85</f>
        <v>2160288.0500000007</v>
      </c>
      <c r="R85" s="54"/>
      <c r="S85" s="54"/>
      <c r="T85" s="54"/>
      <c r="U85" s="54"/>
      <c r="V85" s="54"/>
      <c r="W85" s="54">
        <f>Q85-V85</f>
        <v>2160288.0500000007</v>
      </c>
      <c r="X85" s="20"/>
    </row>
    <row r="86" spans="1:24" collapsed="1" x14ac:dyDescent="0.25">
      <c r="A86" s="8">
        <f t="shared" si="27"/>
        <v>79</v>
      </c>
      <c r="B86" s="61">
        <v>43101</v>
      </c>
      <c r="C86" s="59" t="s">
        <v>38</v>
      </c>
      <c r="D86" s="17">
        <v>100000</v>
      </c>
      <c r="F86" s="87">
        <v>4.2500000000000003E-2</v>
      </c>
      <c r="G86" s="30">
        <f t="shared" si="35"/>
        <v>7828.1</v>
      </c>
      <c r="H86" s="78"/>
      <c r="I86" s="78"/>
      <c r="J86" s="57"/>
      <c r="K86" s="57"/>
      <c r="L86" s="57"/>
      <c r="M86" s="57">
        <f t="shared" ref="M86:M94" si="36">ROUND(W85*F86/12,2)</f>
        <v>7651.02</v>
      </c>
      <c r="N86" s="57">
        <f t="shared" ref="N86:N97" si="37">G86-M86</f>
        <v>177.07999999999993</v>
      </c>
      <c r="O86" s="57"/>
      <c r="P86" s="50">
        <f t="shared" si="29"/>
        <v>107828.1</v>
      </c>
      <c r="Q86" s="30">
        <f t="shared" si="32"/>
        <v>2268116.1500000008</v>
      </c>
      <c r="R86" s="50"/>
      <c r="S86" s="58"/>
      <c r="T86" s="50"/>
      <c r="U86" s="58"/>
      <c r="V86" s="58"/>
      <c r="W86" s="58">
        <f>W85+M86</f>
        <v>2167939.0700000008</v>
      </c>
      <c r="X86" s="58">
        <f t="shared" ref="X86:X97" si="38">Q86-W86</f>
        <v>100177.08000000007</v>
      </c>
    </row>
    <row r="87" spans="1:24" x14ac:dyDescent="0.25">
      <c r="A87" s="8">
        <f t="shared" si="27"/>
        <v>80</v>
      </c>
      <c r="B87" s="61">
        <v>43132</v>
      </c>
      <c r="C87" s="59" t="s">
        <v>38</v>
      </c>
      <c r="D87" s="17">
        <v>822689</v>
      </c>
      <c r="F87" s="87">
        <v>4.2500000000000003E-2</v>
      </c>
      <c r="G87" s="30">
        <f t="shared" si="35"/>
        <v>9489.76</v>
      </c>
      <c r="H87" s="78"/>
      <c r="I87" s="78"/>
      <c r="J87" s="57"/>
      <c r="K87" s="57"/>
      <c r="L87" s="57"/>
      <c r="M87" s="57">
        <f t="shared" si="36"/>
        <v>7678.12</v>
      </c>
      <c r="N87" s="57">
        <f t="shared" si="37"/>
        <v>1811.6400000000003</v>
      </c>
      <c r="O87" s="57"/>
      <c r="P87" s="50">
        <f t="shared" si="29"/>
        <v>832178.76</v>
      </c>
      <c r="Q87" s="30">
        <f t="shared" si="32"/>
        <v>3100294.9100000011</v>
      </c>
      <c r="R87" s="50"/>
      <c r="S87" s="58"/>
      <c r="T87" s="50"/>
      <c r="U87" s="58"/>
      <c r="V87" s="58"/>
      <c r="W87" s="58">
        <f t="shared" ref="W87:W94" si="39">W86+M87</f>
        <v>2175617.1900000009</v>
      </c>
      <c r="X87" s="58">
        <f t="shared" si="38"/>
        <v>924677.7200000002</v>
      </c>
    </row>
    <row r="88" spans="1:24" x14ac:dyDescent="0.25">
      <c r="A88" s="8">
        <f t="shared" si="27"/>
        <v>81</v>
      </c>
      <c r="B88" s="61">
        <v>43160</v>
      </c>
      <c r="C88" s="108"/>
      <c r="D88" s="17">
        <v>0</v>
      </c>
      <c r="F88" s="87">
        <v>4.2500000000000003E-2</v>
      </c>
      <c r="G88" s="30">
        <f t="shared" si="35"/>
        <v>10980.21</v>
      </c>
      <c r="H88" s="78"/>
      <c r="I88" s="78"/>
      <c r="J88" s="57"/>
      <c r="K88" s="57"/>
      <c r="L88" s="57"/>
      <c r="M88" s="57">
        <f t="shared" si="36"/>
        <v>7705.31</v>
      </c>
      <c r="N88" s="57">
        <f t="shared" si="37"/>
        <v>3274.8999999999987</v>
      </c>
      <c r="O88" s="57"/>
      <c r="P88" s="50">
        <f t="shared" si="29"/>
        <v>10980.21</v>
      </c>
      <c r="Q88" s="30">
        <f t="shared" si="32"/>
        <v>3111275.120000001</v>
      </c>
      <c r="R88" s="50"/>
      <c r="S88" s="58"/>
      <c r="T88" s="50"/>
      <c r="U88" s="58"/>
      <c r="V88" s="58"/>
      <c r="W88" s="58">
        <f t="shared" si="39"/>
        <v>2183322.5000000009</v>
      </c>
      <c r="X88" s="58">
        <f t="shared" si="38"/>
        <v>927952.62000000011</v>
      </c>
    </row>
    <row r="89" spans="1:24" x14ac:dyDescent="0.25">
      <c r="A89" s="8">
        <f t="shared" si="27"/>
        <v>82</v>
      </c>
      <c r="B89" s="61">
        <v>43191</v>
      </c>
      <c r="C89" s="108"/>
      <c r="D89" s="17">
        <v>0</v>
      </c>
      <c r="F89" s="87">
        <v>4.4699999999999997E-2</v>
      </c>
      <c r="G89" s="30">
        <f t="shared" si="35"/>
        <v>11589.5</v>
      </c>
      <c r="H89" s="78"/>
      <c r="I89" s="78"/>
      <c r="J89" s="57"/>
      <c r="K89" s="57"/>
      <c r="L89" s="57"/>
      <c r="M89" s="57">
        <f t="shared" si="36"/>
        <v>8132.88</v>
      </c>
      <c r="N89" s="57">
        <f t="shared" si="37"/>
        <v>3456.62</v>
      </c>
      <c r="O89" s="57"/>
      <c r="P89" s="50">
        <f t="shared" si="29"/>
        <v>11589.5</v>
      </c>
      <c r="Q89" s="30">
        <f t="shared" si="32"/>
        <v>3122864.620000001</v>
      </c>
      <c r="R89" s="50"/>
      <c r="S89" s="58"/>
      <c r="T89" s="50"/>
      <c r="U89" s="58"/>
      <c r="V89" s="58"/>
      <c r="W89" s="58">
        <f t="shared" si="39"/>
        <v>2191455.3800000008</v>
      </c>
      <c r="X89" s="58">
        <f t="shared" si="38"/>
        <v>931409.24000000022</v>
      </c>
    </row>
    <row r="90" spans="1:24" x14ac:dyDescent="0.25">
      <c r="A90" s="8">
        <f t="shared" si="27"/>
        <v>83</v>
      </c>
      <c r="B90" s="61">
        <v>43221</v>
      </c>
      <c r="C90" s="108"/>
      <c r="D90" s="17">
        <v>75861.5</v>
      </c>
      <c r="F90" s="87">
        <v>4.4699999999999997E-2</v>
      </c>
      <c r="G90" s="30">
        <f t="shared" si="35"/>
        <v>11773.96</v>
      </c>
      <c r="H90" s="78"/>
      <c r="I90" s="78"/>
      <c r="J90" s="57"/>
      <c r="K90" s="57"/>
      <c r="L90" s="57"/>
      <c r="M90" s="57">
        <f t="shared" si="36"/>
        <v>8163.17</v>
      </c>
      <c r="N90" s="57">
        <f t="shared" si="37"/>
        <v>3610.7899999999991</v>
      </c>
      <c r="O90" s="57"/>
      <c r="P90" s="50">
        <f t="shared" si="29"/>
        <v>87635.459999999992</v>
      </c>
      <c r="Q90" s="30">
        <f t="shared" si="32"/>
        <v>3210500.080000001</v>
      </c>
      <c r="R90" s="50"/>
      <c r="S90" s="58"/>
      <c r="T90" s="50"/>
      <c r="U90" s="58"/>
      <c r="V90" s="58"/>
      <c r="W90" s="58">
        <f t="shared" si="39"/>
        <v>2199618.5500000007</v>
      </c>
      <c r="X90" s="58">
        <f t="shared" si="38"/>
        <v>1010881.5300000003</v>
      </c>
    </row>
    <row r="91" spans="1:24" x14ac:dyDescent="0.25">
      <c r="A91" s="8">
        <f t="shared" si="27"/>
        <v>84</v>
      </c>
      <c r="B91" s="61">
        <v>43252</v>
      </c>
      <c r="C91" s="108"/>
      <c r="D91" s="17">
        <v>37930.75</v>
      </c>
      <c r="F91" s="87">
        <v>4.4699999999999997E-2</v>
      </c>
      <c r="G91" s="30">
        <f t="shared" si="35"/>
        <v>12029.76</v>
      </c>
      <c r="H91" s="78"/>
      <c r="I91" s="78"/>
      <c r="J91" s="57"/>
      <c r="K91" s="57"/>
      <c r="L91" s="57"/>
      <c r="M91" s="57">
        <f t="shared" si="36"/>
        <v>8193.58</v>
      </c>
      <c r="N91" s="57">
        <f t="shared" si="37"/>
        <v>3836.1800000000003</v>
      </c>
      <c r="O91" s="57"/>
      <c r="P91" s="50">
        <f t="shared" si="29"/>
        <v>49960.51</v>
      </c>
      <c r="Q91" s="30">
        <f t="shared" si="32"/>
        <v>3260460.5900000008</v>
      </c>
      <c r="R91" s="50"/>
      <c r="S91" s="58"/>
      <c r="T91" s="50"/>
      <c r="U91" s="58"/>
      <c r="V91" s="58"/>
      <c r="W91" s="58">
        <f t="shared" si="39"/>
        <v>2207812.1300000008</v>
      </c>
      <c r="X91" s="58">
        <f t="shared" si="38"/>
        <v>1052648.46</v>
      </c>
    </row>
    <row r="92" spans="1:24" x14ac:dyDescent="0.25">
      <c r="A92" s="8">
        <f t="shared" si="27"/>
        <v>85</v>
      </c>
      <c r="B92" s="61">
        <v>43282</v>
      </c>
      <c r="C92" s="59" t="s">
        <v>38</v>
      </c>
      <c r="D92" s="17">
        <v>683433</v>
      </c>
      <c r="F92" s="87">
        <v>4.6899999999999997E-2</v>
      </c>
      <c r="G92" s="30">
        <f t="shared" si="35"/>
        <v>14078.51</v>
      </c>
      <c r="H92" s="78"/>
      <c r="I92" s="78"/>
      <c r="J92" s="57"/>
      <c r="K92" s="57"/>
      <c r="L92" s="57"/>
      <c r="M92" s="57">
        <f t="shared" si="36"/>
        <v>8628.8700000000008</v>
      </c>
      <c r="N92" s="57">
        <f t="shared" si="37"/>
        <v>5449.6399999999994</v>
      </c>
      <c r="O92" s="57"/>
      <c r="P92" s="50">
        <f t="shared" si="29"/>
        <v>697511.51</v>
      </c>
      <c r="Q92" s="30">
        <f t="shared" si="32"/>
        <v>3957972.1000000006</v>
      </c>
      <c r="R92" s="50"/>
      <c r="S92" s="58"/>
      <c r="T92" s="50"/>
      <c r="U92" s="58"/>
      <c r="V92" s="58"/>
      <c r="W92" s="58">
        <f t="shared" si="39"/>
        <v>2216441.0000000009</v>
      </c>
      <c r="X92" s="58">
        <f t="shared" si="38"/>
        <v>1741531.0999999996</v>
      </c>
    </row>
    <row r="93" spans="1:24" x14ac:dyDescent="0.25">
      <c r="A93" s="8">
        <f t="shared" si="27"/>
        <v>86</v>
      </c>
      <c r="B93" s="61">
        <v>43313</v>
      </c>
      <c r="C93" s="108"/>
      <c r="D93" s="17">
        <v>0</v>
      </c>
      <c r="F93" s="87">
        <v>4.6899999999999997E-2</v>
      </c>
      <c r="G93" s="30">
        <f t="shared" si="35"/>
        <v>15469.07</v>
      </c>
      <c r="H93" s="78"/>
      <c r="I93" s="78"/>
      <c r="J93" s="57"/>
      <c r="K93" s="57"/>
      <c r="L93" s="57"/>
      <c r="M93" s="57">
        <f t="shared" si="36"/>
        <v>8662.59</v>
      </c>
      <c r="N93" s="57">
        <f t="shared" si="37"/>
        <v>6806.48</v>
      </c>
      <c r="O93" s="57"/>
      <c r="P93" s="50">
        <f t="shared" si="29"/>
        <v>15469.07</v>
      </c>
      <c r="Q93" s="30">
        <f t="shared" si="32"/>
        <v>3973441.1700000004</v>
      </c>
      <c r="R93" s="50"/>
      <c r="S93" s="58"/>
      <c r="T93" s="50"/>
      <c r="U93" s="58"/>
      <c r="V93" s="58"/>
      <c r="W93" s="58">
        <f t="shared" si="39"/>
        <v>2225103.5900000008</v>
      </c>
      <c r="X93" s="58">
        <f t="shared" si="38"/>
        <v>1748337.5799999996</v>
      </c>
    </row>
    <row r="94" spans="1:24" x14ac:dyDescent="0.25">
      <c r="A94" s="8">
        <f t="shared" si="27"/>
        <v>87</v>
      </c>
      <c r="B94" s="61">
        <v>43344</v>
      </c>
      <c r="C94" s="108"/>
      <c r="D94" s="17">
        <v>37930.75</v>
      </c>
      <c r="F94" s="87">
        <v>4.6899999999999997E-2</v>
      </c>
      <c r="G94" s="30">
        <f t="shared" si="35"/>
        <v>15603.66</v>
      </c>
      <c r="H94" s="78"/>
      <c r="I94" s="78"/>
      <c r="J94" s="57"/>
      <c r="K94" s="57"/>
      <c r="L94" s="57"/>
      <c r="M94" s="57">
        <f t="shared" si="36"/>
        <v>8696.4500000000007</v>
      </c>
      <c r="N94" s="57">
        <f t="shared" si="37"/>
        <v>6907.2099999999991</v>
      </c>
      <c r="O94" s="57"/>
      <c r="P94" s="50">
        <f t="shared" si="29"/>
        <v>53534.41</v>
      </c>
      <c r="Q94" s="30">
        <f t="shared" si="32"/>
        <v>4026975.5800000005</v>
      </c>
      <c r="R94" s="50"/>
      <c r="S94" s="58"/>
      <c r="T94" s="50"/>
      <c r="U94" s="58"/>
      <c r="V94" s="58"/>
      <c r="W94" s="58">
        <f t="shared" si="39"/>
        <v>2233800.040000001</v>
      </c>
      <c r="X94" s="58">
        <f t="shared" si="38"/>
        <v>1793175.5399999996</v>
      </c>
    </row>
    <row r="95" spans="1:24" x14ac:dyDescent="0.25">
      <c r="A95" s="8">
        <f t="shared" si="27"/>
        <v>88</v>
      </c>
      <c r="B95" s="61">
        <v>43374</v>
      </c>
      <c r="C95" s="59" t="s">
        <v>38</v>
      </c>
      <c r="D95" s="17">
        <v>822690</v>
      </c>
      <c r="F95" s="68">
        <v>4.9599999999999998E-2</v>
      </c>
      <c r="G95" s="30">
        <f t="shared" si="35"/>
        <v>18345.060000000001</v>
      </c>
      <c r="H95" s="78"/>
      <c r="I95" s="78"/>
      <c r="J95" s="57"/>
      <c r="K95" s="57"/>
      <c r="L95" s="57"/>
      <c r="M95" s="57">
        <f>ROUND(W94*F95/12,2)</f>
        <v>9233.0400000000009</v>
      </c>
      <c r="N95" s="57">
        <f t="shared" si="37"/>
        <v>9112.02</v>
      </c>
      <c r="O95" s="57"/>
      <c r="P95" s="50">
        <f t="shared" si="29"/>
        <v>841035.06</v>
      </c>
      <c r="Q95" s="30">
        <f t="shared" si="32"/>
        <v>4868010.6400000006</v>
      </c>
      <c r="R95" s="50"/>
      <c r="S95" s="58"/>
      <c r="T95" s="50"/>
      <c r="U95" s="58"/>
      <c r="V95" s="58"/>
      <c r="W95" s="58">
        <f>W94+M95</f>
        <v>2243033.080000001</v>
      </c>
      <c r="X95" s="58">
        <f t="shared" si="38"/>
        <v>2624977.5599999996</v>
      </c>
    </row>
    <row r="96" spans="1:24" x14ac:dyDescent="0.25">
      <c r="A96" s="8">
        <f t="shared" si="27"/>
        <v>89</v>
      </c>
      <c r="B96" s="61">
        <v>43405</v>
      </c>
      <c r="C96" s="34">
        <v>2</v>
      </c>
      <c r="D96" s="17">
        <v>0</v>
      </c>
      <c r="E96" s="39">
        <f>-W95</f>
        <v>-2243033.080000001</v>
      </c>
      <c r="F96" s="68">
        <v>4.9599999999999998E-2</v>
      </c>
      <c r="G96" s="30">
        <f t="shared" si="35"/>
        <v>10849.91</v>
      </c>
      <c r="H96" s="78"/>
      <c r="I96" s="78"/>
      <c r="J96" s="57"/>
      <c r="K96" s="57"/>
      <c r="L96" s="57"/>
      <c r="M96" s="57"/>
      <c r="N96" s="57">
        <f t="shared" si="37"/>
        <v>10849.91</v>
      </c>
      <c r="O96" s="57"/>
      <c r="P96" s="50">
        <f t="shared" si="29"/>
        <v>-2232183.1700000009</v>
      </c>
      <c r="Q96" s="30">
        <f t="shared" si="32"/>
        <v>2635827.4699999997</v>
      </c>
      <c r="R96" s="50"/>
      <c r="S96" s="58"/>
      <c r="T96" s="50"/>
      <c r="U96" s="58"/>
      <c r="V96" s="58"/>
      <c r="W96" s="58"/>
      <c r="X96" s="58">
        <f t="shared" si="38"/>
        <v>2635827.4699999997</v>
      </c>
    </row>
    <row r="97" spans="1:25" ht="13.8" thickBot="1" x14ac:dyDescent="0.3">
      <c r="A97" s="8">
        <f t="shared" si="27"/>
        <v>90</v>
      </c>
      <c r="B97" s="64">
        <v>43435</v>
      </c>
      <c r="C97" s="94"/>
      <c r="D97" s="21">
        <v>46025.25</v>
      </c>
      <c r="E97" s="20"/>
      <c r="F97" s="69">
        <v>4.9599999999999998E-2</v>
      </c>
      <c r="G97" s="31">
        <f t="shared" si="35"/>
        <v>10989.87</v>
      </c>
      <c r="H97" s="79"/>
      <c r="I97" s="79"/>
      <c r="J97" s="67"/>
      <c r="K97" s="67"/>
      <c r="L97" s="67"/>
      <c r="M97" s="67"/>
      <c r="N97" s="67">
        <f t="shared" si="37"/>
        <v>10989.87</v>
      </c>
      <c r="O97" s="67"/>
      <c r="P97" s="54">
        <f t="shared" si="29"/>
        <v>57015.12</v>
      </c>
      <c r="Q97" s="31">
        <f t="shared" si="32"/>
        <v>2692842.59</v>
      </c>
      <c r="R97" s="54"/>
      <c r="S97" s="54"/>
      <c r="T97" s="54"/>
      <c r="U97" s="54"/>
      <c r="V97" s="54"/>
      <c r="W97" s="54"/>
      <c r="X97" s="54">
        <f t="shared" si="38"/>
        <v>2692842.59</v>
      </c>
      <c r="Y97" s="20"/>
    </row>
    <row r="98" spans="1:25" x14ac:dyDescent="0.25">
      <c r="A98" s="8">
        <f t="shared" si="27"/>
        <v>91</v>
      </c>
      <c r="B98" s="61">
        <v>43466</v>
      </c>
      <c r="C98" s="60"/>
      <c r="D98" s="17"/>
      <c r="F98" s="68">
        <v>5.1799999999999999E-2</v>
      </c>
      <c r="G98" s="30">
        <f t="shared" si="35"/>
        <v>11624.1</v>
      </c>
      <c r="H98" s="78"/>
      <c r="I98" s="78"/>
      <c r="J98" s="57"/>
      <c r="K98" s="57"/>
      <c r="L98" s="57"/>
      <c r="M98" s="57"/>
      <c r="N98" s="57">
        <f t="shared" ref="N98:N107" si="40">ROUND(X97*F98/12,2)</f>
        <v>11624.1</v>
      </c>
      <c r="O98" s="57">
        <f t="shared" ref="O98:O107" si="41">G98-N98</f>
        <v>0</v>
      </c>
      <c r="P98" s="50">
        <f t="shared" si="29"/>
        <v>11624.1</v>
      </c>
      <c r="Q98" s="30">
        <f t="shared" ref="Q98:Q106" si="42">+Q97+P98</f>
        <v>2704466.69</v>
      </c>
      <c r="R98" s="50"/>
      <c r="S98" s="58"/>
      <c r="T98" s="50"/>
      <c r="U98" s="58"/>
      <c r="V98" s="58"/>
      <c r="W98" s="58"/>
      <c r="X98" s="58">
        <f t="shared" ref="X98:X107" si="43">X97+N98</f>
        <v>2704466.69</v>
      </c>
      <c r="Y98" s="58">
        <f t="shared" ref="Y98:Y107" si="44">Q98-X98</f>
        <v>0</v>
      </c>
    </row>
    <row r="99" spans="1:25" x14ac:dyDescent="0.25">
      <c r="A99" s="8">
        <f t="shared" si="27"/>
        <v>92</v>
      </c>
      <c r="B99" s="61">
        <v>43497</v>
      </c>
      <c r="C99" s="60"/>
      <c r="D99" s="17"/>
      <c r="F99" s="68">
        <v>5.1799999999999999E-2</v>
      </c>
      <c r="G99" s="30">
        <f t="shared" si="35"/>
        <v>11674.28</v>
      </c>
      <c r="H99" s="78"/>
      <c r="I99" s="78"/>
      <c r="J99" s="57"/>
      <c r="K99" s="57"/>
      <c r="L99" s="57"/>
      <c r="M99" s="57"/>
      <c r="N99" s="57">
        <f t="shared" si="40"/>
        <v>11674.28</v>
      </c>
      <c r="O99" s="57">
        <f t="shared" si="41"/>
        <v>0</v>
      </c>
      <c r="P99" s="50">
        <f t="shared" si="29"/>
        <v>11674.28</v>
      </c>
      <c r="Q99" s="30">
        <f t="shared" si="42"/>
        <v>2716140.9699999997</v>
      </c>
      <c r="R99" s="50"/>
      <c r="S99" s="58"/>
      <c r="T99" s="50"/>
      <c r="U99" s="58"/>
      <c r="V99" s="58"/>
      <c r="W99" s="58"/>
      <c r="X99" s="58">
        <f t="shared" si="43"/>
        <v>2716140.9699999997</v>
      </c>
      <c r="Y99" s="58">
        <f t="shared" si="44"/>
        <v>0</v>
      </c>
    </row>
    <row r="100" spans="1:25" x14ac:dyDescent="0.25">
      <c r="A100" s="8">
        <f t="shared" si="27"/>
        <v>93</v>
      </c>
      <c r="B100" s="61">
        <v>43525</v>
      </c>
      <c r="C100" s="59" t="s">
        <v>72</v>
      </c>
      <c r="D100" s="17">
        <f>800000+46025.25</f>
        <v>846025.25</v>
      </c>
      <c r="F100" s="68">
        <v>5.1799999999999999E-2</v>
      </c>
      <c r="G100" s="30">
        <f t="shared" si="35"/>
        <v>13550.68</v>
      </c>
      <c r="H100" s="78"/>
      <c r="I100" s="78"/>
      <c r="J100" s="57"/>
      <c r="K100" s="57"/>
      <c r="L100" s="57"/>
      <c r="M100" s="57"/>
      <c r="N100" s="57">
        <f t="shared" si="40"/>
        <v>11724.68</v>
      </c>
      <c r="O100" s="57">
        <f t="shared" si="41"/>
        <v>1826</v>
      </c>
      <c r="P100" s="50">
        <f t="shared" si="29"/>
        <v>859575.93</v>
      </c>
      <c r="Q100" s="30">
        <f t="shared" si="42"/>
        <v>3575716.9</v>
      </c>
      <c r="R100" s="50"/>
      <c r="S100" s="58"/>
      <c r="T100" s="50"/>
      <c r="U100" s="58"/>
      <c r="V100" s="58"/>
      <c r="W100" s="58"/>
      <c r="X100" s="58">
        <f t="shared" si="43"/>
        <v>2727865.65</v>
      </c>
      <c r="Y100" s="58">
        <f t="shared" si="44"/>
        <v>847851.25</v>
      </c>
    </row>
    <row r="101" spans="1:25" x14ac:dyDescent="0.25">
      <c r="A101" s="8">
        <f t="shared" si="27"/>
        <v>94</v>
      </c>
      <c r="B101" s="61">
        <v>43556</v>
      </c>
      <c r="C101" s="60"/>
      <c r="D101" s="17"/>
      <c r="F101" s="68">
        <v>5.45E-2</v>
      </c>
      <c r="G101" s="30">
        <f t="shared" si="35"/>
        <v>16239.71</v>
      </c>
      <c r="H101" s="78"/>
      <c r="I101" s="78"/>
      <c r="J101" s="57"/>
      <c r="K101" s="57"/>
      <c r="L101" s="57"/>
      <c r="M101" s="57"/>
      <c r="N101" s="57">
        <f t="shared" si="40"/>
        <v>12389.06</v>
      </c>
      <c r="O101" s="57">
        <f t="shared" si="41"/>
        <v>3850.6499999999996</v>
      </c>
      <c r="P101" s="50">
        <f t="shared" si="29"/>
        <v>16239.71</v>
      </c>
      <c r="Q101" s="30">
        <f t="shared" si="42"/>
        <v>3591956.61</v>
      </c>
      <c r="R101" s="50"/>
      <c r="S101" s="58"/>
      <c r="T101" s="50"/>
      <c r="U101" s="58"/>
      <c r="V101" s="58"/>
      <c r="W101" s="58"/>
      <c r="X101" s="58">
        <f t="shared" si="43"/>
        <v>2740254.71</v>
      </c>
      <c r="Y101" s="58">
        <f t="shared" si="44"/>
        <v>851701.89999999991</v>
      </c>
    </row>
    <row r="102" spans="1:25" x14ac:dyDescent="0.25">
      <c r="A102" s="8">
        <f t="shared" si="27"/>
        <v>95</v>
      </c>
      <c r="B102" s="61">
        <v>43586</v>
      </c>
      <c r="C102" s="60"/>
      <c r="D102" s="17"/>
      <c r="F102" s="68">
        <v>5.45E-2</v>
      </c>
      <c r="G102" s="30">
        <f t="shared" si="35"/>
        <v>16313.47</v>
      </c>
      <c r="H102" s="78"/>
      <c r="I102" s="78"/>
      <c r="J102" s="57"/>
      <c r="K102" s="57"/>
      <c r="L102" s="57"/>
      <c r="M102" s="57"/>
      <c r="N102" s="57">
        <f t="shared" si="40"/>
        <v>12445.32</v>
      </c>
      <c r="O102" s="57">
        <f t="shared" si="41"/>
        <v>3868.1499999999996</v>
      </c>
      <c r="P102" s="50">
        <f t="shared" si="29"/>
        <v>16313.47</v>
      </c>
      <c r="Q102" s="30">
        <f t="shared" si="42"/>
        <v>3608270.08</v>
      </c>
      <c r="R102" s="50"/>
      <c r="S102" s="58"/>
      <c r="T102" s="50"/>
      <c r="U102" s="58"/>
      <c r="V102" s="58"/>
      <c r="W102" s="58"/>
      <c r="X102" s="58">
        <f t="shared" si="43"/>
        <v>2752700.03</v>
      </c>
      <c r="Y102" s="58">
        <f t="shared" si="44"/>
        <v>855570.05000000028</v>
      </c>
    </row>
    <row r="103" spans="1:25" x14ac:dyDescent="0.25">
      <c r="A103" s="8">
        <f t="shared" si="27"/>
        <v>96</v>
      </c>
      <c r="B103" s="61">
        <v>43617</v>
      </c>
      <c r="C103" s="59" t="s">
        <v>73</v>
      </c>
      <c r="D103" s="17">
        <v>46025.25</v>
      </c>
      <c r="F103" s="68">
        <v>5.45E-2</v>
      </c>
      <c r="G103" s="30">
        <f t="shared" si="35"/>
        <v>16492.080000000002</v>
      </c>
      <c r="H103" s="78"/>
      <c r="I103" s="78"/>
      <c r="J103" s="57"/>
      <c r="K103" s="57"/>
      <c r="L103" s="57"/>
      <c r="M103" s="57"/>
      <c r="N103" s="57">
        <f t="shared" si="40"/>
        <v>12501.85</v>
      </c>
      <c r="O103" s="57">
        <f t="shared" si="41"/>
        <v>3990.2300000000014</v>
      </c>
      <c r="P103" s="50">
        <f t="shared" si="29"/>
        <v>62517.33</v>
      </c>
      <c r="Q103" s="30">
        <f t="shared" si="42"/>
        <v>3670787.41</v>
      </c>
      <c r="R103" s="50"/>
      <c r="S103" s="58"/>
      <c r="T103" s="50"/>
      <c r="U103" s="58"/>
      <c r="V103" s="58"/>
      <c r="W103" s="58"/>
      <c r="X103" s="58">
        <f t="shared" si="43"/>
        <v>2765201.88</v>
      </c>
      <c r="Y103" s="58">
        <f t="shared" si="44"/>
        <v>905585.53000000026</v>
      </c>
    </row>
    <row r="104" spans="1:25" x14ac:dyDescent="0.25">
      <c r="A104" s="8">
        <f t="shared" si="27"/>
        <v>97</v>
      </c>
      <c r="B104" s="61">
        <v>43647</v>
      </c>
      <c r="C104" s="59" t="s">
        <v>68</v>
      </c>
      <c r="D104" s="17">
        <v>500000</v>
      </c>
      <c r="F104" s="296">
        <v>5.5E-2</v>
      </c>
      <c r="G104" s="30">
        <f t="shared" si="35"/>
        <v>17970.28</v>
      </c>
      <c r="H104" s="78"/>
      <c r="I104" s="78"/>
      <c r="J104" s="57"/>
      <c r="K104" s="57"/>
      <c r="L104" s="57"/>
      <c r="M104" s="57"/>
      <c r="N104" s="57">
        <f t="shared" si="40"/>
        <v>12673.84</v>
      </c>
      <c r="O104" s="57">
        <f t="shared" si="41"/>
        <v>5296.4399999999987</v>
      </c>
      <c r="P104" s="50">
        <f t="shared" si="29"/>
        <v>517970.28</v>
      </c>
      <c r="Q104" s="30">
        <f t="shared" si="42"/>
        <v>4188757.6900000004</v>
      </c>
      <c r="R104" s="50"/>
      <c r="S104" s="58"/>
      <c r="T104" s="50"/>
      <c r="U104" s="58"/>
      <c r="V104" s="58"/>
      <c r="W104" s="58"/>
      <c r="X104" s="58">
        <f t="shared" si="43"/>
        <v>2777875.7199999997</v>
      </c>
      <c r="Y104" s="58">
        <f t="shared" si="44"/>
        <v>1410881.9700000007</v>
      </c>
    </row>
    <row r="105" spans="1:25" x14ac:dyDescent="0.25">
      <c r="A105" s="8">
        <f t="shared" si="27"/>
        <v>98</v>
      </c>
      <c r="B105" s="61">
        <v>43678</v>
      </c>
      <c r="C105" s="60"/>
      <c r="D105" s="17"/>
      <c r="F105" s="296">
        <v>5.5E-2</v>
      </c>
      <c r="G105" s="30">
        <f t="shared" si="35"/>
        <v>19198.47</v>
      </c>
      <c r="H105" s="78"/>
      <c r="I105" s="78"/>
      <c r="J105" s="57"/>
      <c r="K105" s="57"/>
      <c r="L105" s="57"/>
      <c r="M105" s="57"/>
      <c r="N105" s="57">
        <f t="shared" si="40"/>
        <v>12731.93</v>
      </c>
      <c r="O105" s="57">
        <f t="shared" si="41"/>
        <v>6466.5400000000009</v>
      </c>
      <c r="P105" s="50">
        <f t="shared" si="29"/>
        <v>19198.47</v>
      </c>
      <c r="Q105" s="30">
        <f t="shared" si="42"/>
        <v>4207956.16</v>
      </c>
      <c r="R105" s="50"/>
      <c r="S105" s="58"/>
      <c r="T105" s="50"/>
      <c r="U105" s="58"/>
      <c r="V105" s="58"/>
      <c r="W105" s="58"/>
      <c r="X105" s="58">
        <f t="shared" si="43"/>
        <v>2790607.65</v>
      </c>
      <c r="Y105" s="58">
        <f t="shared" si="44"/>
        <v>1417348.5100000002</v>
      </c>
    </row>
    <row r="106" spans="1:25" x14ac:dyDescent="0.25">
      <c r="A106" s="8">
        <f t="shared" si="27"/>
        <v>99</v>
      </c>
      <c r="B106" s="61">
        <v>43709</v>
      </c>
      <c r="C106" s="60"/>
      <c r="D106" s="17">
        <v>46025.25</v>
      </c>
      <c r="F106" s="296">
        <v>5.5E-2</v>
      </c>
      <c r="G106" s="30">
        <f t="shared" si="35"/>
        <v>19391.939999999999</v>
      </c>
      <c r="H106" s="78"/>
      <c r="I106" s="78"/>
      <c r="J106" s="57"/>
      <c r="K106" s="57"/>
      <c r="L106" s="57"/>
      <c r="M106" s="57"/>
      <c r="N106" s="57">
        <f t="shared" si="40"/>
        <v>12790.29</v>
      </c>
      <c r="O106" s="57">
        <f t="shared" si="41"/>
        <v>6601.6499999999978</v>
      </c>
      <c r="P106" s="50">
        <f t="shared" si="29"/>
        <v>65417.19</v>
      </c>
      <c r="Q106" s="30">
        <f t="shared" si="42"/>
        <v>4273373.3500000006</v>
      </c>
      <c r="R106" s="50"/>
      <c r="S106" s="58"/>
      <c r="T106" s="50"/>
      <c r="U106" s="58"/>
      <c r="V106" s="58"/>
      <c r="W106" s="58"/>
      <c r="X106" s="58">
        <f t="shared" si="43"/>
        <v>2803397.94</v>
      </c>
      <c r="Y106" s="58">
        <f t="shared" si="44"/>
        <v>1469975.4100000006</v>
      </c>
    </row>
    <row r="107" spans="1:25" x14ac:dyDescent="0.25">
      <c r="A107" s="8">
        <f t="shared" si="27"/>
        <v>100</v>
      </c>
      <c r="B107" s="61">
        <v>43739</v>
      </c>
      <c r="C107" s="59" t="s">
        <v>72</v>
      </c>
      <c r="D107" s="17">
        <v>930921</v>
      </c>
      <c r="F107" s="296">
        <v>5.4199999999999998E-2</v>
      </c>
      <c r="G107" s="30">
        <f t="shared" si="35"/>
        <v>21403.73</v>
      </c>
      <c r="H107" s="78"/>
      <c r="I107" s="78"/>
      <c r="J107" s="57"/>
      <c r="K107" s="57"/>
      <c r="L107" s="57"/>
      <c r="M107" s="57"/>
      <c r="N107" s="57">
        <f t="shared" si="40"/>
        <v>12662.01</v>
      </c>
      <c r="O107" s="57">
        <f t="shared" si="41"/>
        <v>8741.7199999999993</v>
      </c>
      <c r="P107" s="50">
        <f t="shared" si="29"/>
        <v>952324.73</v>
      </c>
      <c r="Q107" s="299">
        <f>+Q106+P107</f>
        <v>5225698.08</v>
      </c>
      <c r="R107" s="50"/>
      <c r="S107" s="58"/>
      <c r="T107" s="50"/>
      <c r="U107" s="58"/>
      <c r="V107" s="58"/>
      <c r="W107" s="58"/>
      <c r="X107" s="58">
        <f t="shared" si="43"/>
        <v>2816059.9499999997</v>
      </c>
      <c r="Y107" s="58">
        <f t="shared" si="44"/>
        <v>2409638.1300000004</v>
      </c>
    </row>
    <row r="108" spans="1:25" x14ac:dyDescent="0.25">
      <c r="A108" s="8"/>
      <c r="D108" s="98"/>
      <c r="F108" s="25"/>
      <c r="H108" s="75"/>
      <c r="I108" s="75"/>
      <c r="J108" s="75"/>
      <c r="K108" s="75"/>
      <c r="L108" s="76"/>
      <c r="M108" s="76"/>
      <c r="N108" s="76"/>
      <c r="O108" s="76"/>
      <c r="Q108" s="39"/>
    </row>
    <row r="109" spans="1:25" x14ac:dyDescent="0.25">
      <c r="A109" s="8"/>
      <c r="B109" s="70" t="s">
        <v>40</v>
      </c>
      <c r="F109" s="25"/>
      <c r="H109" s="75"/>
      <c r="I109" s="75"/>
      <c r="J109" s="75"/>
      <c r="K109" s="75"/>
      <c r="L109" s="76"/>
      <c r="M109" s="76"/>
      <c r="N109" s="76"/>
      <c r="O109" s="76"/>
      <c r="Q109" s="39"/>
    </row>
    <row r="110" spans="1:25" x14ac:dyDescent="0.25">
      <c r="A110" s="8"/>
      <c r="B110" s="71" t="s">
        <v>67</v>
      </c>
      <c r="F110" s="25"/>
      <c r="H110" s="75"/>
      <c r="I110" s="75"/>
      <c r="J110" s="75"/>
      <c r="K110" s="75"/>
      <c r="L110" s="76"/>
      <c r="M110" s="76"/>
      <c r="N110" s="76"/>
      <c r="O110" s="76"/>
    </row>
    <row r="111" spans="1:25" x14ac:dyDescent="0.25">
      <c r="A111" s="8"/>
      <c r="B111" s="72" t="s">
        <v>66</v>
      </c>
      <c r="F111" s="25"/>
      <c r="H111" s="75"/>
      <c r="I111" s="75"/>
      <c r="J111" s="75"/>
      <c r="K111" s="75"/>
      <c r="L111" s="76"/>
      <c r="M111" s="76"/>
      <c r="N111" s="76"/>
      <c r="O111" s="76"/>
    </row>
    <row r="112" spans="1:25" x14ac:dyDescent="0.25">
      <c r="A112" s="8"/>
      <c r="B112" s="109" t="s">
        <v>70</v>
      </c>
      <c r="F112" s="25"/>
      <c r="H112" s="75"/>
      <c r="I112" s="75"/>
      <c r="J112" s="75"/>
      <c r="K112" s="75"/>
      <c r="L112" s="76"/>
      <c r="M112" s="76"/>
      <c r="N112" s="76"/>
      <c r="O112" s="76"/>
    </row>
    <row r="113" spans="1:2" x14ac:dyDescent="0.25">
      <c r="A113" s="8"/>
      <c r="B113" s="72" t="s">
        <v>69</v>
      </c>
    </row>
    <row r="114" spans="1:2" x14ac:dyDescent="0.25">
      <c r="A114" s="8"/>
      <c r="B114" s="72" t="s">
        <v>71</v>
      </c>
    </row>
  </sheetData>
  <printOptions horizontalCentered="1"/>
  <pageMargins left="0.5" right="0.5" top="0.5" bottom="0.5" header="0.25" footer="0.25"/>
  <pageSetup scale="39" orientation="landscape" r:id="rId1"/>
  <headerFooter alignWithMargins="0">
    <oddHeader>&amp;RUG-181053 NWN Compliance Filing
Advice 19-07 / Work Paper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97"/>
  <sheetViews>
    <sheetView topLeftCell="A49" workbookViewId="0">
      <selection activeCell="H101" sqref="H101"/>
    </sheetView>
  </sheetViews>
  <sheetFormatPr defaultColWidth="9.109375" defaultRowHeight="13.2" x14ac:dyDescent="0.25"/>
  <cols>
    <col min="1" max="1" width="4.6640625" style="1" customWidth="1"/>
    <col min="2" max="2" width="15.6640625" style="2" customWidth="1"/>
    <col min="3" max="3" width="14.33203125" style="2" customWidth="1"/>
    <col min="4" max="9" width="16.88671875" style="3" customWidth="1"/>
    <col min="10" max="10" width="17.44140625" style="2" customWidth="1"/>
    <col min="11" max="11" width="15.6640625" style="2" customWidth="1"/>
    <col min="12" max="12" width="15.88671875" style="2" customWidth="1"/>
    <col min="13" max="20" width="15.6640625" style="2" customWidth="1"/>
    <col min="21" max="16384" width="9.109375" style="2"/>
  </cols>
  <sheetData>
    <row r="1" spans="1:10" x14ac:dyDescent="0.25">
      <c r="B1" s="2" t="s">
        <v>0</v>
      </c>
      <c r="D1" s="3" t="s">
        <v>1</v>
      </c>
    </row>
    <row r="2" spans="1:10" x14ac:dyDescent="0.25">
      <c r="B2" s="2" t="s">
        <v>2</v>
      </c>
      <c r="D2" s="3" t="s">
        <v>3</v>
      </c>
      <c r="F2" s="111" t="s">
        <v>75</v>
      </c>
      <c r="G2" s="106"/>
      <c r="H2" s="106"/>
      <c r="I2" s="106"/>
      <c r="J2" s="104"/>
    </row>
    <row r="3" spans="1:10" x14ac:dyDescent="0.25">
      <c r="B3" s="2" t="s">
        <v>4</v>
      </c>
      <c r="D3" s="4" t="s">
        <v>43</v>
      </c>
      <c r="F3" s="106" t="s">
        <v>76</v>
      </c>
      <c r="G3" s="106"/>
      <c r="H3" s="106"/>
      <c r="I3" s="106"/>
      <c r="J3" s="105">
        <f>+I80</f>
        <v>2152922.5525000007</v>
      </c>
    </row>
    <row r="4" spans="1:10" x14ac:dyDescent="0.25">
      <c r="B4" s="2" t="s">
        <v>6</v>
      </c>
      <c r="D4" s="5">
        <v>186316</v>
      </c>
      <c r="F4" s="106"/>
      <c r="G4" s="106"/>
      <c r="H4" s="106"/>
      <c r="I4" s="106"/>
      <c r="J4" s="104"/>
    </row>
    <row r="5" spans="1:10" x14ac:dyDescent="0.25">
      <c r="D5" s="6" t="s">
        <v>8</v>
      </c>
      <c r="F5" s="2"/>
      <c r="G5" s="2"/>
      <c r="H5" s="2"/>
      <c r="I5" s="2"/>
    </row>
    <row r="6" spans="1:10" x14ac:dyDescent="0.25">
      <c r="D6" s="6" t="s">
        <v>9</v>
      </c>
      <c r="F6" s="2"/>
      <c r="G6" s="2"/>
      <c r="H6" s="2"/>
      <c r="I6" s="2"/>
    </row>
    <row r="7" spans="1:10" x14ac:dyDescent="0.25">
      <c r="F7" s="2"/>
      <c r="G7" s="2"/>
      <c r="H7" s="2"/>
      <c r="I7" s="2"/>
    </row>
    <row r="8" spans="1:10" x14ac:dyDescent="0.25">
      <c r="A8" s="8">
        <v>1</v>
      </c>
      <c r="B8" s="2" t="s">
        <v>10</v>
      </c>
      <c r="F8" s="2"/>
      <c r="G8" s="2"/>
      <c r="H8" s="2"/>
      <c r="I8" s="2"/>
    </row>
    <row r="9" spans="1:10" x14ac:dyDescent="0.25">
      <c r="A9" s="8">
        <f t="shared" ref="A9:A14" si="0">+A8+1</f>
        <v>2</v>
      </c>
      <c r="G9" s="9"/>
    </row>
    <row r="10" spans="1:10" x14ac:dyDescent="0.25">
      <c r="A10" s="8">
        <f t="shared" si="0"/>
        <v>3</v>
      </c>
      <c r="B10" s="11"/>
      <c r="C10" s="11"/>
      <c r="D10" s="9"/>
      <c r="E10" s="9"/>
      <c r="F10" s="9"/>
      <c r="G10" s="9"/>
      <c r="H10" s="9"/>
      <c r="I10" s="9"/>
    </row>
    <row r="11" spans="1:10" x14ac:dyDescent="0.25">
      <c r="A11" s="8">
        <f t="shared" si="0"/>
        <v>4</v>
      </c>
      <c r="B11" s="12" t="s">
        <v>14</v>
      </c>
      <c r="C11" s="12" t="s">
        <v>15</v>
      </c>
      <c r="D11" s="13" t="s">
        <v>44</v>
      </c>
      <c r="E11" s="13" t="s">
        <v>17</v>
      </c>
      <c r="F11" s="13" t="s">
        <v>45</v>
      </c>
      <c r="G11" s="13" t="s">
        <v>11</v>
      </c>
      <c r="H11" s="13" t="s">
        <v>19</v>
      </c>
      <c r="I11" s="13" t="s">
        <v>20</v>
      </c>
    </row>
    <row r="12" spans="1:10" x14ac:dyDescent="0.25">
      <c r="A12" s="8">
        <f t="shared" si="0"/>
        <v>5</v>
      </c>
      <c r="B12" s="11" t="s">
        <v>21</v>
      </c>
      <c r="C12" s="11" t="s">
        <v>22</v>
      </c>
      <c r="D12" s="9" t="s">
        <v>23</v>
      </c>
      <c r="E12" s="9" t="s">
        <v>24</v>
      </c>
      <c r="F12" s="9" t="s">
        <v>25</v>
      </c>
      <c r="G12" s="9" t="s">
        <v>26</v>
      </c>
      <c r="H12" s="9" t="s">
        <v>31</v>
      </c>
      <c r="I12" s="9" t="s">
        <v>46</v>
      </c>
      <c r="J12" s="11"/>
    </row>
    <row r="13" spans="1:10" x14ac:dyDescent="0.25">
      <c r="A13" s="8">
        <f t="shared" si="0"/>
        <v>6</v>
      </c>
      <c r="G13" s="9"/>
    </row>
    <row r="14" spans="1:10" x14ac:dyDescent="0.25">
      <c r="A14" s="8">
        <f t="shared" si="0"/>
        <v>7</v>
      </c>
      <c r="B14" s="14" t="s">
        <v>37</v>
      </c>
      <c r="C14" s="34"/>
      <c r="D14" s="95"/>
      <c r="E14" s="2"/>
      <c r="F14" s="97"/>
      <c r="G14" s="26"/>
      <c r="H14" s="15"/>
      <c r="I14" s="18">
        <v>-22726.427500000304</v>
      </c>
    </row>
    <row r="15" spans="1:10" x14ac:dyDescent="0.25">
      <c r="A15" s="8">
        <f t="shared" ref="A15:A62" si="1">+A14+1</f>
        <v>8</v>
      </c>
      <c r="B15" s="2">
        <v>41608</v>
      </c>
      <c r="C15" s="2" t="s">
        <v>48</v>
      </c>
      <c r="D15" s="95">
        <v>-43485.099999999991</v>
      </c>
      <c r="E15" s="3">
        <f>-'186310 Energy Eff General'!E37-'186312 Energy Eff Res &amp; Comm'!E36</f>
        <v>1332050.8100000003</v>
      </c>
      <c r="F15" s="97">
        <v>3.2500000000000001E-2</v>
      </c>
      <c r="G15" s="26">
        <f>ROUND((E15+(D15/2))*F15/12,2)</f>
        <v>3548.75</v>
      </c>
      <c r="H15" s="15">
        <f>SUM(D15:E15,G15)</f>
        <v>1292114.4600000002</v>
      </c>
      <c r="I15" s="18">
        <f t="shared" ref="I15:I51" si="2">+I14+H15</f>
        <v>1269388.0325</v>
      </c>
      <c r="J15" s="98"/>
    </row>
    <row r="16" spans="1:10" x14ac:dyDescent="0.25">
      <c r="A16" s="8">
        <f t="shared" si="1"/>
        <v>9</v>
      </c>
      <c r="B16" s="2">
        <f>+B15+31</f>
        <v>41639</v>
      </c>
      <c r="C16" s="99"/>
      <c r="D16" s="95">
        <v>-230115.94999999998</v>
      </c>
      <c r="F16" s="97">
        <v>3.2500000000000001E-2</v>
      </c>
      <c r="G16" s="26">
        <f t="shared" ref="G16:G26" si="3">ROUND((+I15+E16+(D16/2))*F16/12,2)</f>
        <v>3126.31</v>
      </c>
      <c r="H16" s="15">
        <f>SUM(D16:E16,G16)</f>
        <v>-226989.63999999998</v>
      </c>
      <c r="I16" s="18">
        <f t="shared" si="2"/>
        <v>1042398.3925</v>
      </c>
    </row>
    <row r="17" spans="1:10" x14ac:dyDescent="0.25">
      <c r="A17" s="8">
        <f t="shared" si="1"/>
        <v>10</v>
      </c>
      <c r="B17" s="37">
        <f>+B16+31</f>
        <v>41670</v>
      </c>
      <c r="C17" s="99"/>
      <c r="D17" s="95">
        <v>-252463.95</v>
      </c>
      <c r="F17" s="97">
        <v>3.2500000000000001E-2</v>
      </c>
      <c r="G17" s="26">
        <f t="shared" si="3"/>
        <v>2481.2800000000002</v>
      </c>
      <c r="H17" s="15">
        <f>SUM(D17:E17,G17)</f>
        <v>-249982.67</v>
      </c>
      <c r="I17" s="18">
        <f t="shared" si="2"/>
        <v>792415.72249999992</v>
      </c>
    </row>
    <row r="18" spans="1:10" x14ac:dyDescent="0.25">
      <c r="A18" s="8">
        <f t="shared" si="1"/>
        <v>11</v>
      </c>
      <c r="B18" s="16">
        <f>+B17+28</f>
        <v>41698</v>
      </c>
      <c r="C18" s="99"/>
      <c r="D18" s="95">
        <v>-232258.92000000004</v>
      </c>
      <c r="F18" s="97">
        <v>3.2500000000000001E-2</v>
      </c>
      <c r="G18" s="26">
        <f t="shared" si="3"/>
        <v>1831.61</v>
      </c>
      <c r="H18" s="15">
        <f t="shared" ref="H18:H39" si="4">SUM(D18:E18,G18)</f>
        <v>-230427.31000000006</v>
      </c>
      <c r="I18" s="18">
        <f t="shared" si="2"/>
        <v>561988.41249999986</v>
      </c>
    </row>
    <row r="19" spans="1:10" x14ac:dyDescent="0.25">
      <c r="A19" s="8">
        <f t="shared" si="1"/>
        <v>12</v>
      </c>
      <c r="B19" s="16">
        <f>+B18+31</f>
        <v>41729</v>
      </c>
      <c r="C19" s="99"/>
      <c r="D19" s="95">
        <v>-165895.07999999996</v>
      </c>
      <c r="F19" s="97">
        <v>3.2500000000000001E-2</v>
      </c>
      <c r="G19" s="26">
        <f t="shared" si="3"/>
        <v>1297.4000000000001</v>
      </c>
      <c r="H19" s="15">
        <f t="shared" si="4"/>
        <v>-164597.67999999996</v>
      </c>
      <c r="I19" s="18">
        <f t="shared" si="2"/>
        <v>397390.73249999993</v>
      </c>
    </row>
    <row r="20" spans="1:10" x14ac:dyDescent="0.25">
      <c r="A20" s="8">
        <f t="shared" si="1"/>
        <v>13</v>
      </c>
      <c r="B20" s="2">
        <f>+B19+30</f>
        <v>41759</v>
      </c>
      <c r="C20" s="99"/>
      <c r="D20" s="95">
        <v>-115127.30000000002</v>
      </c>
      <c r="F20" s="97">
        <v>3.2500000000000001E-2</v>
      </c>
      <c r="G20" s="26">
        <f t="shared" si="3"/>
        <v>920.37</v>
      </c>
      <c r="H20" s="15">
        <f t="shared" si="4"/>
        <v>-114206.93000000002</v>
      </c>
      <c r="I20" s="18">
        <f t="shared" si="2"/>
        <v>283183.80249999987</v>
      </c>
    </row>
    <row r="21" spans="1:10" x14ac:dyDescent="0.25">
      <c r="A21" s="8">
        <f t="shared" si="1"/>
        <v>14</v>
      </c>
      <c r="B21" s="2">
        <f>+B20+31</f>
        <v>41790</v>
      </c>
      <c r="C21" s="99"/>
      <c r="D21" s="95">
        <v>-75738.7</v>
      </c>
      <c r="F21" s="97">
        <v>3.2500000000000001E-2</v>
      </c>
      <c r="G21" s="26">
        <f t="shared" si="3"/>
        <v>664.39</v>
      </c>
      <c r="H21" s="15">
        <f t="shared" si="4"/>
        <v>-75074.31</v>
      </c>
      <c r="I21" s="18">
        <f t="shared" si="2"/>
        <v>208109.49249999988</v>
      </c>
    </row>
    <row r="22" spans="1:10" x14ac:dyDescent="0.25">
      <c r="A22" s="8">
        <f t="shared" si="1"/>
        <v>15</v>
      </c>
      <c r="B22" s="2">
        <f>+B21+30</f>
        <v>41820</v>
      </c>
      <c r="C22" s="99"/>
      <c r="D22" s="95">
        <v>-50575.93</v>
      </c>
      <c r="F22" s="97">
        <v>3.2500000000000001E-2</v>
      </c>
      <c r="G22" s="26">
        <f t="shared" si="3"/>
        <v>495.14</v>
      </c>
      <c r="H22" s="15">
        <f t="shared" si="4"/>
        <v>-50080.79</v>
      </c>
      <c r="I22" s="18">
        <f t="shared" si="2"/>
        <v>158028.70249999987</v>
      </c>
    </row>
    <row r="23" spans="1:10" x14ac:dyDescent="0.25">
      <c r="A23" s="8">
        <f t="shared" si="1"/>
        <v>16</v>
      </c>
      <c r="B23" s="2">
        <f>+B22+31</f>
        <v>41851</v>
      </c>
      <c r="C23" s="99"/>
      <c r="D23" s="95">
        <v>-44171.709999999992</v>
      </c>
      <c r="F23" s="97">
        <v>3.2500000000000001E-2</v>
      </c>
      <c r="G23" s="26">
        <f t="shared" si="3"/>
        <v>368.18</v>
      </c>
      <c r="H23" s="15">
        <f t="shared" si="4"/>
        <v>-43803.529999999992</v>
      </c>
      <c r="I23" s="18">
        <f t="shared" si="2"/>
        <v>114225.17249999987</v>
      </c>
    </row>
    <row r="24" spans="1:10" x14ac:dyDescent="0.25">
      <c r="A24" s="8">
        <f t="shared" si="1"/>
        <v>17</v>
      </c>
      <c r="B24" s="2">
        <f>+B23+31</f>
        <v>41882</v>
      </c>
      <c r="C24" s="99"/>
      <c r="D24" s="95">
        <v>-35563.72</v>
      </c>
      <c r="F24" s="97">
        <v>3.2500000000000001E-2</v>
      </c>
      <c r="G24" s="26">
        <f t="shared" si="3"/>
        <v>261.2</v>
      </c>
      <c r="H24" s="15">
        <f t="shared" si="4"/>
        <v>-35302.520000000004</v>
      </c>
      <c r="I24" s="18">
        <f t="shared" si="2"/>
        <v>78922.652499999866</v>
      </c>
    </row>
    <row r="25" spans="1:10" x14ac:dyDescent="0.25">
      <c r="A25" s="8">
        <f t="shared" si="1"/>
        <v>18</v>
      </c>
      <c r="B25" s="2">
        <f>+B24+30</f>
        <v>41912</v>
      </c>
      <c r="C25" s="99"/>
      <c r="D25" s="95">
        <v>-37102.329999999994</v>
      </c>
      <c r="F25" s="97">
        <v>3.2500000000000001E-2</v>
      </c>
      <c r="G25" s="26">
        <f t="shared" si="3"/>
        <v>163.51</v>
      </c>
      <c r="H25" s="15">
        <f t="shared" si="4"/>
        <v>-36938.819999999992</v>
      </c>
      <c r="I25" s="18">
        <f t="shared" si="2"/>
        <v>41983.832499999873</v>
      </c>
    </row>
    <row r="26" spans="1:10" x14ac:dyDescent="0.25">
      <c r="A26" s="8">
        <f t="shared" si="1"/>
        <v>19</v>
      </c>
      <c r="B26" s="2">
        <f>+B25+31</f>
        <v>41943</v>
      </c>
      <c r="C26" s="99"/>
      <c r="D26" s="95">
        <v>-43432.08</v>
      </c>
      <c r="F26" s="97">
        <v>3.2500000000000001E-2</v>
      </c>
      <c r="G26" s="26">
        <f t="shared" si="3"/>
        <v>54.89</v>
      </c>
      <c r="H26" s="15">
        <f t="shared" si="4"/>
        <v>-43377.19</v>
      </c>
      <c r="I26" s="18">
        <f t="shared" si="2"/>
        <v>-1393.3575000001292</v>
      </c>
    </row>
    <row r="27" spans="1:10" collapsed="1" x14ac:dyDescent="0.25">
      <c r="A27" s="8">
        <f t="shared" si="1"/>
        <v>20</v>
      </c>
      <c r="B27" s="2">
        <f>+B26+30</f>
        <v>41973</v>
      </c>
      <c r="C27" s="2" t="s">
        <v>47</v>
      </c>
      <c r="D27" s="88">
        <v>-49338.2</v>
      </c>
      <c r="E27" s="2"/>
      <c r="F27" s="97">
        <v>3.2500000000000001E-2</v>
      </c>
      <c r="G27" s="26">
        <f>ROUND((+I26+E27+(D27/2))*F27/12,2)</f>
        <v>-70.59</v>
      </c>
      <c r="H27" s="15">
        <f t="shared" si="4"/>
        <v>-49408.789999999994</v>
      </c>
      <c r="I27" s="18">
        <f t="shared" si="2"/>
        <v>-50802.147500000123</v>
      </c>
    </row>
    <row r="28" spans="1:10" x14ac:dyDescent="0.25">
      <c r="A28" s="8">
        <f t="shared" si="1"/>
        <v>21</v>
      </c>
      <c r="B28" s="2">
        <f>+B27</f>
        <v>41973</v>
      </c>
      <c r="C28" s="2" t="s">
        <v>48</v>
      </c>
      <c r="D28" s="88">
        <v>-44747.109999999993</v>
      </c>
      <c r="E28" s="3">
        <f>-'186312 Energy Eff Res &amp; Comm'!E48-'186310 Energy Eff General'!E49</f>
        <v>1359958.1099999994</v>
      </c>
      <c r="F28" s="97">
        <v>3.2500000000000001E-2</v>
      </c>
      <c r="G28" s="26">
        <f>ROUND((E28+(D28/2))*F28/12,2)</f>
        <v>3622.62</v>
      </c>
      <c r="H28" s="15">
        <f t="shared" si="4"/>
        <v>1318833.6199999994</v>
      </c>
      <c r="I28" s="29">
        <f t="shared" si="2"/>
        <v>1268031.4724999992</v>
      </c>
      <c r="J28" s="98"/>
    </row>
    <row r="29" spans="1:10" x14ac:dyDescent="0.25">
      <c r="A29" s="8">
        <f t="shared" si="1"/>
        <v>22</v>
      </c>
      <c r="B29" s="2">
        <f>+B28+31</f>
        <v>42004</v>
      </c>
      <c r="C29" s="99"/>
      <c r="D29" s="88">
        <v>-186406.68</v>
      </c>
      <c r="E29" s="96"/>
      <c r="F29" s="97">
        <v>3.2500000000000001E-2</v>
      </c>
      <c r="G29" s="26">
        <f t="shared" ref="G29:G40" si="5">ROUND((+I28+E29+(D29/2))*F29/12,2)</f>
        <v>3181.83</v>
      </c>
      <c r="H29" s="15">
        <f t="shared" si="4"/>
        <v>-183224.85</v>
      </c>
      <c r="I29" s="18">
        <f t="shared" si="2"/>
        <v>1084806.6224999991</v>
      </c>
    </row>
    <row r="30" spans="1:10" x14ac:dyDescent="0.25">
      <c r="A30" s="8">
        <f t="shared" si="1"/>
        <v>23</v>
      </c>
      <c r="B30" s="2">
        <f>+B29+30</f>
        <v>42034</v>
      </c>
      <c r="C30" s="99"/>
      <c r="D30" s="88">
        <v>-204635.55</v>
      </c>
      <c r="F30" s="97">
        <v>3.2500000000000001E-2</v>
      </c>
      <c r="G30" s="26">
        <f t="shared" si="5"/>
        <v>2660.91</v>
      </c>
      <c r="H30" s="15">
        <f t="shared" si="4"/>
        <v>-201974.63999999998</v>
      </c>
      <c r="I30" s="18">
        <f t="shared" si="2"/>
        <v>882831.98249999911</v>
      </c>
    </row>
    <row r="31" spans="1:10" x14ac:dyDescent="0.25">
      <c r="A31" s="8">
        <f t="shared" si="1"/>
        <v>24</v>
      </c>
      <c r="B31" s="2">
        <f>+B30+28</f>
        <v>42062</v>
      </c>
      <c r="C31" s="99"/>
      <c r="D31" s="88">
        <v>-151044.48000000001</v>
      </c>
      <c r="F31" s="97">
        <v>3.2500000000000001E-2</v>
      </c>
      <c r="G31" s="26">
        <f t="shared" si="5"/>
        <v>2186.46</v>
      </c>
      <c r="H31" s="15">
        <f t="shared" si="4"/>
        <v>-148858.02000000002</v>
      </c>
      <c r="I31" s="18">
        <f t="shared" si="2"/>
        <v>733973.96249999909</v>
      </c>
    </row>
    <row r="32" spans="1:10" x14ac:dyDescent="0.25">
      <c r="A32" s="8">
        <f t="shared" si="1"/>
        <v>25</v>
      </c>
      <c r="B32" s="2">
        <f>+B31+31</f>
        <v>42093</v>
      </c>
      <c r="C32" s="99"/>
      <c r="D32" s="88">
        <v>-119119.45999999999</v>
      </c>
      <c r="F32" s="97">
        <v>3.2500000000000001E-2</v>
      </c>
      <c r="G32" s="26">
        <f t="shared" si="5"/>
        <v>1826.54</v>
      </c>
      <c r="H32" s="15">
        <f t="shared" si="4"/>
        <v>-117292.92</v>
      </c>
      <c r="I32" s="18">
        <f t="shared" si="2"/>
        <v>616681.04249999905</v>
      </c>
    </row>
    <row r="33" spans="1:13" x14ac:dyDescent="0.25">
      <c r="A33" s="8">
        <f t="shared" si="1"/>
        <v>26</v>
      </c>
      <c r="B33" s="2">
        <f>+B32+30</f>
        <v>42123</v>
      </c>
      <c r="C33" s="99"/>
      <c r="D33" s="88">
        <v>-96553.360000000015</v>
      </c>
      <c r="F33" s="97">
        <v>3.2500000000000001E-2</v>
      </c>
      <c r="G33" s="26">
        <f t="shared" si="5"/>
        <v>1539.43</v>
      </c>
      <c r="H33" s="15">
        <f t="shared" si="4"/>
        <v>-95013.930000000022</v>
      </c>
      <c r="I33" s="18">
        <f t="shared" si="2"/>
        <v>521667.112499999</v>
      </c>
    </row>
    <row r="34" spans="1:13" x14ac:dyDescent="0.25">
      <c r="A34" s="8">
        <f t="shared" si="1"/>
        <v>27</v>
      </c>
      <c r="B34" s="2">
        <f>+B33+31</f>
        <v>42154</v>
      </c>
      <c r="C34" s="99"/>
      <c r="D34" s="88">
        <v>-71938.079999999987</v>
      </c>
      <c r="F34" s="97">
        <v>3.2500000000000001E-2</v>
      </c>
      <c r="G34" s="26">
        <f t="shared" si="5"/>
        <v>1315.43</v>
      </c>
      <c r="H34" s="15">
        <f t="shared" si="4"/>
        <v>-70622.649999999994</v>
      </c>
      <c r="I34" s="18">
        <f t="shared" si="2"/>
        <v>451044.46249999898</v>
      </c>
    </row>
    <row r="35" spans="1:13" x14ac:dyDescent="0.25">
      <c r="A35" s="8">
        <f t="shared" si="1"/>
        <v>28</v>
      </c>
      <c r="B35" s="2">
        <f>+B34+30</f>
        <v>42184</v>
      </c>
      <c r="C35" s="99"/>
      <c r="D35" s="88">
        <v>-47915.560000000005</v>
      </c>
      <c r="F35" s="97">
        <v>3.2500000000000001E-2</v>
      </c>
      <c r="G35" s="26">
        <f t="shared" si="5"/>
        <v>1156.69</v>
      </c>
      <c r="H35" s="15">
        <f t="shared" si="4"/>
        <v>-46758.87</v>
      </c>
      <c r="I35" s="18">
        <f t="shared" si="2"/>
        <v>404285.59249999898</v>
      </c>
    </row>
    <row r="36" spans="1:13" x14ac:dyDescent="0.25">
      <c r="A36" s="8">
        <f t="shared" si="1"/>
        <v>29</v>
      </c>
      <c r="B36" s="2">
        <f>+B35+31</f>
        <v>42215</v>
      </c>
      <c r="C36" s="99"/>
      <c r="D36" s="88">
        <v>-35409.11</v>
      </c>
      <c r="F36" s="97">
        <v>3.2500000000000001E-2</v>
      </c>
      <c r="G36" s="26">
        <f t="shared" si="5"/>
        <v>1046.99</v>
      </c>
      <c r="H36" s="15">
        <f t="shared" si="4"/>
        <v>-34362.120000000003</v>
      </c>
      <c r="I36" s="18">
        <f t="shared" si="2"/>
        <v>369923.47249999898</v>
      </c>
      <c r="J36" s="39"/>
      <c r="L36" s="39"/>
    </row>
    <row r="37" spans="1:13" x14ac:dyDescent="0.25">
      <c r="A37" s="8">
        <f t="shared" si="1"/>
        <v>30</v>
      </c>
      <c r="B37" s="6">
        <f>+B36+31</f>
        <v>42246</v>
      </c>
      <c r="C37" s="100"/>
      <c r="D37" s="91">
        <v>-33221.94</v>
      </c>
      <c r="E37" s="58"/>
      <c r="F37" s="101">
        <v>3.2500000000000001E-2</v>
      </c>
      <c r="G37" s="30">
        <f t="shared" si="5"/>
        <v>956.89</v>
      </c>
      <c r="H37" s="50">
        <f t="shared" si="4"/>
        <v>-32265.050000000003</v>
      </c>
      <c r="I37" s="29">
        <f>+I36+H37</f>
        <v>337658.422499999</v>
      </c>
    </row>
    <row r="38" spans="1:13" x14ac:dyDescent="0.25">
      <c r="A38" s="8">
        <f t="shared" si="1"/>
        <v>31</v>
      </c>
      <c r="B38" s="2">
        <f>+B37+30</f>
        <v>42276</v>
      </c>
      <c r="C38" s="83"/>
      <c r="D38" s="88">
        <v>-38599.769999999997</v>
      </c>
      <c r="F38" s="101">
        <v>3.2500000000000001E-2</v>
      </c>
      <c r="G38" s="30">
        <f t="shared" si="5"/>
        <v>862.22</v>
      </c>
      <c r="H38" s="50">
        <f t="shared" si="4"/>
        <v>-37737.549999999996</v>
      </c>
      <c r="I38" s="29">
        <f t="shared" si="2"/>
        <v>299920.87249999901</v>
      </c>
    </row>
    <row r="39" spans="1:13" x14ac:dyDescent="0.25">
      <c r="A39" s="8">
        <f t="shared" si="1"/>
        <v>32</v>
      </c>
      <c r="B39" s="2">
        <f>+B38+31</f>
        <v>42307</v>
      </c>
      <c r="C39" s="83"/>
      <c r="D39" s="88">
        <v>-46330.46</v>
      </c>
      <c r="F39" s="101">
        <v>3.2500000000000001E-2</v>
      </c>
      <c r="G39" s="30">
        <f t="shared" si="5"/>
        <v>749.55</v>
      </c>
      <c r="H39" s="50">
        <f t="shared" si="4"/>
        <v>-45580.909999999996</v>
      </c>
      <c r="I39" s="29">
        <f t="shared" si="2"/>
        <v>254339.962499999</v>
      </c>
    </row>
    <row r="40" spans="1:13" x14ac:dyDescent="0.25">
      <c r="A40" s="8">
        <f t="shared" si="1"/>
        <v>33</v>
      </c>
      <c r="B40" s="61">
        <f>+B39+30</f>
        <v>42337</v>
      </c>
      <c r="C40" s="2" t="s">
        <v>47</v>
      </c>
      <c r="D40" s="88">
        <v>-43749.98</v>
      </c>
      <c r="F40" s="101">
        <v>3.2500000000000001E-2</v>
      </c>
      <c r="G40" s="102">
        <f t="shared" si="5"/>
        <v>629.59</v>
      </c>
      <c r="H40" s="102">
        <f t="shared" ref="H40:H42" si="6">D40+E40+G40</f>
        <v>-43120.390000000007</v>
      </c>
      <c r="I40" s="102">
        <f>+I39+H40-2.66</f>
        <v>211216.91249999899</v>
      </c>
      <c r="J40" s="103"/>
      <c r="L40" s="103"/>
      <c r="M40" s="103"/>
    </row>
    <row r="41" spans="1:13" x14ac:dyDescent="0.25">
      <c r="A41" s="8">
        <f t="shared" si="1"/>
        <v>34</v>
      </c>
      <c r="B41" s="61">
        <f>+B40</f>
        <v>42337</v>
      </c>
      <c r="C41" s="2" t="s">
        <v>49</v>
      </c>
      <c r="D41" s="88">
        <v>-39471.980000000003</v>
      </c>
      <c r="E41" s="3">
        <v>1112287.6499999999</v>
      </c>
      <c r="F41" s="101">
        <v>3.2500000000000001E-2</v>
      </c>
      <c r="G41" s="26">
        <f>ROUND((+E41+(D41/2))*F41/12,2)</f>
        <v>2958.99</v>
      </c>
      <c r="H41" s="102">
        <f t="shared" si="6"/>
        <v>1075774.6599999999</v>
      </c>
      <c r="I41" s="102">
        <f t="shared" si="2"/>
        <v>1286991.5724999988</v>
      </c>
      <c r="J41" s="98"/>
    </row>
    <row r="42" spans="1:13" x14ac:dyDescent="0.25">
      <c r="A42" s="8">
        <f t="shared" si="1"/>
        <v>35</v>
      </c>
      <c r="B42" s="2">
        <f>B40+31</f>
        <v>42368</v>
      </c>
      <c r="C42" s="83"/>
      <c r="D42" s="88">
        <v>-201294.68</v>
      </c>
      <c r="F42" s="101">
        <v>3.2500000000000001E-2</v>
      </c>
      <c r="G42" s="102">
        <f t="shared" ref="G42:G43" si="7">ROUND((+I41+E42+(D42/2))*F42/12,2)</f>
        <v>3213.02</v>
      </c>
      <c r="H42" s="102">
        <f t="shared" si="6"/>
        <v>-198081.66</v>
      </c>
      <c r="I42" s="102">
        <f t="shared" si="2"/>
        <v>1088909.9124999989</v>
      </c>
    </row>
    <row r="43" spans="1:13" x14ac:dyDescent="0.25">
      <c r="A43" s="8">
        <f t="shared" si="1"/>
        <v>36</v>
      </c>
      <c r="B43" s="2">
        <f>B42+31</f>
        <v>42399</v>
      </c>
      <c r="C43" s="83"/>
      <c r="D43" s="88">
        <v>-243216.83</v>
      </c>
      <c r="F43" s="101">
        <v>3.2500000000000001E-2</v>
      </c>
      <c r="G43" s="30">
        <f t="shared" si="7"/>
        <v>2619.77</v>
      </c>
      <c r="H43" s="50">
        <f t="shared" ref="H43:H53" si="8">SUM(D43:E43,G43)</f>
        <v>-240597.06</v>
      </c>
      <c r="I43" s="29">
        <f t="shared" si="2"/>
        <v>848312.85249999887</v>
      </c>
    </row>
    <row r="44" spans="1:13" x14ac:dyDescent="0.25">
      <c r="A44" s="8">
        <f t="shared" si="1"/>
        <v>37</v>
      </c>
      <c r="B44" s="2">
        <f>B43+29</f>
        <v>42428</v>
      </c>
      <c r="C44" s="83"/>
      <c r="D44" s="88">
        <v>-160551.01</v>
      </c>
      <c r="F44" s="101">
        <v>3.2500000000000001E-2</v>
      </c>
      <c r="G44" s="30">
        <f>ROUND((+I43+E44+(D44/2))*F44/12,2)</f>
        <v>2080.1</v>
      </c>
      <c r="H44" s="50">
        <f t="shared" si="8"/>
        <v>-158470.91</v>
      </c>
      <c r="I44" s="29">
        <f t="shared" si="2"/>
        <v>689841.94249999884</v>
      </c>
    </row>
    <row r="45" spans="1:13" x14ac:dyDescent="0.25">
      <c r="A45" s="8">
        <f t="shared" si="1"/>
        <v>38</v>
      </c>
      <c r="B45" s="2">
        <f>B44+31</f>
        <v>42459</v>
      </c>
      <c r="C45" s="83"/>
      <c r="D45" s="88">
        <v>-135715.14000000001</v>
      </c>
      <c r="F45" s="101">
        <v>3.2500000000000001E-2</v>
      </c>
      <c r="G45" s="30">
        <f>ROUND((+I44+E45+(D45/2))*F45/12,2)</f>
        <v>1684.54</v>
      </c>
      <c r="H45" s="50">
        <f t="shared" si="8"/>
        <v>-134030.6</v>
      </c>
      <c r="I45" s="29">
        <f t="shared" si="2"/>
        <v>555811.34249999886</v>
      </c>
    </row>
    <row r="46" spans="1:13" x14ac:dyDescent="0.25">
      <c r="A46" s="8">
        <f t="shared" si="1"/>
        <v>39</v>
      </c>
      <c r="B46" s="2">
        <f>B45+30</f>
        <v>42489</v>
      </c>
      <c r="C46" s="83"/>
      <c r="D46" s="88">
        <v>-99950.78</v>
      </c>
      <c r="F46" s="101">
        <v>3.4599999999999999E-2</v>
      </c>
      <c r="G46" s="30">
        <f>ROUND((+I45+E46+(D46/2))*F46/12,2)</f>
        <v>1458.49</v>
      </c>
      <c r="H46" s="50">
        <f t="shared" si="8"/>
        <v>-98492.29</v>
      </c>
      <c r="I46" s="29">
        <f t="shared" si="2"/>
        <v>457319.05249999888</v>
      </c>
    </row>
    <row r="47" spans="1:13" x14ac:dyDescent="0.25">
      <c r="A47" s="8">
        <f t="shared" si="1"/>
        <v>40</v>
      </c>
      <c r="B47" s="2">
        <f>B46+31</f>
        <v>42520</v>
      </c>
      <c r="C47" s="83"/>
      <c r="D47" s="88">
        <v>-60320.33</v>
      </c>
      <c r="F47" s="101">
        <v>3.4599999999999999E-2</v>
      </c>
      <c r="G47" s="30">
        <f>ROUND((+I46+E47+(D47/2))*F47/12,2)</f>
        <v>1231.6400000000001</v>
      </c>
      <c r="H47" s="50">
        <f t="shared" si="8"/>
        <v>-59088.69</v>
      </c>
      <c r="I47" s="29">
        <f t="shared" si="2"/>
        <v>398230.36249999888</v>
      </c>
    </row>
    <row r="48" spans="1:13" x14ac:dyDescent="0.25">
      <c r="A48" s="8">
        <f t="shared" si="1"/>
        <v>41</v>
      </c>
      <c r="B48" s="2">
        <f>B47+30</f>
        <v>42550</v>
      </c>
      <c r="C48" s="83"/>
      <c r="D48" s="88">
        <v>-51989</v>
      </c>
      <c r="F48" s="101">
        <v>3.4599999999999999E-2</v>
      </c>
      <c r="G48" s="30">
        <f t="shared" ref="G48:G53" si="9">ROUND((+I47+E48+(D48/2))*F48/12,2)</f>
        <v>1073.28</v>
      </c>
      <c r="H48" s="50">
        <f t="shared" si="8"/>
        <v>-50915.72</v>
      </c>
      <c r="I48" s="29">
        <f t="shared" si="2"/>
        <v>347314.64249999891</v>
      </c>
    </row>
    <row r="49" spans="1:10" x14ac:dyDescent="0.25">
      <c r="A49" s="8">
        <f t="shared" si="1"/>
        <v>42</v>
      </c>
      <c r="B49" s="2">
        <f>B48+31</f>
        <v>42581</v>
      </c>
      <c r="C49" s="83"/>
      <c r="D49" s="88">
        <v>-41160.74</v>
      </c>
      <c r="F49" s="101">
        <v>3.5000000000000003E-2</v>
      </c>
      <c r="G49" s="30">
        <f t="shared" si="9"/>
        <v>952.97</v>
      </c>
      <c r="H49" s="50">
        <f t="shared" si="8"/>
        <v>-40207.769999999997</v>
      </c>
      <c r="I49" s="29">
        <f t="shared" si="2"/>
        <v>307106.87249999889</v>
      </c>
    </row>
    <row r="50" spans="1:10" x14ac:dyDescent="0.25">
      <c r="A50" s="8">
        <f t="shared" si="1"/>
        <v>43</v>
      </c>
      <c r="B50" s="2">
        <f>B49+31</f>
        <v>42612</v>
      </c>
      <c r="C50" s="83"/>
      <c r="D50" s="88">
        <v>-35650.980000000003</v>
      </c>
      <c r="F50" s="101">
        <v>3.5000000000000003E-2</v>
      </c>
      <c r="G50" s="30">
        <f t="shared" si="9"/>
        <v>843.74</v>
      </c>
      <c r="H50" s="50">
        <f t="shared" si="8"/>
        <v>-34807.240000000005</v>
      </c>
      <c r="I50" s="29">
        <f t="shared" si="2"/>
        <v>272299.6324999989</v>
      </c>
    </row>
    <row r="51" spans="1:10" x14ac:dyDescent="0.25">
      <c r="A51" s="8">
        <f t="shared" si="1"/>
        <v>44</v>
      </c>
      <c r="B51" s="2">
        <f>B50+30</f>
        <v>42642</v>
      </c>
      <c r="C51" s="83"/>
      <c r="D51" s="88">
        <v>-38896.559999999998</v>
      </c>
      <c r="F51" s="101">
        <v>3.5000000000000003E-2</v>
      </c>
      <c r="G51" s="30">
        <f t="shared" si="9"/>
        <v>737.48</v>
      </c>
      <c r="H51" s="50">
        <f t="shared" si="8"/>
        <v>-38159.079999999994</v>
      </c>
      <c r="I51" s="29">
        <f t="shared" si="2"/>
        <v>234140.55249999891</v>
      </c>
    </row>
    <row r="52" spans="1:10" x14ac:dyDescent="0.25">
      <c r="A52" s="8">
        <f t="shared" si="1"/>
        <v>45</v>
      </c>
      <c r="B52" s="2">
        <f>B51+31</f>
        <v>42673</v>
      </c>
      <c r="C52" s="83"/>
      <c r="D52" s="88">
        <v>-57154.78</v>
      </c>
      <c r="F52" s="101">
        <v>3.5000000000000003E-2</v>
      </c>
      <c r="G52" s="30">
        <f t="shared" si="9"/>
        <v>599.55999999999995</v>
      </c>
      <c r="H52" s="50">
        <f t="shared" si="8"/>
        <v>-56555.22</v>
      </c>
      <c r="I52" s="29">
        <f t="shared" ref="I52:I81" si="10">+I51+H52</f>
        <v>177585.33249999891</v>
      </c>
    </row>
    <row r="53" spans="1:10" x14ac:dyDescent="0.25">
      <c r="A53" s="8">
        <f t="shared" si="1"/>
        <v>46</v>
      </c>
      <c r="B53" s="61">
        <f>B52+30</f>
        <v>42703</v>
      </c>
      <c r="C53" s="63" t="s">
        <v>50</v>
      </c>
      <c r="D53" s="88">
        <v>-51481.490000000005</v>
      </c>
      <c r="F53" s="101">
        <v>3.5000000000000003E-2</v>
      </c>
      <c r="G53" s="30">
        <f t="shared" si="9"/>
        <v>442.88</v>
      </c>
      <c r="H53" s="50">
        <f t="shared" si="8"/>
        <v>-51038.610000000008</v>
      </c>
      <c r="I53" s="29">
        <f t="shared" si="10"/>
        <v>126546.7224999989</v>
      </c>
    </row>
    <row r="54" spans="1:10" x14ac:dyDescent="0.25">
      <c r="A54" s="8">
        <f t="shared" si="1"/>
        <v>47</v>
      </c>
      <c r="B54" s="61">
        <f>B53</f>
        <v>42703</v>
      </c>
      <c r="C54" s="2" t="s">
        <v>49</v>
      </c>
      <c r="D54" s="88">
        <v>-46204.580000000009</v>
      </c>
      <c r="E54" s="3">
        <v>1507284.5199999998</v>
      </c>
      <c r="F54" s="101">
        <v>3.5000000000000003E-2</v>
      </c>
      <c r="G54" s="26">
        <f>ROUND((+E54+(D54/2))*F54/12,2)</f>
        <v>4328.8599999999997</v>
      </c>
      <c r="H54" s="102">
        <f t="shared" ref="H54" si="11">D54+E54+G54</f>
        <v>1465408.7999999998</v>
      </c>
      <c r="I54" s="102">
        <f t="shared" si="10"/>
        <v>1591955.5224999988</v>
      </c>
      <c r="J54" s="98"/>
    </row>
    <row r="55" spans="1:10" x14ac:dyDescent="0.25">
      <c r="A55" s="8">
        <f t="shared" si="1"/>
        <v>48</v>
      </c>
      <c r="B55" s="61">
        <f>B54+31</f>
        <v>42734</v>
      </c>
      <c r="C55" s="63"/>
      <c r="D55" s="88">
        <v>-240372.94</v>
      </c>
      <c r="F55" s="101">
        <v>3.5000000000000003E-2</v>
      </c>
      <c r="G55" s="30">
        <f t="shared" ref="G55:G81" si="12">ROUND((+I54+E55+(D55/2))*F55/12,2)</f>
        <v>4292.66</v>
      </c>
      <c r="H55" s="50">
        <f t="shared" ref="H55:H81" si="13">SUM(D55:E55,G55)</f>
        <v>-236080.28</v>
      </c>
      <c r="I55" s="29">
        <f t="shared" si="10"/>
        <v>1355875.2424999988</v>
      </c>
    </row>
    <row r="56" spans="1:10" x14ac:dyDescent="0.25">
      <c r="A56" s="8">
        <f t="shared" si="1"/>
        <v>49</v>
      </c>
      <c r="B56" s="61">
        <f t="shared" ref="B56:B65" si="14">B55+31</f>
        <v>42765</v>
      </c>
      <c r="C56" s="63"/>
      <c r="D56" s="88">
        <v>-415290.31</v>
      </c>
      <c r="F56" s="101">
        <v>3.5000000000000003E-2</v>
      </c>
      <c r="G56" s="30">
        <f t="shared" si="12"/>
        <v>3349</v>
      </c>
      <c r="H56" s="50">
        <f t="shared" si="13"/>
        <v>-411941.31</v>
      </c>
      <c r="I56" s="29">
        <f t="shared" si="10"/>
        <v>943933.93249999871</v>
      </c>
    </row>
    <row r="57" spans="1:10" x14ac:dyDescent="0.25">
      <c r="A57" s="8">
        <f t="shared" si="1"/>
        <v>50</v>
      </c>
      <c r="B57" s="61">
        <f t="shared" si="14"/>
        <v>42796</v>
      </c>
      <c r="C57" s="63"/>
      <c r="D57" s="88">
        <v>-311707.26999999996</v>
      </c>
      <c r="F57" s="101">
        <v>3.5000000000000003E-2</v>
      </c>
      <c r="G57" s="30">
        <f t="shared" si="12"/>
        <v>2298.5700000000002</v>
      </c>
      <c r="H57" s="50">
        <f t="shared" si="13"/>
        <v>-309408.69999999995</v>
      </c>
      <c r="I57" s="29">
        <f t="shared" si="10"/>
        <v>634525.23249999876</v>
      </c>
    </row>
    <row r="58" spans="1:10" x14ac:dyDescent="0.25">
      <c r="A58" s="8">
        <f t="shared" si="1"/>
        <v>51</v>
      </c>
      <c r="B58" s="61">
        <f t="shared" si="14"/>
        <v>42827</v>
      </c>
      <c r="C58" s="63"/>
      <c r="D58" s="88">
        <v>-241358.66999999998</v>
      </c>
      <c r="F58" s="101">
        <v>3.5000000000000003E-2</v>
      </c>
      <c r="G58" s="30">
        <f t="shared" si="12"/>
        <v>1498.72</v>
      </c>
      <c r="H58" s="50">
        <f t="shared" si="13"/>
        <v>-239859.94999999998</v>
      </c>
      <c r="I58" s="29">
        <f t="shared" si="10"/>
        <v>394665.28249999881</v>
      </c>
    </row>
    <row r="59" spans="1:10" x14ac:dyDescent="0.25">
      <c r="A59" s="8">
        <f t="shared" si="1"/>
        <v>52</v>
      </c>
      <c r="B59" s="61">
        <f t="shared" si="14"/>
        <v>42858</v>
      </c>
      <c r="C59" s="63"/>
      <c r="D59" s="88">
        <v>-171859.47</v>
      </c>
      <c r="F59" s="101">
        <v>3.7100000000000001E-2</v>
      </c>
      <c r="G59" s="30">
        <f t="shared" si="12"/>
        <v>954.51</v>
      </c>
      <c r="H59" s="50">
        <f t="shared" si="13"/>
        <v>-170904.95999999999</v>
      </c>
      <c r="I59" s="29">
        <f t="shared" si="10"/>
        <v>223760.32249999882</v>
      </c>
    </row>
    <row r="60" spans="1:10" x14ac:dyDescent="0.25">
      <c r="A60" s="8">
        <f t="shared" si="1"/>
        <v>53</v>
      </c>
      <c r="B60" s="61">
        <f t="shared" si="14"/>
        <v>42889</v>
      </c>
      <c r="C60" s="63"/>
      <c r="D60" s="88">
        <v>-122246.58</v>
      </c>
      <c r="F60" s="101">
        <v>3.7100000000000001E-2</v>
      </c>
      <c r="G60" s="30">
        <f t="shared" si="12"/>
        <v>502.82</v>
      </c>
      <c r="H60" s="50">
        <f t="shared" si="13"/>
        <v>-121743.76</v>
      </c>
      <c r="I60" s="29">
        <f t="shared" si="10"/>
        <v>102016.56249999882</v>
      </c>
    </row>
    <row r="61" spans="1:10" x14ac:dyDescent="0.25">
      <c r="A61" s="8">
        <f t="shared" si="1"/>
        <v>54</v>
      </c>
      <c r="B61" s="61">
        <f>B60+29</f>
        <v>42918</v>
      </c>
      <c r="C61" s="63"/>
      <c r="D61" s="88">
        <v>-73486.359999999986</v>
      </c>
      <c r="F61" s="101">
        <v>3.7100000000000001E-2</v>
      </c>
      <c r="G61" s="30">
        <f t="shared" si="12"/>
        <v>201.8</v>
      </c>
      <c r="H61" s="50">
        <f t="shared" si="13"/>
        <v>-73284.559999999983</v>
      </c>
      <c r="I61" s="29">
        <f t="shared" si="10"/>
        <v>28732.002499998838</v>
      </c>
    </row>
    <row r="62" spans="1:10" x14ac:dyDescent="0.25">
      <c r="A62" s="8">
        <f t="shared" si="1"/>
        <v>55</v>
      </c>
      <c r="B62" s="61">
        <f t="shared" si="14"/>
        <v>42949</v>
      </c>
      <c r="C62" s="63"/>
      <c r="D62" s="91">
        <v>-54113.049999999996</v>
      </c>
      <c r="F62" s="101">
        <v>3.9600000000000003E-2</v>
      </c>
      <c r="G62" s="30">
        <f t="shared" si="12"/>
        <v>5.53</v>
      </c>
      <c r="H62" s="50">
        <f t="shared" si="13"/>
        <v>-54107.519999999997</v>
      </c>
      <c r="I62" s="29">
        <f t="shared" si="10"/>
        <v>-25375.517500001159</v>
      </c>
    </row>
    <row r="63" spans="1:10" x14ac:dyDescent="0.25">
      <c r="A63" s="8">
        <f t="shared" ref="A63:A97" si="15">+A62+1</f>
        <v>56</v>
      </c>
      <c r="B63" s="61">
        <f t="shared" si="14"/>
        <v>42980</v>
      </c>
      <c r="C63" s="63"/>
      <c r="D63" s="91">
        <v>-44673.759999999995</v>
      </c>
      <c r="F63" s="101">
        <v>3.9600000000000003E-2</v>
      </c>
      <c r="G63" s="30">
        <f t="shared" si="12"/>
        <v>-157.44999999999999</v>
      </c>
      <c r="H63" s="50">
        <f t="shared" si="13"/>
        <v>-44831.209999999992</v>
      </c>
      <c r="I63" s="29">
        <f t="shared" si="10"/>
        <v>-70206.727500001143</v>
      </c>
    </row>
    <row r="64" spans="1:10" x14ac:dyDescent="0.25">
      <c r="A64" s="8">
        <f t="shared" si="15"/>
        <v>57</v>
      </c>
      <c r="B64" s="61">
        <f t="shared" si="14"/>
        <v>43011</v>
      </c>
      <c r="C64" s="63"/>
      <c r="D64" s="88">
        <v>-48086.34</v>
      </c>
      <c r="F64" s="101">
        <v>3.9600000000000003E-2</v>
      </c>
      <c r="G64" s="30">
        <f t="shared" si="12"/>
        <v>-311.02</v>
      </c>
      <c r="H64" s="50">
        <f t="shared" si="13"/>
        <v>-48397.359999999993</v>
      </c>
      <c r="I64" s="29">
        <f t="shared" si="10"/>
        <v>-118604.08750000113</v>
      </c>
    </row>
    <row r="65" spans="1:10" x14ac:dyDescent="0.25">
      <c r="A65" s="8">
        <f t="shared" si="15"/>
        <v>58</v>
      </c>
      <c r="B65" s="61">
        <f t="shared" si="14"/>
        <v>43042</v>
      </c>
      <c r="C65" s="63"/>
      <c r="D65" s="88">
        <v>-80130.570000000007</v>
      </c>
      <c r="F65" s="101">
        <v>4.2099999999999999E-2</v>
      </c>
      <c r="G65" s="30">
        <f t="shared" si="12"/>
        <v>-556.66999999999996</v>
      </c>
      <c r="H65" s="50">
        <f t="shared" si="13"/>
        <v>-80687.240000000005</v>
      </c>
      <c r="I65" s="29">
        <f t="shared" si="10"/>
        <v>-199291.32750000112</v>
      </c>
    </row>
    <row r="66" spans="1:10" x14ac:dyDescent="0.25">
      <c r="A66" s="8">
        <f t="shared" si="15"/>
        <v>59</v>
      </c>
      <c r="B66" s="61">
        <f>B65+30</f>
        <v>43072</v>
      </c>
      <c r="C66" s="63" t="s">
        <v>50</v>
      </c>
      <c r="D66" s="88">
        <v>-89195.83</v>
      </c>
      <c r="F66" s="101">
        <v>4.2099999999999999E-2</v>
      </c>
      <c r="G66" s="30">
        <f t="shared" si="12"/>
        <v>-855.64</v>
      </c>
      <c r="H66" s="50">
        <f t="shared" si="13"/>
        <v>-90051.47</v>
      </c>
      <c r="I66" s="29">
        <f t="shared" si="10"/>
        <v>-289342.79750000115</v>
      </c>
    </row>
    <row r="67" spans="1:10" x14ac:dyDescent="0.25">
      <c r="A67" s="8">
        <f t="shared" si="15"/>
        <v>60</v>
      </c>
      <c r="B67" s="61">
        <v>43069</v>
      </c>
      <c r="C67" s="2" t="s">
        <v>49</v>
      </c>
      <c r="D67" s="88">
        <v>-66287.540000000008</v>
      </c>
      <c r="E67" s="3">
        <v>2057759.26</v>
      </c>
      <c r="F67" s="101">
        <v>4.2099999999999999E-2</v>
      </c>
      <c r="G67" s="30">
        <f>ROUND((+E67+(D67/2))*F67/12,2)</f>
        <v>7103.03</v>
      </c>
      <c r="H67" s="50">
        <f t="shared" si="13"/>
        <v>1998574.75</v>
      </c>
      <c r="I67" s="29">
        <f t="shared" si="10"/>
        <v>1709231.9524999987</v>
      </c>
      <c r="J67" s="98"/>
    </row>
    <row r="68" spans="1:10" x14ac:dyDescent="0.25">
      <c r="A68" s="8">
        <f t="shared" si="15"/>
        <v>61</v>
      </c>
      <c r="B68" s="61">
        <f>B66+31</f>
        <v>43103</v>
      </c>
      <c r="C68" s="63"/>
      <c r="D68" s="88">
        <v>-269421.4499999999</v>
      </c>
      <c r="F68" s="101">
        <v>4.2099999999999999E-2</v>
      </c>
      <c r="G68" s="30">
        <f t="shared" si="12"/>
        <v>5523.95</v>
      </c>
      <c r="H68" s="50">
        <f t="shared" si="13"/>
        <v>-263897.49999999988</v>
      </c>
      <c r="I68" s="29">
        <f t="shared" si="10"/>
        <v>1445334.4524999987</v>
      </c>
    </row>
    <row r="69" spans="1:10" x14ac:dyDescent="0.25">
      <c r="A69" s="8">
        <f t="shared" si="15"/>
        <v>62</v>
      </c>
      <c r="B69" s="61">
        <v>43101</v>
      </c>
      <c r="C69" s="63"/>
      <c r="D69" s="88">
        <v>-350788.33999999985</v>
      </c>
      <c r="F69" s="101">
        <v>4.2500000000000003E-2</v>
      </c>
      <c r="G69" s="30">
        <f t="shared" si="12"/>
        <v>4497.71</v>
      </c>
      <c r="H69" s="50">
        <f t="shared" si="13"/>
        <v>-346290.62999999983</v>
      </c>
      <c r="I69" s="29">
        <f t="shared" si="10"/>
        <v>1099043.8224999988</v>
      </c>
    </row>
    <row r="70" spans="1:10" x14ac:dyDescent="0.25">
      <c r="A70" s="8">
        <f t="shared" si="15"/>
        <v>63</v>
      </c>
      <c r="B70" s="61">
        <v>43132</v>
      </c>
      <c r="C70" s="63"/>
      <c r="D70" s="88">
        <v>-250201.22</v>
      </c>
      <c r="F70" s="101">
        <v>4.2500000000000003E-2</v>
      </c>
      <c r="G70" s="30">
        <f t="shared" si="12"/>
        <v>3449.38</v>
      </c>
      <c r="H70" s="50">
        <f t="shared" si="13"/>
        <v>-246751.84</v>
      </c>
      <c r="I70" s="29">
        <f t="shared" si="10"/>
        <v>852291.98249999888</v>
      </c>
    </row>
    <row r="71" spans="1:10" x14ac:dyDescent="0.25">
      <c r="A71" s="8">
        <f t="shared" si="15"/>
        <v>64</v>
      </c>
      <c r="B71" s="61">
        <v>43160</v>
      </c>
      <c r="C71" s="63"/>
      <c r="D71" s="88">
        <v>-277607.3899999999</v>
      </c>
      <c r="F71" s="101">
        <v>4.2500000000000003E-2</v>
      </c>
      <c r="G71" s="30">
        <f t="shared" si="12"/>
        <v>2526.94</v>
      </c>
      <c r="H71" s="50">
        <f t="shared" si="13"/>
        <v>-275080.4499999999</v>
      </c>
      <c r="I71" s="29">
        <f t="shared" si="10"/>
        <v>577211.53249999904</v>
      </c>
    </row>
    <row r="72" spans="1:10" x14ac:dyDescent="0.25">
      <c r="A72" s="8">
        <f t="shared" si="15"/>
        <v>65</v>
      </c>
      <c r="B72" s="61">
        <v>43191</v>
      </c>
      <c r="C72" s="63"/>
      <c r="D72" s="88">
        <v>-201019.24</v>
      </c>
      <c r="F72" s="101">
        <v>4.4699999999999997E-2</v>
      </c>
      <c r="G72" s="30">
        <f t="shared" si="12"/>
        <v>1775.71</v>
      </c>
      <c r="H72" s="50">
        <f t="shared" si="13"/>
        <v>-199243.53</v>
      </c>
      <c r="I72" s="29">
        <f t="shared" si="10"/>
        <v>377968.00249999901</v>
      </c>
    </row>
    <row r="73" spans="1:10" x14ac:dyDescent="0.25">
      <c r="A73" s="8">
        <f t="shared" si="15"/>
        <v>66</v>
      </c>
      <c r="B73" s="61">
        <v>43221</v>
      </c>
      <c r="C73" s="63"/>
      <c r="D73" s="88">
        <v>-106757.95999999999</v>
      </c>
      <c r="F73" s="101">
        <v>4.4699999999999997E-2</v>
      </c>
      <c r="G73" s="30">
        <f t="shared" si="12"/>
        <v>1209.0899999999999</v>
      </c>
      <c r="H73" s="50">
        <f t="shared" si="13"/>
        <v>-105548.87</v>
      </c>
      <c r="I73" s="29">
        <f t="shared" si="10"/>
        <v>272419.13249999902</v>
      </c>
    </row>
    <row r="74" spans="1:10" x14ac:dyDescent="0.25">
      <c r="A74" s="8">
        <f t="shared" si="15"/>
        <v>67</v>
      </c>
      <c r="B74" s="61">
        <v>43252</v>
      </c>
      <c r="C74" s="63"/>
      <c r="D74" s="88">
        <v>-71637.39</v>
      </c>
      <c r="F74" s="101">
        <v>4.4699999999999997E-2</v>
      </c>
      <c r="G74" s="30">
        <f t="shared" si="12"/>
        <v>881.34</v>
      </c>
      <c r="H74" s="50">
        <f t="shared" si="13"/>
        <v>-70756.05</v>
      </c>
      <c r="I74" s="29">
        <f t="shared" si="10"/>
        <v>201663.08249999903</v>
      </c>
    </row>
    <row r="75" spans="1:10" x14ac:dyDescent="0.25">
      <c r="A75" s="8">
        <f t="shared" si="15"/>
        <v>68</v>
      </c>
      <c r="B75" s="61">
        <v>43282</v>
      </c>
      <c r="C75" s="63"/>
      <c r="D75" s="88">
        <v>-59735.179999999993</v>
      </c>
      <c r="F75" s="101">
        <v>4.6899999999999997E-2</v>
      </c>
      <c r="G75" s="30">
        <f t="shared" si="12"/>
        <v>671.43</v>
      </c>
      <c r="H75" s="50">
        <f t="shared" si="13"/>
        <v>-59063.749999999993</v>
      </c>
      <c r="I75" s="29">
        <f t="shared" si="10"/>
        <v>142599.33249999903</v>
      </c>
    </row>
    <row r="76" spans="1:10" x14ac:dyDescent="0.25">
      <c r="A76" s="8">
        <f t="shared" si="15"/>
        <v>69</v>
      </c>
      <c r="B76" s="61">
        <v>43313</v>
      </c>
      <c r="C76" s="63"/>
      <c r="D76" s="91">
        <v>-49191.310000000012</v>
      </c>
      <c r="F76" s="101">
        <v>4.6899999999999997E-2</v>
      </c>
      <c r="G76" s="30">
        <f t="shared" si="12"/>
        <v>461.2</v>
      </c>
      <c r="H76" s="50">
        <f t="shared" si="13"/>
        <v>-48730.110000000015</v>
      </c>
      <c r="I76" s="29">
        <f t="shared" si="10"/>
        <v>93869.222499999014</v>
      </c>
    </row>
    <row r="77" spans="1:10" x14ac:dyDescent="0.25">
      <c r="A77" s="8">
        <f t="shared" si="15"/>
        <v>70</v>
      </c>
      <c r="B77" s="61">
        <v>43344</v>
      </c>
      <c r="C77" s="85"/>
      <c r="D77" s="88">
        <v>-54819.209999999992</v>
      </c>
      <c r="F77" s="101">
        <v>4.6899999999999997E-2</v>
      </c>
      <c r="G77" s="30">
        <f t="shared" si="12"/>
        <v>259.75</v>
      </c>
      <c r="H77" s="50">
        <f t="shared" si="13"/>
        <v>-54559.459999999992</v>
      </c>
      <c r="I77" s="29">
        <f t="shared" si="10"/>
        <v>39309.762499999022</v>
      </c>
    </row>
    <row r="78" spans="1:10" x14ac:dyDescent="0.25">
      <c r="A78" s="8">
        <f t="shared" si="15"/>
        <v>71</v>
      </c>
      <c r="B78" s="61">
        <v>43374</v>
      </c>
      <c r="C78" s="85"/>
      <c r="D78" s="88">
        <v>-80518.660000000018</v>
      </c>
      <c r="F78" s="68">
        <v>4.9599999999999998E-2</v>
      </c>
      <c r="G78" s="30">
        <f t="shared" si="12"/>
        <v>-3.92</v>
      </c>
      <c r="H78" s="50">
        <f t="shared" si="13"/>
        <v>-80522.580000000016</v>
      </c>
      <c r="I78" s="29">
        <f t="shared" si="10"/>
        <v>-41212.817500000994</v>
      </c>
    </row>
    <row r="79" spans="1:10" x14ac:dyDescent="0.25">
      <c r="A79" s="8">
        <f t="shared" si="15"/>
        <v>72</v>
      </c>
      <c r="B79" s="61">
        <v>43405</v>
      </c>
      <c r="C79" s="63" t="s">
        <v>50</v>
      </c>
      <c r="D79" s="88">
        <v>-83698.950000000012</v>
      </c>
      <c r="F79" s="68">
        <v>4.9599999999999998E-2</v>
      </c>
      <c r="G79" s="30">
        <f t="shared" si="12"/>
        <v>-343.32</v>
      </c>
      <c r="H79" s="50">
        <f t="shared" si="13"/>
        <v>-84042.270000000019</v>
      </c>
      <c r="I79" s="29">
        <f t="shared" si="10"/>
        <v>-125255.08750000101</v>
      </c>
    </row>
    <row r="80" spans="1:10" x14ac:dyDescent="0.25">
      <c r="A80" s="8">
        <f t="shared" si="15"/>
        <v>73</v>
      </c>
      <c r="B80" s="61">
        <v>43405</v>
      </c>
      <c r="C80" s="2" t="s">
        <v>49</v>
      </c>
      <c r="D80" s="88">
        <v>-69241.359999999986</v>
      </c>
      <c r="E80" s="3">
        <f>-'186312 Energy Eff Res &amp; Comm'!E96-'186310 Energy Eff General'!E97</f>
        <v>2337898.7800000012</v>
      </c>
      <c r="F80" s="68">
        <v>4.9599999999999998E-2</v>
      </c>
      <c r="G80" s="30">
        <f>ROUND((E80+(D80/2))*F80/12,2)</f>
        <v>9520.2199999999993</v>
      </c>
      <c r="H80" s="50">
        <f t="shared" si="13"/>
        <v>2278177.6400000015</v>
      </c>
      <c r="I80" s="29">
        <f t="shared" si="10"/>
        <v>2152922.5525000007</v>
      </c>
    </row>
    <row r="81" spans="1:9" x14ac:dyDescent="0.25">
      <c r="A81" s="8">
        <f t="shared" si="15"/>
        <v>74</v>
      </c>
      <c r="B81" s="61">
        <v>43436</v>
      </c>
      <c r="C81" s="63"/>
      <c r="D81" s="88">
        <v>-317716.05</v>
      </c>
      <c r="F81" s="68">
        <v>4.9599999999999998E-2</v>
      </c>
      <c r="G81" s="30">
        <f t="shared" si="12"/>
        <v>8242.1299999999992</v>
      </c>
      <c r="H81" s="50">
        <f t="shared" si="13"/>
        <v>-309473.91999999998</v>
      </c>
      <c r="I81" s="29">
        <f t="shared" si="10"/>
        <v>1843448.6325000008</v>
      </c>
    </row>
    <row r="82" spans="1:9" x14ac:dyDescent="0.25">
      <c r="A82" s="8">
        <f t="shared" si="15"/>
        <v>75</v>
      </c>
      <c r="B82" s="61">
        <v>43467</v>
      </c>
      <c r="C82" s="85"/>
      <c r="D82" s="88">
        <v>-369674.37</v>
      </c>
      <c r="F82" s="68">
        <v>5.1799999999999999E-2</v>
      </c>
      <c r="G82" s="30">
        <f t="shared" ref="G82:G91" si="16">ROUND((+I81+E82+(D82/2))*F82/12,2)</f>
        <v>7159.67</v>
      </c>
      <c r="H82" s="50">
        <f t="shared" ref="H82:H91" si="17">SUM(D82:E82,G82)</f>
        <v>-362514.7</v>
      </c>
      <c r="I82" s="29">
        <f t="shared" ref="I82:I91" si="18">+I81+H82</f>
        <v>1480933.9325000008</v>
      </c>
    </row>
    <row r="83" spans="1:9" x14ac:dyDescent="0.25">
      <c r="A83" s="8">
        <f t="shared" si="15"/>
        <v>76</v>
      </c>
      <c r="B83" s="61">
        <v>43498</v>
      </c>
      <c r="C83" s="85"/>
      <c r="D83" s="88">
        <v>-365291.08999999991</v>
      </c>
      <c r="F83" s="68">
        <v>5.1799999999999999E-2</v>
      </c>
      <c r="G83" s="30">
        <f t="shared" si="16"/>
        <v>5604.28</v>
      </c>
      <c r="H83" s="50">
        <f t="shared" si="17"/>
        <v>-359686.80999999988</v>
      </c>
      <c r="I83" s="29">
        <f t="shared" si="18"/>
        <v>1121247.122500001</v>
      </c>
    </row>
    <row r="84" spans="1:9" x14ac:dyDescent="0.25">
      <c r="A84" s="8">
        <f t="shared" si="15"/>
        <v>77</v>
      </c>
      <c r="B84" s="61">
        <v>43529</v>
      </c>
      <c r="C84" s="34"/>
      <c r="D84" s="91">
        <v>-394545.80999999994</v>
      </c>
      <c r="F84" s="68">
        <v>5.1799999999999999E-2</v>
      </c>
      <c r="G84" s="30">
        <f t="shared" si="16"/>
        <v>3988.49</v>
      </c>
      <c r="H84" s="50">
        <f t="shared" si="17"/>
        <v>-390557.31999999995</v>
      </c>
      <c r="I84" s="29">
        <f t="shared" si="18"/>
        <v>730689.80250000104</v>
      </c>
    </row>
    <row r="85" spans="1:9" x14ac:dyDescent="0.25">
      <c r="A85" s="8">
        <f t="shared" si="15"/>
        <v>78</v>
      </c>
      <c r="B85" s="61">
        <v>43560</v>
      </c>
      <c r="C85" s="34"/>
      <c r="D85" s="91">
        <v>-190206.10999999996</v>
      </c>
      <c r="F85" s="68">
        <v>5.45E-2</v>
      </c>
      <c r="G85" s="30">
        <f t="shared" si="16"/>
        <v>2886.62</v>
      </c>
      <c r="H85" s="50">
        <f t="shared" si="17"/>
        <v>-187319.48999999996</v>
      </c>
      <c r="I85" s="29">
        <f t="shared" si="18"/>
        <v>543370.31250000105</v>
      </c>
    </row>
    <row r="86" spans="1:9" x14ac:dyDescent="0.25">
      <c r="A86" s="8">
        <f t="shared" si="15"/>
        <v>79</v>
      </c>
      <c r="B86" s="61">
        <v>43591</v>
      </c>
      <c r="C86" s="34"/>
      <c r="D86" s="91">
        <v>-129816.27999999998</v>
      </c>
      <c r="F86" s="68">
        <v>5.45E-2</v>
      </c>
      <c r="G86" s="30">
        <f t="shared" si="16"/>
        <v>2173.02</v>
      </c>
      <c r="H86" s="50">
        <f t="shared" si="17"/>
        <v>-127643.25999999998</v>
      </c>
      <c r="I86" s="29">
        <f t="shared" si="18"/>
        <v>415727.05250000104</v>
      </c>
    </row>
    <row r="87" spans="1:9" x14ac:dyDescent="0.25">
      <c r="A87" s="8">
        <f t="shared" si="15"/>
        <v>80</v>
      </c>
      <c r="B87" s="61">
        <v>43622</v>
      </c>
      <c r="C87" s="34"/>
      <c r="D87" s="91">
        <v>-85508.569999999992</v>
      </c>
      <c r="F87" s="68">
        <v>5.45E-2</v>
      </c>
      <c r="G87" s="30">
        <f t="shared" si="16"/>
        <v>1693.92</v>
      </c>
      <c r="H87" s="50">
        <f t="shared" si="17"/>
        <v>-83814.649999999994</v>
      </c>
      <c r="I87" s="29">
        <f t="shared" si="18"/>
        <v>331912.40250000102</v>
      </c>
    </row>
    <row r="88" spans="1:9" x14ac:dyDescent="0.25">
      <c r="A88" s="8">
        <f t="shared" si="15"/>
        <v>81</v>
      </c>
      <c r="B88" s="61">
        <v>43653</v>
      </c>
      <c r="C88" s="34"/>
      <c r="D88" s="91">
        <v>-73221.62000000001</v>
      </c>
      <c r="F88" s="296">
        <v>5.5E-2</v>
      </c>
      <c r="G88" s="30">
        <f t="shared" si="16"/>
        <v>1353.47</v>
      </c>
      <c r="H88" s="50">
        <f t="shared" si="17"/>
        <v>-71868.150000000009</v>
      </c>
      <c r="I88" s="29">
        <f t="shared" si="18"/>
        <v>260044.25250000099</v>
      </c>
    </row>
    <row r="89" spans="1:9" x14ac:dyDescent="0.25">
      <c r="A89" s="8">
        <f t="shared" si="15"/>
        <v>82</v>
      </c>
      <c r="B89" s="61">
        <v>43684</v>
      </c>
      <c r="C89" s="34"/>
      <c r="D89" s="91">
        <v>-59251.099999999991</v>
      </c>
      <c r="F89" s="296">
        <v>5.5E-2</v>
      </c>
      <c r="G89" s="30">
        <f t="shared" si="16"/>
        <v>1056.0899999999999</v>
      </c>
      <c r="H89" s="50">
        <f t="shared" si="17"/>
        <v>-58195.009999999995</v>
      </c>
      <c r="I89" s="29">
        <f t="shared" si="18"/>
        <v>201849.24250000098</v>
      </c>
    </row>
    <row r="90" spans="1:9" x14ac:dyDescent="0.25">
      <c r="A90" s="8">
        <f t="shared" si="15"/>
        <v>83</v>
      </c>
      <c r="B90" s="61">
        <v>43715</v>
      </c>
      <c r="C90" s="34">
        <v>2</v>
      </c>
      <c r="D90" s="222">
        <v>-69783.88</v>
      </c>
      <c r="F90" s="296">
        <v>5.5E-2</v>
      </c>
      <c r="G90" s="30">
        <f t="shared" si="16"/>
        <v>765.22</v>
      </c>
      <c r="H90" s="50">
        <f t="shared" si="17"/>
        <v>-69018.66</v>
      </c>
      <c r="I90" s="29">
        <f t="shared" si="18"/>
        <v>132830.58250000098</v>
      </c>
    </row>
    <row r="91" spans="1:9" x14ac:dyDescent="0.25">
      <c r="A91" s="8">
        <f t="shared" si="15"/>
        <v>84</v>
      </c>
      <c r="B91" s="61">
        <v>43746</v>
      </c>
      <c r="C91" s="34">
        <v>2</v>
      </c>
      <c r="D91" s="222">
        <v>-147195.56000000003</v>
      </c>
      <c r="F91" s="296">
        <v>5.4199999999999998E-2</v>
      </c>
      <c r="G91" s="30">
        <f t="shared" si="16"/>
        <v>267.52999999999997</v>
      </c>
      <c r="H91" s="50">
        <f t="shared" si="17"/>
        <v>-146928.03000000003</v>
      </c>
      <c r="I91" s="29">
        <f t="shared" si="18"/>
        <v>-14097.447499999049</v>
      </c>
    </row>
    <row r="92" spans="1:9" x14ac:dyDescent="0.25">
      <c r="A92" s="8" t="e">
        <f>+#REF!+1</f>
        <v>#REF!</v>
      </c>
      <c r="B92" s="61"/>
      <c r="C92" s="85"/>
      <c r="D92" s="88"/>
      <c r="F92" s="68"/>
      <c r="G92" s="30"/>
      <c r="H92" s="50"/>
      <c r="I92" s="29"/>
    </row>
    <row r="93" spans="1:9" x14ac:dyDescent="0.25">
      <c r="A93" s="8" t="e">
        <f t="shared" si="15"/>
        <v>#REF!</v>
      </c>
    </row>
    <row r="94" spans="1:9" x14ac:dyDescent="0.25">
      <c r="A94" s="8" t="e">
        <f t="shared" si="15"/>
        <v>#REF!</v>
      </c>
      <c r="B94" s="70" t="s">
        <v>51</v>
      </c>
    </row>
    <row r="95" spans="1:9" x14ac:dyDescent="0.25">
      <c r="A95" s="8" t="e">
        <f t="shared" si="15"/>
        <v>#REF!</v>
      </c>
      <c r="B95" s="2" t="s">
        <v>74</v>
      </c>
    </row>
    <row r="96" spans="1:9" x14ac:dyDescent="0.25">
      <c r="A96" s="8" t="e">
        <f t="shared" si="15"/>
        <v>#REF!</v>
      </c>
      <c r="B96" s="6" t="s">
        <v>306</v>
      </c>
    </row>
    <row r="97" spans="1:2" x14ac:dyDescent="0.25">
      <c r="A97" s="8" t="e">
        <f t="shared" si="15"/>
        <v>#REF!</v>
      </c>
      <c r="B97" s="218" t="s">
        <v>310</v>
      </c>
    </row>
  </sheetData>
  <printOptions horizontalCentered="1"/>
  <pageMargins left="0.5" right="0.5" top="0.5" bottom="0.5" header="0.25" footer="0.25"/>
  <pageSetup scale="43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6"/>
  <sheetViews>
    <sheetView workbookViewId="0">
      <selection activeCell="H101" sqref="H101"/>
    </sheetView>
  </sheetViews>
  <sheetFormatPr defaultColWidth="8.88671875" defaultRowHeight="13.2" outlineLevelCol="1" x14ac:dyDescent="0.25"/>
  <cols>
    <col min="1" max="1" width="4.33203125" style="112" customWidth="1"/>
    <col min="2" max="2" width="17.44140625" style="114" customWidth="1"/>
    <col min="3" max="4" width="8" style="114" customWidth="1"/>
    <col min="5" max="5" width="9.109375" style="114" customWidth="1"/>
    <col min="6" max="6" width="14.109375" style="139" customWidth="1"/>
    <col min="7" max="7" width="3.88671875" style="112" customWidth="1"/>
    <col min="8" max="20" width="16.109375" style="112" customWidth="1"/>
    <col min="21" max="21" width="3.88671875" style="112" customWidth="1"/>
    <col min="22" max="32" width="16.109375" style="112" customWidth="1"/>
    <col min="33" max="33" width="19" style="112" customWidth="1"/>
    <col min="34" max="34" width="16.109375" style="112" customWidth="1"/>
    <col min="35" max="35" width="26.6640625" style="112" customWidth="1"/>
    <col min="36" max="36" width="2.44140625" style="112" customWidth="1" outlineLevel="1"/>
    <col min="37" max="37" width="21.33203125" style="112" customWidth="1" outlineLevel="1"/>
    <col min="38" max="38" width="21.6640625" style="112" customWidth="1" outlineLevel="1"/>
    <col min="39" max="41" width="26.6640625" style="133" customWidth="1"/>
    <col min="42" max="42" width="20.109375" style="112" customWidth="1"/>
    <col min="43" max="46" width="11" style="112" customWidth="1"/>
    <col min="47" max="16384" width="8.88671875" style="112"/>
  </cols>
  <sheetData>
    <row r="1" spans="1:42" ht="13.8" x14ac:dyDescent="0.25">
      <c r="B1" s="113" t="s">
        <v>77</v>
      </c>
    </row>
    <row r="2" spans="1:42" ht="13.8" x14ac:dyDescent="0.25">
      <c r="B2" s="113" t="s">
        <v>78</v>
      </c>
    </row>
    <row r="3" spans="1:42" ht="13.8" x14ac:dyDescent="0.25">
      <c r="B3" s="115" t="s">
        <v>79</v>
      </c>
    </row>
    <row r="4" spans="1:42" ht="13.8" x14ac:dyDescent="0.25">
      <c r="B4" s="113" t="s">
        <v>131</v>
      </c>
    </row>
    <row r="5" spans="1:42" x14ac:dyDescent="0.25">
      <c r="B5" s="116"/>
    </row>
    <row r="7" spans="1:42" x14ac:dyDescent="0.25">
      <c r="A7" s="117">
        <v>1</v>
      </c>
      <c r="B7" s="156" t="s">
        <v>80</v>
      </c>
      <c r="C7" s="118"/>
      <c r="D7" s="118"/>
      <c r="F7" s="119"/>
    </row>
    <row r="8" spans="1:42" x14ac:dyDescent="0.25">
      <c r="A8" s="117">
        <f t="shared" ref="A8:A72" si="0">+A7+1</f>
        <v>2</v>
      </c>
      <c r="B8" s="120"/>
      <c r="C8" s="120"/>
      <c r="D8" s="120"/>
      <c r="F8" s="119"/>
    </row>
    <row r="9" spans="1:42" x14ac:dyDescent="0.25">
      <c r="A9" s="121">
        <f t="shared" si="0"/>
        <v>3</v>
      </c>
      <c r="B9" s="122"/>
      <c r="C9" s="122"/>
      <c r="D9" s="122"/>
      <c r="E9" s="122"/>
      <c r="F9" s="140"/>
    </row>
    <row r="10" spans="1:42" s="123" customFormat="1" ht="13.8" thickBot="1" x14ac:dyDescent="0.3">
      <c r="A10" s="121">
        <f t="shared" si="0"/>
        <v>4</v>
      </c>
      <c r="B10" s="122"/>
      <c r="C10" s="122"/>
      <c r="D10" s="122"/>
      <c r="E10" s="122"/>
      <c r="F10" s="140"/>
      <c r="H10" s="308" t="s">
        <v>132</v>
      </c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V10" s="308" t="s">
        <v>44</v>
      </c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</row>
    <row r="11" spans="1:42" s="123" customFormat="1" ht="13.8" thickBot="1" x14ac:dyDescent="0.3">
      <c r="A11" s="121">
        <f t="shared" si="0"/>
        <v>5</v>
      </c>
      <c r="B11" s="122"/>
      <c r="C11" s="122"/>
      <c r="D11" s="122"/>
      <c r="E11" s="122"/>
      <c r="F11" s="135" t="s">
        <v>147</v>
      </c>
      <c r="H11" s="309" t="s">
        <v>145</v>
      </c>
      <c r="I11" s="310"/>
      <c r="J11" s="310"/>
      <c r="K11" s="311"/>
      <c r="L11" s="309" t="s">
        <v>146</v>
      </c>
      <c r="M11" s="310"/>
      <c r="N11" s="310"/>
      <c r="O11" s="310"/>
      <c r="P11" s="310"/>
      <c r="Q11" s="310"/>
      <c r="R11" s="310"/>
      <c r="S11" s="310"/>
      <c r="T11" s="311"/>
      <c r="V11" s="309" t="s">
        <v>145</v>
      </c>
      <c r="W11" s="310"/>
      <c r="X11" s="310"/>
      <c r="Y11" s="311"/>
      <c r="Z11" s="309" t="s">
        <v>146</v>
      </c>
      <c r="AA11" s="310"/>
      <c r="AB11" s="310"/>
      <c r="AC11" s="310"/>
      <c r="AD11" s="310"/>
      <c r="AE11" s="310"/>
      <c r="AF11" s="310"/>
      <c r="AG11" s="310"/>
      <c r="AH11" s="311"/>
      <c r="AI11" s="124" t="s">
        <v>314</v>
      </c>
      <c r="AJ11" s="124"/>
      <c r="AK11" s="124" t="s">
        <v>308</v>
      </c>
      <c r="AL11" s="124" t="s">
        <v>308</v>
      </c>
      <c r="AM11" s="124" t="s">
        <v>315</v>
      </c>
      <c r="AN11" s="124" t="s">
        <v>316</v>
      </c>
      <c r="AO11" s="124" t="s">
        <v>317</v>
      </c>
    </row>
    <row r="12" spans="1:42" s="123" customFormat="1" ht="15" customHeight="1" x14ac:dyDescent="0.25">
      <c r="A12" s="121">
        <f t="shared" si="0"/>
        <v>6</v>
      </c>
      <c r="B12" s="136" t="s">
        <v>130</v>
      </c>
      <c r="C12" s="134" t="s">
        <v>81</v>
      </c>
      <c r="D12" s="134" t="s">
        <v>18</v>
      </c>
      <c r="E12" s="136" t="s">
        <v>82</v>
      </c>
      <c r="F12" s="136" t="s">
        <v>129</v>
      </c>
      <c r="G12" s="126"/>
      <c r="H12" s="126" t="s">
        <v>133</v>
      </c>
      <c r="I12" s="137" t="s">
        <v>134</v>
      </c>
      <c r="J12" s="138" t="s">
        <v>135</v>
      </c>
      <c r="K12" s="137" t="s">
        <v>136</v>
      </c>
      <c r="L12" s="137" t="s">
        <v>137</v>
      </c>
      <c r="M12" s="137" t="s">
        <v>138</v>
      </c>
      <c r="N12" s="137" t="s">
        <v>139</v>
      </c>
      <c r="O12" s="137" t="s">
        <v>140</v>
      </c>
      <c r="P12" s="137" t="s">
        <v>141</v>
      </c>
      <c r="Q12" s="137" t="s">
        <v>142</v>
      </c>
      <c r="R12" s="137" t="s">
        <v>143</v>
      </c>
      <c r="S12" s="137" t="s">
        <v>144</v>
      </c>
      <c r="T12" s="137" t="s">
        <v>149</v>
      </c>
      <c r="U12" s="126"/>
      <c r="V12" s="126" t="s">
        <v>133</v>
      </c>
      <c r="W12" s="137" t="s">
        <v>134</v>
      </c>
      <c r="X12" s="138" t="s">
        <v>135</v>
      </c>
      <c r="Y12" s="137" t="s">
        <v>136</v>
      </c>
      <c r="Z12" s="137" t="s">
        <v>137</v>
      </c>
      <c r="AA12" s="137" t="s">
        <v>138</v>
      </c>
      <c r="AB12" s="137" t="s">
        <v>139</v>
      </c>
      <c r="AC12" s="137" t="s">
        <v>140</v>
      </c>
      <c r="AD12" s="137" t="s">
        <v>141</v>
      </c>
      <c r="AE12" s="137" t="s">
        <v>142</v>
      </c>
      <c r="AF12" s="137" t="s">
        <v>143</v>
      </c>
      <c r="AG12" s="137" t="s">
        <v>144</v>
      </c>
      <c r="AH12" s="137" t="s">
        <v>149</v>
      </c>
      <c r="AI12" s="223" t="s">
        <v>307</v>
      </c>
      <c r="AK12" s="123" t="s">
        <v>309</v>
      </c>
      <c r="AL12" s="123" t="s">
        <v>309</v>
      </c>
      <c r="AM12" s="223" t="s">
        <v>307</v>
      </c>
      <c r="AN12" s="223" t="s">
        <v>307</v>
      </c>
      <c r="AO12" s="223" t="s">
        <v>307</v>
      </c>
      <c r="AP12" s="234" t="s">
        <v>148</v>
      </c>
    </row>
    <row r="13" spans="1:42" s="123" customFormat="1" ht="15" customHeight="1" x14ac:dyDescent="0.25">
      <c r="A13" s="121">
        <f t="shared" si="0"/>
        <v>7</v>
      </c>
      <c r="B13" s="125"/>
      <c r="C13" s="125"/>
      <c r="D13" s="125"/>
      <c r="E13" s="125"/>
      <c r="F13" s="125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AI13" s="224"/>
      <c r="AM13" s="224"/>
      <c r="AN13" s="233"/>
      <c r="AO13" s="224"/>
      <c r="AP13" s="235"/>
    </row>
    <row r="14" spans="1:42" x14ac:dyDescent="0.25">
      <c r="A14" s="121">
        <f t="shared" si="0"/>
        <v>8</v>
      </c>
      <c r="B14" s="157" t="s">
        <v>83</v>
      </c>
      <c r="C14" s="157" t="s">
        <v>84</v>
      </c>
      <c r="D14" s="157" t="s">
        <v>85</v>
      </c>
      <c r="E14" s="157"/>
      <c r="F14" s="149">
        <v>-5.1740000000000001E-2</v>
      </c>
      <c r="G14" s="127"/>
      <c r="H14" s="161">
        <v>6407.9</v>
      </c>
      <c r="I14" s="161">
        <v>28930.9</v>
      </c>
      <c r="J14" s="161">
        <v>32718.6</v>
      </c>
      <c r="K14" s="161">
        <v>31804.2</v>
      </c>
      <c r="L14" s="161">
        <f>+'Test Year Volumes'!I6</f>
        <v>21849.670296842898</v>
      </c>
      <c r="M14" s="161">
        <f>+'Test Year Volumes'!J6</f>
        <v>16368.341609245726</v>
      </c>
      <c r="N14" s="161">
        <f>+'Test Year Volumes'!K6</f>
        <v>11033.420467211996</v>
      </c>
      <c r="O14" s="161">
        <f>+'Test Year Volumes'!L6</f>
        <v>7989.7326964442082</v>
      </c>
      <c r="P14" s="161">
        <f>+'Test Year Volumes'!M6</f>
        <v>6735.8823316682719</v>
      </c>
      <c r="Q14" s="161">
        <f>+'Test Year Volumes'!N6</f>
        <v>6702.2481211922259</v>
      </c>
      <c r="R14" s="161">
        <f>+'Test Year Volumes'!O6</f>
        <v>6976.8774498172506</v>
      </c>
      <c r="S14" s="161">
        <f>+'Test Year Volumes'!D6</f>
        <v>12956.480979861035</v>
      </c>
      <c r="T14" s="162" t="s">
        <v>150</v>
      </c>
      <c r="U14" s="127"/>
      <c r="V14" s="142">
        <f>ROUND($F14*$H14,2)</f>
        <v>-331.54</v>
      </c>
      <c r="W14" s="142">
        <f>ROUND($F14*$I14,2)</f>
        <v>-1496.88</v>
      </c>
      <c r="X14" s="142">
        <f>ROUND($F14*$J14,2)</f>
        <v>-1692.86</v>
      </c>
      <c r="Y14" s="142">
        <f>ROUND($F14*$K14,2)</f>
        <v>-1645.55</v>
      </c>
      <c r="Z14" s="142">
        <f>ROUND($F14*$L14,2)</f>
        <v>-1130.5</v>
      </c>
      <c r="AA14" s="142">
        <f>ROUND($F14*$M14,2)</f>
        <v>-846.9</v>
      </c>
      <c r="AB14" s="142">
        <f>ROUND($F14*$N14,2)</f>
        <v>-570.87</v>
      </c>
      <c r="AC14" s="142">
        <f>ROUND($F14*$O14,2)</f>
        <v>-413.39</v>
      </c>
      <c r="AD14" s="142">
        <f>ROUND($F14*$P14,2)</f>
        <v>-348.51</v>
      </c>
      <c r="AE14" s="142">
        <f>ROUND($F14*$Q14,2)</f>
        <v>-346.77</v>
      </c>
      <c r="AF14" s="142">
        <f>ROUND($F14*$R14,2)</f>
        <v>-360.98</v>
      </c>
      <c r="AG14" s="142">
        <f>ROUND($F14*$S14,2)</f>
        <v>-670.37</v>
      </c>
      <c r="AH14" s="147" t="s">
        <v>150</v>
      </c>
      <c r="AI14" s="225">
        <f>+SUM(V14:AH14)</f>
        <v>-9855.1200000000008</v>
      </c>
      <c r="AK14" s="142">
        <f>+SUM(V14:Y14)/(1-0.04372)</f>
        <v>-5403.0514075375413</v>
      </c>
      <c r="AL14" s="142">
        <f>+SUM(V14:AG14)/(1-0.04372)</f>
        <v>-10305.684527544234</v>
      </c>
      <c r="AM14" s="230">
        <f>'2017-18 Amort Detail'!AI14</f>
        <v>-8277.7999999999993</v>
      </c>
      <c r="AN14" s="230">
        <f>'2016-17 Amort Detail'!AI14</f>
        <v>-8921.25</v>
      </c>
      <c r="AO14" s="230">
        <f>'2015-16 Amort Detail'!AI14</f>
        <v>-5951.5599999999995</v>
      </c>
      <c r="AP14" s="236">
        <f>AI14+AM14+AN14+AO14</f>
        <v>-33005.729999999996</v>
      </c>
    </row>
    <row r="15" spans="1:42" x14ac:dyDescent="0.25">
      <c r="A15" s="121">
        <f t="shared" si="0"/>
        <v>9</v>
      </c>
      <c r="B15" s="158" t="s">
        <v>86</v>
      </c>
      <c r="C15" s="158" t="s">
        <v>84</v>
      </c>
      <c r="D15" s="158" t="s">
        <v>87</v>
      </c>
      <c r="E15" s="158"/>
      <c r="F15" s="149">
        <v>-4.3490000000000001E-2</v>
      </c>
      <c r="G15" s="127"/>
      <c r="H15" s="161">
        <v>1294.7</v>
      </c>
      <c r="I15" s="161">
        <v>4574</v>
      </c>
      <c r="J15" s="161">
        <v>7071.1</v>
      </c>
      <c r="K15" s="161">
        <v>4762.3</v>
      </c>
      <c r="L15" s="161">
        <f>+'Test Year Volumes'!I8</f>
        <v>4905.3614147051685</v>
      </c>
      <c r="M15" s="161">
        <f>+'Test Year Volumes'!J8</f>
        <v>3580.8482515723167</v>
      </c>
      <c r="N15" s="161">
        <f>+'Test Year Volumes'!K8</f>
        <v>2209.5848755178113</v>
      </c>
      <c r="O15" s="161">
        <f>+'Test Year Volumes'!L8</f>
        <v>1554.7207878632348</v>
      </c>
      <c r="P15" s="161">
        <f>+'Test Year Volumes'!M8</f>
        <v>1759.1636723316321</v>
      </c>
      <c r="Q15" s="161">
        <f>+'Test Year Volumes'!N8</f>
        <v>1754.0744171541789</v>
      </c>
      <c r="R15" s="161">
        <f>+'Test Year Volumes'!O8</f>
        <v>1788.0783854979602</v>
      </c>
      <c r="S15" s="161">
        <f>+'Test Year Volumes'!D8</f>
        <v>2855.2554682601694</v>
      </c>
      <c r="T15" s="162" t="s">
        <v>150</v>
      </c>
      <c r="U15" s="127"/>
      <c r="V15" s="142">
        <f t="shared" ref="V15:V78" si="1">ROUND($F15*$H15,2)</f>
        <v>-56.31</v>
      </c>
      <c r="W15" s="142">
        <f t="shared" ref="W15:W78" si="2">ROUND($F15*$I15,2)</f>
        <v>-198.92</v>
      </c>
      <c r="X15" s="142">
        <f t="shared" ref="X15:X78" si="3">ROUND($F15*$J15,2)</f>
        <v>-307.52</v>
      </c>
      <c r="Y15" s="142">
        <f t="shared" ref="Y15:Y78" si="4">ROUND($F15*$K15,2)</f>
        <v>-207.11</v>
      </c>
      <c r="Z15" s="142">
        <f t="shared" ref="Z15:Z78" si="5">ROUND($F15*$L15,2)</f>
        <v>-213.33</v>
      </c>
      <c r="AA15" s="142">
        <f t="shared" ref="AA15:AA78" si="6">ROUND($F15*$M15,2)</f>
        <v>-155.72999999999999</v>
      </c>
      <c r="AB15" s="142">
        <f t="shared" ref="AB15:AB78" si="7">ROUND($F15*$N15,2)</f>
        <v>-96.09</v>
      </c>
      <c r="AC15" s="142">
        <f t="shared" ref="AC15:AC78" si="8">ROUND($F15*$O15,2)</f>
        <v>-67.61</v>
      </c>
      <c r="AD15" s="142">
        <f t="shared" ref="AD15:AD78" si="9">ROUND($F15*$P15,2)</f>
        <v>-76.510000000000005</v>
      </c>
      <c r="AE15" s="142">
        <f t="shared" ref="AE15:AE78" si="10">ROUND($F15*$Q15,2)</f>
        <v>-76.28</v>
      </c>
      <c r="AF15" s="142">
        <f t="shared" ref="AF15:AF78" si="11">ROUND($F15*$R15,2)</f>
        <v>-77.760000000000005</v>
      </c>
      <c r="AG15" s="142">
        <f t="shared" ref="AG15:AG78" si="12">ROUND($F15*$S15,2)</f>
        <v>-124.18</v>
      </c>
      <c r="AH15" s="147" t="s">
        <v>150</v>
      </c>
      <c r="AI15" s="225">
        <f t="shared" ref="AI15:AI78" si="13">+SUM(V15:AH15)</f>
        <v>-1657.35</v>
      </c>
      <c r="AK15" s="142">
        <f t="shared" ref="AK15:AK78" si="14">+SUM(V15:Y15)/(1-0.04372)</f>
        <v>-805.05709624796089</v>
      </c>
      <c r="AL15" s="142">
        <f t="shared" ref="AL15:AL78" si="15">+SUM(V15:AG15)/(1-0.04372)</f>
        <v>-1733.1220981302547</v>
      </c>
      <c r="AM15" s="230">
        <f>'2017-18 Amort Detail'!AI15</f>
        <v>-1320.0100000000002</v>
      </c>
      <c r="AN15" s="230">
        <f>'2016-17 Amort Detail'!AI15</f>
        <v>-1294.07</v>
      </c>
      <c r="AO15" s="230">
        <f>'2015-16 Amort Detail'!AI15</f>
        <v>-613.95000000000005</v>
      </c>
      <c r="AP15" s="236">
        <f t="shared" ref="AP15:AP78" si="16">AI15+AM15+AN15+AO15</f>
        <v>-4885.38</v>
      </c>
    </row>
    <row r="16" spans="1:42" x14ac:dyDescent="0.25">
      <c r="A16" s="121">
        <f t="shared" si="0"/>
        <v>10</v>
      </c>
      <c r="B16" s="158" t="s">
        <v>88</v>
      </c>
      <c r="C16" s="158" t="s">
        <v>84</v>
      </c>
      <c r="D16" s="158" t="s">
        <v>89</v>
      </c>
      <c r="E16" s="158"/>
      <c r="F16" s="149">
        <v>-3.2210000000000003E-2</v>
      </c>
      <c r="G16" s="127"/>
      <c r="H16" s="161">
        <v>1628589.8</v>
      </c>
      <c r="I16" s="161">
        <v>7379840.7999999998</v>
      </c>
      <c r="J16" s="161">
        <v>8511896.3000000007</v>
      </c>
      <c r="K16" s="161">
        <v>8413606.6999999993</v>
      </c>
      <c r="L16" s="161">
        <f>+'Test Year Volumes'!I7</f>
        <v>5822528.0841272539</v>
      </c>
      <c r="M16" s="161">
        <f>+'Test Year Volumes'!J7</f>
        <v>4144454.1229169634</v>
      </c>
      <c r="N16" s="161">
        <f>+'Test Year Volumes'!K7</f>
        <v>2472214.2382290815</v>
      </c>
      <c r="O16" s="161">
        <f>+'Test Year Volumes'!L7</f>
        <v>1555430.5164252147</v>
      </c>
      <c r="P16" s="161">
        <f>+'Test Year Volumes'!M7</f>
        <v>1300232.82234002</v>
      </c>
      <c r="Q16" s="161">
        <f>+'Test Year Volumes'!N7</f>
        <v>1294665.2298803527</v>
      </c>
      <c r="R16" s="161">
        <f>+'Test Year Volumes'!O7</f>
        <v>1422248.8931354135</v>
      </c>
      <c r="S16" s="161">
        <f>+'Test Year Volumes'!D7</f>
        <v>3136929.0421701102</v>
      </c>
      <c r="T16" s="162" t="s">
        <v>150</v>
      </c>
      <c r="U16" s="127"/>
      <c r="V16" s="142">
        <f t="shared" si="1"/>
        <v>-52456.88</v>
      </c>
      <c r="W16" s="142">
        <f t="shared" si="2"/>
        <v>-237704.67</v>
      </c>
      <c r="X16" s="142">
        <f t="shared" si="3"/>
        <v>-274168.18</v>
      </c>
      <c r="Y16" s="142">
        <f t="shared" si="4"/>
        <v>-271002.27</v>
      </c>
      <c r="Z16" s="142">
        <f t="shared" si="5"/>
        <v>-187543.63</v>
      </c>
      <c r="AA16" s="142">
        <f t="shared" si="6"/>
        <v>-133492.87</v>
      </c>
      <c r="AB16" s="142">
        <f t="shared" si="7"/>
        <v>-79630.02</v>
      </c>
      <c r="AC16" s="142">
        <f t="shared" si="8"/>
        <v>-50100.42</v>
      </c>
      <c r="AD16" s="142">
        <f t="shared" si="9"/>
        <v>-41880.5</v>
      </c>
      <c r="AE16" s="142">
        <f t="shared" si="10"/>
        <v>-41701.17</v>
      </c>
      <c r="AF16" s="142">
        <f t="shared" si="11"/>
        <v>-45810.64</v>
      </c>
      <c r="AG16" s="142">
        <f t="shared" si="12"/>
        <v>-101040.48</v>
      </c>
      <c r="AH16" s="147" t="s">
        <v>150</v>
      </c>
      <c r="AI16" s="225">
        <f t="shared" si="13"/>
        <v>-1516531.7299999997</v>
      </c>
      <c r="AK16" s="142">
        <f t="shared" si="14"/>
        <v>-873522.39929727698</v>
      </c>
      <c r="AL16" s="142">
        <f t="shared" si="15"/>
        <v>-1585865.7819885386</v>
      </c>
      <c r="AM16" s="230">
        <f>'2017-18 Amort Detail'!AI16</f>
        <v>-1404827.0099999998</v>
      </c>
      <c r="AN16" s="230">
        <f>'2016-17 Amort Detail'!AI16</f>
        <v>-1424934.28</v>
      </c>
      <c r="AO16" s="230">
        <f>'2015-16 Amort Detail'!AI16</f>
        <v>-881433.62999999989</v>
      </c>
      <c r="AP16" s="236">
        <f t="shared" si="16"/>
        <v>-5227726.6499999994</v>
      </c>
    </row>
    <row r="17" spans="1:42" x14ac:dyDescent="0.25">
      <c r="A17" s="121">
        <f t="shared" si="0"/>
        <v>11</v>
      </c>
      <c r="B17" s="158" t="s">
        <v>90</v>
      </c>
      <c r="C17" s="158" t="s">
        <v>84</v>
      </c>
      <c r="D17" s="158" t="s">
        <v>91</v>
      </c>
      <c r="E17" s="158"/>
      <c r="F17" s="149">
        <v>-2.879E-2</v>
      </c>
      <c r="G17" s="127"/>
      <c r="H17" s="161">
        <v>442040.60000000003</v>
      </c>
      <c r="I17" s="161">
        <v>2258236.9</v>
      </c>
      <c r="J17" s="161">
        <v>2710884.2</v>
      </c>
      <c r="K17" s="161">
        <v>2689397.1999999997</v>
      </c>
      <c r="L17" s="161">
        <f>+'Test Year Volumes'!I9</f>
        <v>1891172.2441892126</v>
      </c>
      <c r="M17" s="161">
        <f>+'Test Year Volumes'!J9</f>
        <v>1371071.4054780083</v>
      </c>
      <c r="N17" s="161">
        <f>+'Test Year Volumes'!K9</f>
        <v>882511.99031729472</v>
      </c>
      <c r="O17" s="161">
        <f>+'Test Year Volumes'!L9</f>
        <v>632068.18692368048</v>
      </c>
      <c r="P17" s="161">
        <f>+'Test Year Volumes'!M9</f>
        <v>571172.13733501325</v>
      </c>
      <c r="Q17" s="161">
        <f>+'Test Year Volumes'!N9</f>
        <v>568327.83601371257</v>
      </c>
      <c r="R17" s="161">
        <f>+'Test Year Volumes'!O9</f>
        <v>582372.28866625368</v>
      </c>
      <c r="S17" s="161">
        <f>+'Test Year Volumes'!D9</f>
        <v>1056457.124108118</v>
      </c>
      <c r="T17" s="162" t="s">
        <v>150</v>
      </c>
      <c r="U17" s="127"/>
      <c r="V17" s="142">
        <f t="shared" si="1"/>
        <v>-12726.35</v>
      </c>
      <c r="W17" s="142">
        <f t="shared" si="2"/>
        <v>-65014.64</v>
      </c>
      <c r="X17" s="142">
        <f t="shared" si="3"/>
        <v>-78046.36</v>
      </c>
      <c r="Y17" s="142">
        <f t="shared" si="4"/>
        <v>-77427.75</v>
      </c>
      <c r="Z17" s="142">
        <f t="shared" si="5"/>
        <v>-54446.85</v>
      </c>
      <c r="AA17" s="142">
        <f t="shared" si="6"/>
        <v>-39473.15</v>
      </c>
      <c r="AB17" s="142">
        <f t="shared" si="7"/>
        <v>-25407.52</v>
      </c>
      <c r="AC17" s="142">
        <f t="shared" si="8"/>
        <v>-18197.240000000002</v>
      </c>
      <c r="AD17" s="142">
        <f t="shared" si="9"/>
        <v>-16444.05</v>
      </c>
      <c r="AE17" s="142">
        <f t="shared" si="10"/>
        <v>-16362.16</v>
      </c>
      <c r="AF17" s="142">
        <f t="shared" si="11"/>
        <v>-16766.5</v>
      </c>
      <c r="AG17" s="142">
        <f t="shared" si="12"/>
        <v>-30415.4</v>
      </c>
      <c r="AH17" s="147" t="s">
        <v>150</v>
      </c>
      <c r="AI17" s="225">
        <f t="shared" si="13"/>
        <v>-450727.97000000003</v>
      </c>
      <c r="AK17" s="142">
        <f t="shared" si="14"/>
        <v>-243877.42083908478</v>
      </c>
      <c r="AL17" s="142">
        <f t="shared" si="15"/>
        <v>-471334.7241393734</v>
      </c>
      <c r="AM17" s="230">
        <f>'2017-18 Amort Detail'!AI17</f>
        <v>-410610.52999999997</v>
      </c>
      <c r="AN17" s="230">
        <f>'2016-17 Amort Detail'!AI17</f>
        <v>-419401.4800000001</v>
      </c>
      <c r="AO17" s="230">
        <f>'2015-16 Amort Detail'!AI17</f>
        <v>-272214.72000000003</v>
      </c>
      <c r="AP17" s="236">
        <f t="shared" si="16"/>
        <v>-1552954.7</v>
      </c>
    </row>
    <row r="18" spans="1:42" x14ac:dyDescent="0.25">
      <c r="A18" s="121">
        <f t="shared" si="0"/>
        <v>12</v>
      </c>
      <c r="B18" s="158" t="s">
        <v>92</v>
      </c>
      <c r="C18" s="158" t="s">
        <v>84</v>
      </c>
      <c r="D18" s="158" t="s">
        <v>93</v>
      </c>
      <c r="E18" s="158"/>
      <c r="F18" s="149">
        <v>0</v>
      </c>
      <c r="G18" s="127"/>
      <c r="H18" s="161">
        <v>11324.7</v>
      </c>
      <c r="I18" s="161">
        <v>36123.300000000003</v>
      </c>
      <c r="J18" s="161">
        <v>43965.8</v>
      </c>
      <c r="K18" s="161">
        <v>43357.3</v>
      </c>
      <c r="L18" s="161">
        <f>+'Test Year Volumes'!I24</f>
        <v>56906.100000000006</v>
      </c>
      <c r="M18" s="161">
        <f>+'Test Year Volumes'!J24</f>
        <v>45634.9</v>
      </c>
      <c r="N18" s="161">
        <f>+'Test Year Volumes'!K24</f>
        <v>32808.300000000003</v>
      </c>
      <c r="O18" s="161">
        <f>+'Test Year Volumes'!L24</f>
        <v>26394.5</v>
      </c>
      <c r="P18" s="161">
        <f>+'Test Year Volumes'!M24</f>
        <v>24727.000000000004</v>
      </c>
      <c r="Q18" s="161">
        <f>+'Test Year Volumes'!N24</f>
        <v>21904.600000000002</v>
      </c>
      <c r="R18" s="161">
        <f>+'Test Year Volumes'!O24</f>
        <v>22545.999999999993</v>
      </c>
      <c r="S18" s="161">
        <f>+'Test Year Volumes'!D24</f>
        <v>25167.4</v>
      </c>
      <c r="T18" s="162" t="s">
        <v>150</v>
      </c>
      <c r="U18" s="127"/>
      <c r="V18" s="142">
        <f t="shared" si="1"/>
        <v>0</v>
      </c>
      <c r="W18" s="142">
        <f t="shared" si="2"/>
        <v>0</v>
      </c>
      <c r="X18" s="142">
        <f t="shared" si="3"/>
        <v>0</v>
      </c>
      <c r="Y18" s="142">
        <f t="shared" si="4"/>
        <v>0</v>
      </c>
      <c r="Z18" s="142">
        <f t="shared" si="5"/>
        <v>0</v>
      </c>
      <c r="AA18" s="142">
        <f t="shared" si="6"/>
        <v>0</v>
      </c>
      <c r="AB18" s="142">
        <f t="shared" si="7"/>
        <v>0</v>
      </c>
      <c r="AC18" s="142">
        <f t="shared" si="8"/>
        <v>0</v>
      </c>
      <c r="AD18" s="142">
        <f t="shared" si="9"/>
        <v>0</v>
      </c>
      <c r="AE18" s="142">
        <f t="shared" si="10"/>
        <v>0</v>
      </c>
      <c r="AF18" s="142">
        <f t="shared" si="11"/>
        <v>0</v>
      </c>
      <c r="AG18" s="142">
        <f t="shared" si="12"/>
        <v>0</v>
      </c>
      <c r="AH18" s="147" t="s">
        <v>150</v>
      </c>
      <c r="AI18" s="225">
        <f t="shared" si="13"/>
        <v>0</v>
      </c>
      <c r="AK18" s="142">
        <f t="shared" si="14"/>
        <v>0</v>
      </c>
      <c r="AL18" s="142">
        <f t="shared" si="15"/>
        <v>0</v>
      </c>
      <c r="AM18" s="230">
        <f>'2017-18 Amort Detail'!AI18</f>
        <v>0</v>
      </c>
      <c r="AN18" s="230">
        <f>'2016-17 Amort Detail'!AI18</f>
        <v>0</v>
      </c>
      <c r="AO18" s="230">
        <f>'2015-16 Amort Detail'!AI18</f>
        <v>0</v>
      </c>
      <c r="AP18" s="236">
        <f t="shared" si="16"/>
        <v>0</v>
      </c>
    </row>
    <row r="19" spans="1:42" x14ac:dyDescent="0.25">
      <c r="A19" s="121">
        <f t="shared" si="0"/>
        <v>13</v>
      </c>
      <c r="B19" s="157">
        <v>27</v>
      </c>
      <c r="C19" s="157" t="s">
        <v>84</v>
      </c>
      <c r="D19" s="157" t="s">
        <v>94</v>
      </c>
      <c r="E19" s="157"/>
      <c r="F19" s="149">
        <v>-2.1600000000000001E-2</v>
      </c>
      <c r="G19" s="127"/>
      <c r="H19" s="161">
        <v>23853.200000000001</v>
      </c>
      <c r="I19" s="161">
        <v>86344.9</v>
      </c>
      <c r="J19" s="161">
        <v>106281.9</v>
      </c>
      <c r="K19" s="161">
        <v>101292.8</v>
      </c>
      <c r="L19" s="161">
        <f>+'Test Year Volumes'!I10</f>
        <v>62823.951575120787</v>
      </c>
      <c r="M19" s="161">
        <f>+'Test Year Volumes'!J10</f>
        <v>43614.528715114866</v>
      </c>
      <c r="N19" s="161">
        <f>+'Test Year Volumes'!K10</f>
        <v>24854.764876565896</v>
      </c>
      <c r="O19" s="161">
        <f>+'Test Year Volumes'!L10</f>
        <v>15828.381828621268</v>
      </c>
      <c r="P19" s="161">
        <f>+'Test Year Volumes'!M10</f>
        <v>3838.173529512761</v>
      </c>
      <c r="Q19" s="161">
        <f>+'Test Year Volumes'!N10</f>
        <v>3861.8528937342621</v>
      </c>
      <c r="R19" s="161">
        <f>+'Test Year Volumes'!O10</f>
        <v>5146.3213168998327</v>
      </c>
      <c r="S19" s="161">
        <f>+'Test Year Volumes'!D10</f>
        <v>33460.105393483514</v>
      </c>
      <c r="T19" s="162" t="s">
        <v>150</v>
      </c>
      <c r="U19" s="127"/>
      <c r="V19" s="142">
        <f t="shared" si="1"/>
        <v>-515.23</v>
      </c>
      <c r="W19" s="142">
        <f t="shared" si="2"/>
        <v>-1865.05</v>
      </c>
      <c r="X19" s="142">
        <f t="shared" si="3"/>
        <v>-2295.69</v>
      </c>
      <c r="Y19" s="142">
        <f t="shared" si="4"/>
        <v>-2187.92</v>
      </c>
      <c r="Z19" s="142">
        <f t="shared" si="5"/>
        <v>-1357</v>
      </c>
      <c r="AA19" s="142">
        <f t="shared" si="6"/>
        <v>-942.07</v>
      </c>
      <c r="AB19" s="142">
        <f t="shared" si="7"/>
        <v>-536.86</v>
      </c>
      <c r="AC19" s="142">
        <f t="shared" si="8"/>
        <v>-341.89</v>
      </c>
      <c r="AD19" s="142">
        <f t="shared" si="9"/>
        <v>-82.9</v>
      </c>
      <c r="AE19" s="142">
        <f t="shared" si="10"/>
        <v>-83.42</v>
      </c>
      <c r="AF19" s="142">
        <f t="shared" si="11"/>
        <v>-111.16</v>
      </c>
      <c r="AG19" s="142">
        <f t="shared" si="12"/>
        <v>-722.74</v>
      </c>
      <c r="AH19" s="147" t="s">
        <v>150</v>
      </c>
      <c r="AI19" s="225">
        <f t="shared" si="13"/>
        <v>-11041.929999999998</v>
      </c>
      <c r="AK19" s="142">
        <f t="shared" si="14"/>
        <v>-7177.6990002928005</v>
      </c>
      <c r="AL19" s="142">
        <f t="shared" si="15"/>
        <v>-11546.754088760612</v>
      </c>
      <c r="AM19" s="230">
        <f>'2017-18 Amort Detail'!AI19</f>
        <v>-9481.510000000002</v>
      </c>
      <c r="AN19" s="230">
        <f>'2016-17 Amort Detail'!AI19</f>
        <v>-9158.8799999999992</v>
      </c>
      <c r="AO19" s="230">
        <f>'2015-16 Amort Detail'!AI19</f>
        <v>-4619.7899999999991</v>
      </c>
      <c r="AP19" s="236">
        <f t="shared" si="16"/>
        <v>-34302.11</v>
      </c>
    </row>
    <row r="20" spans="1:42" x14ac:dyDescent="0.25">
      <c r="A20" s="121">
        <f t="shared" si="0"/>
        <v>14</v>
      </c>
      <c r="B20" s="159" t="s">
        <v>95</v>
      </c>
      <c r="C20" s="159" t="s">
        <v>84</v>
      </c>
      <c r="D20" s="159" t="s">
        <v>96</v>
      </c>
      <c r="E20" s="159" t="s">
        <v>97</v>
      </c>
      <c r="F20" s="150">
        <v>-2.2349999999999998E-2</v>
      </c>
      <c r="G20" s="129"/>
      <c r="H20" s="163">
        <v>49292.7</v>
      </c>
      <c r="I20" s="163">
        <v>167143.20000000001</v>
      </c>
      <c r="J20" s="163">
        <v>171968.4</v>
      </c>
      <c r="K20" s="163">
        <v>172135</v>
      </c>
      <c r="L20" s="163">
        <f>+'Test Year Volumes'!I12</f>
        <v>196659.20156928882</v>
      </c>
      <c r="M20" s="163">
        <f>+'Test Year Volumes'!J12</f>
        <v>153914.24842065727</v>
      </c>
      <c r="N20" s="163">
        <f>+'Test Year Volumes'!K12</f>
        <v>115943.42348042765</v>
      </c>
      <c r="O20" s="163">
        <f>+'Test Year Volumes'!L12</f>
        <v>91687.863495131372</v>
      </c>
      <c r="P20" s="163">
        <f>+'Test Year Volumes'!M12</f>
        <v>76585.274374214394</v>
      </c>
      <c r="Q20" s="163">
        <f>+'Test Year Volumes'!N12</f>
        <v>76448.909299498147</v>
      </c>
      <c r="R20" s="163">
        <f>+'Test Year Volumes'!O12</f>
        <v>76410.067477146265</v>
      </c>
      <c r="S20" s="163">
        <f>+'Test Year Volumes'!D12</f>
        <v>127322.45967226822</v>
      </c>
      <c r="T20" s="164" t="s">
        <v>150</v>
      </c>
      <c r="U20" s="129"/>
      <c r="V20" s="143">
        <f t="shared" si="1"/>
        <v>-1101.69</v>
      </c>
      <c r="W20" s="143">
        <f t="shared" si="2"/>
        <v>-3735.65</v>
      </c>
      <c r="X20" s="143">
        <f t="shared" si="3"/>
        <v>-3843.49</v>
      </c>
      <c r="Y20" s="143">
        <f t="shared" si="4"/>
        <v>-3847.22</v>
      </c>
      <c r="Z20" s="143">
        <f t="shared" si="5"/>
        <v>-4395.33</v>
      </c>
      <c r="AA20" s="143">
        <f t="shared" si="6"/>
        <v>-3439.98</v>
      </c>
      <c r="AB20" s="143">
        <f t="shared" si="7"/>
        <v>-2591.34</v>
      </c>
      <c r="AC20" s="143">
        <f t="shared" si="8"/>
        <v>-2049.2199999999998</v>
      </c>
      <c r="AD20" s="143">
        <f t="shared" si="9"/>
        <v>-1711.68</v>
      </c>
      <c r="AE20" s="143">
        <f t="shared" si="10"/>
        <v>-1708.63</v>
      </c>
      <c r="AF20" s="143">
        <f t="shared" si="11"/>
        <v>-1707.77</v>
      </c>
      <c r="AG20" s="143">
        <f t="shared" si="12"/>
        <v>-2845.66</v>
      </c>
      <c r="AH20" s="148" t="s">
        <v>150</v>
      </c>
      <c r="AI20" s="226">
        <f t="shared" si="13"/>
        <v>-32977.660000000003</v>
      </c>
      <c r="AK20" s="143">
        <f t="shared" si="14"/>
        <v>-13100.817752122808</v>
      </c>
      <c r="AL20" s="143">
        <f t="shared" si="15"/>
        <v>-34485.359936420296</v>
      </c>
      <c r="AM20" s="230">
        <f>'2017-18 Amort Detail'!AI20</f>
        <v>-35891.129999999997</v>
      </c>
      <c r="AN20" s="230">
        <f>'2016-17 Amort Detail'!AI20</f>
        <v>-31964.419999999995</v>
      </c>
      <c r="AO20" s="230">
        <f>'2015-16 Amort Detail'!AI20</f>
        <v>-23789.010000000002</v>
      </c>
      <c r="AP20" s="236">
        <f t="shared" si="16"/>
        <v>-124622.22</v>
      </c>
    </row>
    <row r="21" spans="1:42" x14ac:dyDescent="0.25">
      <c r="A21" s="121">
        <f t="shared" si="0"/>
        <v>15</v>
      </c>
      <c r="B21" s="160" t="s">
        <v>96</v>
      </c>
      <c r="C21" s="160" t="s">
        <v>84</v>
      </c>
      <c r="D21" s="160" t="s">
        <v>96</v>
      </c>
      <c r="E21" s="160" t="s">
        <v>98</v>
      </c>
      <c r="F21" s="149">
        <v>-1.9689999999999999E-2</v>
      </c>
      <c r="G21" s="127"/>
      <c r="H21" s="161">
        <v>54223.199999999997</v>
      </c>
      <c r="I21" s="161">
        <v>270175.90000000002</v>
      </c>
      <c r="J21" s="161">
        <v>339449.9</v>
      </c>
      <c r="K21" s="161">
        <v>329068</v>
      </c>
      <c r="L21" s="161">
        <f>+'Test Year Volumes'!I13</f>
        <v>194197.50258929923</v>
      </c>
      <c r="M21" s="161">
        <f>+'Test Year Volumes'!J13</f>
        <v>151987.61317898257</v>
      </c>
      <c r="N21" s="161">
        <f>+'Test Year Volumes'!K13</f>
        <v>114492.09140422317</v>
      </c>
      <c r="O21" s="161">
        <f>+'Test Year Volumes'!L13</f>
        <v>90540.152540127499</v>
      </c>
      <c r="P21" s="161">
        <f>+'Test Year Volumes'!M13</f>
        <v>75626.611416647153</v>
      </c>
      <c r="Q21" s="161">
        <f>+'Test Year Volumes'!N13</f>
        <v>75491.95330383585</v>
      </c>
      <c r="R21" s="161">
        <f>+'Test Year Volumes'!O13</f>
        <v>75453.597687436704</v>
      </c>
      <c r="S21" s="161">
        <f>+'Test Year Volumes'!D13</f>
        <v>125728.68950233005</v>
      </c>
      <c r="T21" s="162" t="s">
        <v>150</v>
      </c>
      <c r="U21" s="127"/>
      <c r="V21" s="142">
        <f t="shared" si="1"/>
        <v>-1067.6500000000001</v>
      </c>
      <c r="W21" s="142">
        <f t="shared" si="2"/>
        <v>-5319.76</v>
      </c>
      <c r="X21" s="142">
        <f t="shared" si="3"/>
        <v>-6683.77</v>
      </c>
      <c r="Y21" s="142">
        <f t="shared" si="4"/>
        <v>-6479.35</v>
      </c>
      <c r="Z21" s="142">
        <f t="shared" si="5"/>
        <v>-3823.75</v>
      </c>
      <c r="AA21" s="142">
        <f t="shared" si="6"/>
        <v>-2992.64</v>
      </c>
      <c r="AB21" s="142">
        <f t="shared" si="7"/>
        <v>-2254.35</v>
      </c>
      <c r="AC21" s="142">
        <f t="shared" si="8"/>
        <v>-1782.74</v>
      </c>
      <c r="AD21" s="142">
        <f t="shared" si="9"/>
        <v>-1489.09</v>
      </c>
      <c r="AE21" s="142">
        <f t="shared" si="10"/>
        <v>-1486.44</v>
      </c>
      <c r="AF21" s="142">
        <f t="shared" si="11"/>
        <v>-1485.68</v>
      </c>
      <c r="AG21" s="142">
        <f t="shared" si="12"/>
        <v>-2475.6</v>
      </c>
      <c r="AH21" s="147" t="s">
        <v>150</v>
      </c>
      <c r="AI21" s="225">
        <f t="shared" si="13"/>
        <v>-37340.82</v>
      </c>
      <c r="AK21" s="142">
        <f t="shared" si="14"/>
        <v>-20444.357301208849</v>
      </c>
      <c r="AL21" s="142">
        <f t="shared" si="15"/>
        <v>-39047.998494164887</v>
      </c>
      <c r="AM21" s="230">
        <f>'2017-18 Amort Detail'!AI21</f>
        <v>-31728.68</v>
      </c>
      <c r="AN21" s="230">
        <f>'2016-17 Amort Detail'!AI21</f>
        <v>-28525.739999999998</v>
      </c>
      <c r="AO21" s="230">
        <f>'2015-16 Amort Detail'!AI21</f>
        <v>-17018.870000000003</v>
      </c>
      <c r="AP21" s="236">
        <f t="shared" si="16"/>
        <v>-114614.10999999999</v>
      </c>
    </row>
    <row r="22" spans="1:42" x14ac:dyDescent="0.25">
      <c r="A22" s="121">
        <f t="shared" si="0"/>
        <v>16</v>
      </c>
      <c r="B22" s="159" t="s">
        <v>99</v>
      </c>
      <c r="C22" s="159" t="s">
        <v>84</v>
      </c>
      <c r="D22" s="159" t="s">
        <v>100</v>
      </c>
      <c r="E22" s="159" t="s">
        <v>97</v>
      </c>
      <c r="F22" s="150">
        <v>-2.1219999999999999E-2</v>
      </c>
      <c r="G22" s="129"/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4" t="s">
        <v>150</v>
      </c>
      <c r="U22" s="129"/>
      <c r="V22" s="143">
        <f t="shared" si="1"/>
        <v>0</v>
      </c>
      <c r="W22" s="143">
        <f t="shared" si="2"/>
        <v>0</v>
      </c>
      <c r="X22" s="143">
        <f t="shared" si="3"/>
        <v>0</v>
      </c>
      <c r="Y22" s="143">
        <f t="shared" si="4"/>
        <v>0</v>
      </c>
      <c r="Z22" s="143">
        <f t="shared" si="5"/>
        <v>0</v>
      </c>
      <c r="AA22" s="143">
        <f t="shared" si="6"/>
        <v>0</v>
      </c>
      <c r="AB22" s="143">
        <f t="shared" si="7"/>
        <v>0</v>
      </c>
      <c r="AC22" s="143">
        <f t="shared" si="8"/>
        <v>0</v>
      </c>
      <c r="AD22" s="143">
        <f t="shared" si="9"/>
        <v>0</v>
      </c>
      <c r="AE22" s="143">
        <f t="shared" si="10"/>
        <v>0</v>
      </c>
      <c r="AF22" s="143">
        <f t="shared" si="11"/>
        <v>0</v>
      </c>
      <c r="AG22" s="143">
        <f t="shared" si="12"/>
        <v>0</v>
      </c>
      <c r="AH22" s="148" t="s">
        <v>150</v>
      </c>
      <c r="AI22" s="226">
        <f t="shared" si="13"/>
        <v>0</v>
      </c>
      <c r="AK22" s="143">
        <f t="shared" si="14"/>
        <v>0</v>
      </c>
      <c r="AL22" s="143">
        <f t="shared" si="15"/>
        <v>0</v>
      </c>
      <c r="AM22" s="230">
        <f>'2017-18 Amort Detail'!AI22</f>
        <v>0</v>
      </c>
      <c r="AN22" s="230">
        <f>'2016-17 Amort Detail'!AI22</f>
        <v>0</v>
      </c>
      <c r="AO22" s="230">
        <f>'2015-16 Amort Detail'!AI22</f>
        <v>0</v>
      </c>
      <c r="AP22" s="236">
        <f t="shared" si="16"/>
        <v>0</v>
      </c>
    </row>
    <row r="23" spans="1:42" x14ac:dyDescent="0.25">
      <c r="A23" s="121">
        <f t="shared" si="0"/>
        <v>17</v>
      </c>
      <c r="B23" s="160" t="s">
        <v>100</v>
      </c>
      <c r="C23" s="160" t="s">
        <v>84</v>
      </c>
      <c r="D23" s="160" t="s">
        <v>100</v>
      </c>
      <c r="E23" s="160" t="s">
        <v>98</v>
      </c>
      <c r="F23" s="149">
        <v>-1.8700000000000001E-2</v>
      </c>
      <c r="G23" s="127"/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2" t="s">
        <v>150</v>
      </c>
      <c r="U23" s="127"/>
      <c r="V23" s="142">
        <f t="shared" si="1"/>
        <v>0</v>
      </c>
      <c r="W23" s="142">
        <f t="shared" si="2"/>
        <v>0</v>
      </c>
      <c r="X23" s="142">
        <f t="shared" si="3"/>
        <v>0</v>
      </c>
      <c r="Y23" s="142">
        <f t="shared" si="4"/>
        <v>0</v>
      </c>
      <c r="Z23" s="142">
        <f t="shared" si="5"/>
        <v>0</v>
      </c>
      <c r="AA23" s="142">
        <f t="shared" si="6"/>
        <v>0</v>
      </c>
      <c r="AB23" s="142">
        <f t="shared" si="7"/>
        <v>0</v>
      </c>
      <c r="AC23" s="142">
        <f t="shared" si="8"/>
        <v>0</v>
      </c>
      <c r="AD23" s="142">
        <f t="shared" si="9"/>
        <v>0</v>
      </c>
      <c r="AE23" s="142">
        <f t="shared" si="10"/>
        <v>0</v>
      </c>
      <c r="AF23" s="142">
        <f t="shared" si="11"/>
        <v>0</v>
      </c>
      <c r="AG23" s="142">
        <f t="shared" si="12"/>
        <v>0</v>
      </c>
      <c r="AH23" s="147" t="s">
        <v>150</v>
      </c>
      <c r="AI23" s="225">
        <f t="shared" si="13"/>
        <v>0</v>
      </c>
      <c r="AK23" s="142">
        <f t="shared" si="14"/>
        <v>0</v>
      </c>
      <c r="AL23" s="142">
        <f t="shared" si="15"/>
        <v>0</v>
      </c>
      <c r="AM23" s="230">
        <f>'2017-18 Amort Detail'!AI23</f>
        <v>0</v>
      </c>
      <c r="AN23" s="230">
        <f>'2016-17 Amort Detail'!AI23</f>
        <v>0</v>
      </c>
      <c r="AO23" s="230">
        <f>'2015-16 Amort Detail'!AI23</f>
        <v>0</v>
      </c>
      <c r="AP23" s="236">
        <f t="shared" si="16"/>
        <v>0</v>
      </c>
    </row>
    <row r="24" spans="1:42" x14ac:dyDescent="0.25">
      <c r="A24" s="121">
        <f t="shared" si="0"/>
        <v>18</v>
      </c>
      <c r="B24" s="159" t="s">
        <v>101</v>
      </c>
      <c r="C24" s="159" t="s">
        <v>84</v>
      </c>
      <c r="D24" s="159" t="s">
        <v>102</v>
      </c>
      <c r="E24" s="159" t="s">
        <v>97</v>
      </c>
      <c r="F24" s="150">
        <v>0</v>
      </c>
      <c r="G24" s="129"/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4" t="s">
        <v>150</v>
      </c>
      <c r="U24" s="129"/>
      <c r="V24" s="143">
        <f t="shared" si="1"/>
        <v>0</v>
      </c>
      <c r="W24" s="143">
        <f t="shared" si="2"/>
        <v>0</v>
      </c>
      <c r="X24" s="143">
        <f t="shared" si="3"/>
        <v>0</v>
      </c>
      <c r="Y24" s="143">
        <f t="shared" si="4"/>
        <v>0</v>
      </c>
      <c r="Z24" s="143">
        <f t="shared" si="5"/>
        <v>0</v>
      </c>
      <c r="AA24" s="143">
        <f t="shared" si="6"/>
        <v>0</v>
      </c>
      <c r="AB24" s="143">
        <f t="shared" si="7"/>
        <v>0</v>
      </c>
      <c r="AC24" s="143">
        <f t="shared" si="8"/>
        <v>0</v>
      </c>
      <c r="AD24" s="143">
        <f t="shared" si="9"/>
        <v>0</v>
      </c>
      <c r="AE24" s="143">
        <f t="shared" si="10"/>
        <v>0</v>
      </c>
      <c r="AF24" s="143">
        <f t="shared" si="11"/>
        <v>0</v>
      </c>
      <c r="AG24" s="143">
        <f t="shared" si="12"/>
        <v>0</v>
      </c>
      <c r="AH24" s="148" t="s">
        <v>150</v>
      </c>
      <c r="AI24" s="226">
        <f t="shared" si="13"/>
        <v>0</v>
      </c>
      <c r="AK24" s="143">
        <f t="shared" si="14"/>
        <v>0</v>
      </c>
      <c r="AL24" s="143">
        <f t="shared" si="15"/>
        <v>0</v>
      </c>
      <c r="AM24" s="230">
        <f>'2017-18 Amort Detail'!AI24</f>
        <v>0</v>
      </c>
      <c r="AN24" s="230">
        <f>'2016-17 Amort Detail'!AI24</f>
        <v>0</v>
      </c>
      <c r="AO24" s="230">
        <f>'2015-16 Amort Detail'!AI24</f>
        <v>0</v>
      </c>
      <c r="AP24" s="236">
        <f t="shared" si="16"/>
        <v>0</v>
      </c>
    </row>
    <row r="25" spans="1:42" x14ac:dyDescent="0.25">
      <c r="A25" s="121">
        <f t="shared" si="0"/>
        <v>19</v>
      </c>
      <c r="B25" s="160" t="s">
        <v>102</v>
      </c>
      <c r="C25" s="160" t="s">
        <v>84</v>
      </c>
      <c r="D25" s="160" t="s">
        <v>102</v>
      </c>
      <c r="E25" s="160" t="s">
        <v>98</v>
      </c>
      <c r="F25" s="149">
        <v>0</v>
      </c>
      <c r="G25" s="127"/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2" t="s">
        <v>150</v>
      </c>
      <c r="U25" s="127"/>
      <c r="V25" s="142">
        <f t="shared" si="1"/>
        <v>0</v>
      </c>
      <c r="W25" s="142">
        <f t="shared" si="2"/>
        <v>0</v>
      </c>
      <c r="X25" s="142">
        <f t="shared" si="3"/>
        <v>0</v>
      </c>
      <c r="Y25" s="142">
        <f t="shared" si="4"/>
        <v>0</v>
      </c>
      <c r="Z25" s="142">
        <f t="shared" si="5"/>
        <v>0</v>
      </c>
      <c r="AA25" s="142">
        <f t="shared" si="6"/>
        <v>0</v>
      </c>
      <c r="AB25" s="142">
        <f t="shared" si="7"/>
        <v>0</v>
      </c>
      <c r="AC25" s="142">
        <f t="shared" si="8"/>
        <v>0</v>
      </c>
      <c r="AD25" s="142">
        <f t="shared" si="9"/>
        <v>0</v>
      </c>
      <c r="AE25" s="142">
        <f t="shared" si="10"/>
        <v>0</v>
      </c>
      <c r="AF25" s="142">
        <f t="shared" si="11"/>
        <v>0</v>
      </c>
      <c r="AG25" s="142">
        <f t="shared" si="12"/>
        <v>0</v>
      </c>
      <c r="AH25" s="147" t="s">
        <v>150</v>
      </c>
      <c r="AI25" s="225">
        <f t="shared" si="13"/>
        <v>0</v>
      </c>
      <c r="AK25" s="142">
        <f t="shared" si="14"/>
        <v>0</v>
      </c>
      <c r="AL25" s="142">
        <f t="shared" si="15"/>
        <v>0</v>
      </c>
      <c r="AM25" s="230">
        <f>'2017-18 Amort Detail'!AI25</f>
        <v>0</v>
      </c>
      <c r="AN25" s="230">
        <f>'2016-17 Amort Detail'!AI25</f>
        <v>0</v>
      </c>
      <c r="AO25" s="230">
        <f>'2015-16 Amort Detail'!AI25</f>
        <v>0</v>
      </c>
      <c r="AP25" s="236">
        <f t="shared" si="16"/>
        <v>0</v>
      </c>
    </row>
    <row r="26" spans="1:42" x14ac:dyDescent="0.25">
      <c r="A26" s="121">
        <f t="shared" si="0"/>
        <v>20</v>
      </c>
      <c r="B26" s="159" t="s">
        <v>103</v>
      </c>
      <c r="C26" s="159" t="s">
        <v>84</v>
      </c>
      <c r="D26" s="159" t="s">
        <v>104</v>
      </c>
      <c r="E26" s="159" t="s">
        <v>97</v>
      </c>
      <c r="F26" s="150">
        <v>0</v>
      </c>
      <c r="G26" s="129"/>
      <c r="H26" s="165">
        <v>32000</v>
      </c>
      <c r="I26" s="165">
        <v>34000</v>
      </c>
      <c r="J26" s="163">
        <v>34000</v>
      </c>
      <c r="K26" s="163">
        <v>34000</v>
      </c>
      <c r="L26" s="163">
        <f>+'Test Year Volumes'!I51</f>
        <v>34000</v>
      </c>
      <c r="M26" s="163">
        <f>+'Test Year Volumes'!J51</f>
        <v>33916</v>
      </c>
      <c r="N26" s="163">
        <f>+'Test Year Volumes'!K51</f>
        <v>30904</v>
      </c>
      <c r="O26" s="163">
        <f>+'Test Year Volumes'!L51</f>
        <v>29011</v>
      </c>
      <c r="P26" s="163">
        <f>+'Test Year Volumes'!M51</f>
        <v>23334</v>
      </c>
      <c r="Q26" s="163">
        <f>+'Test Year Volumes'!N51</f>
        <v>24130</v>
      </c>
      <c r="R26" s="163">
        <f>+'Test Year Volumes'!O51</f>
        <v>28307</v>
      </c>
      <c r="S26" s="163">
        <f>+'Test Year Volumes'!D51</f>
        <v>33682</v>
      </c>
      <c r="T26" s="164" t="s">
        <v>150</v>
      </c>
      <c r="U26" s="129"/>
      <c r="V26" s="144">
        <f t="shared" si="1"/>
        <v>0</v>
      </c>
      <c r="W26" s="144">
        <f t="shared" si="2"/>
        <v>0</v>
      </c>
      <c r="X26" s="144">
        <f t="shared" si="3"/>
        <v>0</v>
      </c>
      <c r="Y26" s="144">
        <f t="shared" si="4"/>
        <v>0</v>
      </c>
      <c r="Z26" s="144">
        <f t="shared" si="5"/>
        <v>0</v>
      </c>
      <c r="AA26" s="144">
        <f t="shared" si="6"/>
        <v>0</v>
      </c>
      <c r="AB26" s="144">
        <f t="shared" si="7"/>
        <v>0</v>
      </c>
      <c r="AC26" s="144">
        <f t="shared" si="8"/>
        <v>0</v>
      </c>
      <c r="AD26" s="144">
        <f t="shared" si="9"/>
        <v>0</v>
      </c>
      <c r="AE26" s="144">
        <f t="shared" si="10"/>
        <v>0</v>
      </c>
      <c r="AF26" s="144">
        <f t="shared" si="11"/>
        <v>0</v>
      </c>
      <c r="AG26" s="144">
        <f t="shared" si="12"/>
        <v>0</v>
      </c>
      <c r="AH26" s="151" t="s">
        <v>150</v>
      </c>
      <c r="AI26" s="227">
        <f t="shared" si="13"/>
        <v>0</v>
      </c>
      <c r="AK26" s="144">
        <f t="shared" si="14"/>
        <v>0</v>
      </c>
      <c r="AL26" s="144">
        <f t="shared" si="15"/>
        <v>0</v>
      </c>
      <c r="AM26" s="230">
        <f>'2017-18 Amort Detail'!AI26</f>
        <v>0</v>
      </c>
      <c r="AN26" s="230">
        <f>'2016-17 Amort Detail'!AI26</f>
        <v>0</v>
      </c>
      <c r="AO26" s="230">
        <f>'2015-16 Amort Detail'!AI26</f>
        <v>0</v>
      </c>
      <c r="AP26" s="236">
        <f t="shared" si="16"/>
        <v>0</v>
      </c>
    </row>
    <row r="27" spans="1:42" x14ac:dyDescent="0.25">
      <c r="A27" s="121">
        <f t="shared" si="0"/>
        <v>21</v>
      </c>
      <c r="B27" s="160" t="s">
        <v>104</v>
      </c>
      <c r="C27" s="160" t="s">
        <v>84</v>
      </c>
      <c r="D27" s="160" t="s">
        <v>104</v>
      </c>
      <c r="E27" s="160" t="s">
        <v>98</v>
      </c>
      <c r="F27" s="149">
        <v>0</v>
      </c>
      <c r="G27" s="127"/>
      <c r="H27" s="161">
        <v>61917</v>
      </c>
      <c r="I27" s="161">
        <v>90166</v>
      </c>
      <c r="J27" s="161">
        <v>93007</v>
      </c>
      <c r="K27" s="161">
        <v>102637</v>
      </c>
      <c r="L27" s="161">
        <f>+'Test Year Volumes'!I52</f>
        <v>80087</v>
      </c>
      <c r="M27" s="161">
        <f>+'Test Year Volumes'!J52</f>
        <v>49539</v>
      </c>
      <c r="N27" s="161">
        <f>+'Test Year Volumes'!K52</f>
        <v>19141</v>
      </c>
      <c r="O27" s="161">
        <f>+'Test Year Volumes'!L52</f>
        <v>14417</v>
      </c>
      <c r="P27" s="161">
        <f>+'Test Year Volumes'!M52</f>
        <v>6034</v>
      </c>
      <c r="Q27" s="161">
        <f>+'Test Year Volumes'!N52</f>
        <v>6106</v>
      </c>
      <c r="R27" s="161">
        <f>+'Test Year Volumes'!O52</f>
        <v>13980</v>
      </c>
      <c r="S27" s="161">
        <f>+'Test Year Volumes'!D52</f>
        <v>42959</v>
      </c>
      <c r="T27" s="162" t="s">
        <v>150</v>
      </c>
      <c r="U27" s="127"/>
      <c r="V27" s="142">
        <f t="shared" si="1"/>
        <v>0</v>
      </c>
      <c r="W27" s="142">
        <f t="shared" si="2"/>
        <v>0</v>
      </c>
      <c r="X27" s="142">
        <f t="shared" si="3"/>
        <v>0</v>
      </c>
      <c r="Y27" s="142">
        <f t="shared" si="4"/>
        <v>0</v>
      </c>
      <c r="Z27" s="142">
        <f t="shared" si="5"/>
        <v>0</v>
      </c>
      <c r="AA27" s="142">
        <f t="shared" si="6"/>
        <v>0</v>
      </c>
      <c r="AB27" s="142">
        <f t="shared" si="7"/>
        <v>0</v>
      </c>
      <c r="AC27" s="142">
        <f t="shared" si="8"/>
        <v>0</v>
      </c>
      <c r="AD27" s="142">
        <f t="shared" si="9"/>
        <v>0</v>
      </c>
      <c r="AE27" s="142">
        <f t="shared" si="10"/>
        <v>0</v>
      </c>
      <c r="AF27" s="142">
        <f t="shared" si="11"/>
        <v>0</v>
      </c>
      <c r="AG27" s="142">
        <f t="shared" si="12"/>
        <v>0</v>
      </c>
      <c r="AH27" s="147" t="s">
        <v>150</v>
      </c>
      <c r="AI27" s="225">
        <f t="shared" si="13"/>
        <v>0</v>
      </c>
      <c r="AK27" s="142">
        <f t="shared" si="14"/>
        <v>0</v>
      </c>
      <c r="AL27" s="142">
        <f t="shared" si="15"/>
        <v>0</v>
      </c>
      <c r="AM27" s="230">
        <f>'2017-18 Amort Detail'!AI27</f>
        <v>0</v>
      </c>
      <c r="AN27" s="230">
        <f>'2016-17 Amort Detail'!AI27</f>
        <v>0</v>
      </c>
      <c r="AO27" s="230">
        <f>'2015-16 Amort Detail'!AI27</f>
        <v>0</v>
      </c>
      <c r="AP27" s="236">
        <f t="shared" si="16"/>
        <v>0</v>
      </c>
    </row>
    <row r="28" spans="1:42" x14ac:dyDescent="0.25">
      <c r="A28" s="121">
        <f t="shared" si="0"/>
        <v>22</v>
      </c>
      <c r="B28" s="159" t="s">
        <v>105</v>
      </c>
      <c r="C28" s="159" t="s">
        <v>84</v>
      </c>
      <c r="D28" s="159" t="s">
        <v>106</v>
      </c>
      <c r="E28" s="159" t="s">
        <v>97</v>
      </c>
      <c r="F28" s="150">
        <v>0</v>
      </c>
      <c r="G28" s="129"/>
      <c r="H28" s="163">
        <v>7845.5</v>
      </c>
      <c r="I28" s="163">
        <v>34000</v>
      </c>
      <c r="J28" s="163">
        <v>34000</v>
      </c>
      <c r="K28" s="163">
        <v>34000</v>
      </c>
      <c r="L28" s="163">
        <f>+'Test Year Volumes'!I26</f>
        <v>30000</v>
      </c>
      <c r="M28" s="163">
        <f>+'Test Year Volumes'!J26</f>
        <v>29800</v>
      </c>
      <c r="N28" s="163">
        <f>+'Test Year Volumes'!K26</f>
        <v>28490.799999999999</v>
      </c>
      <c r="O28" s="163">
        <f>+'Test Year Volumes'!L26</f>
        <v>23629.7</v>
      </c>
      <c r="P28" s="163">
        <f>+'Test Year Volumes'!M26</f>
        <v>22839.5</v>
      </c>
      <c r="Q28" s="163">
        <f>+'Test Year Volumes'!N26</f>
        <v>20498.8</v>
      </c>
      <c r="R28" s="163">
        <f>+'Test Year Volumes'!O26</f>
        <v>20771.5</v>
      </c>
      <c r="S28" s="163">
        <f>+'Test Year Volumes'!D26</f>
        <v>27144.100000000002</v>
      </c>
      <c r="T28" s="164" t="s">
        <v>150</v>
      </c>
      <c r="U28" s="129"/>
      <c r="V28" s="143">
        <f t="shared" si="1"/>
        <v>0</v>
      </c>
      <c r="W28" s="143">
        <f t="shared" si="2"/>
        <v>0</v>
      </c>
      <c r="X28" s="143">
        <f t="shared" si="3"/>
        <v>0</v>
      </c>
      <c r="Y28" s="143">
        <f t="shared" si="4"/>
        <v>0</v>
      </c>
      <c r="Z28" s="143">
        <f t="shared" si="5"/>
        <v>0</v>
      </c>
      <c r="AA28" s="143">
        <f t="shared" si="6"/>
        <v>0</v>
      </c>
      <c r="AB28" s="143">
        <f t="shared" si="7"/>
        <v>0</v>
      </c>
      <c r="AC28" s="143">
        <f t="shared" si="8"/>
        <v>0</v>
      </c>
      <c r="AD28" s="143">
        <f t="shared" si="9"/>
        <v>0</v>
      </c>
      <c r="AE28" s="143">
        <f t="shared" si="10"/>
        <v>0</v>
      </c>
      <c r="AF28" s="143">
        <f t="shared" si="11"/>
        <v>0</v>
      </c>
      <c r="AG28" s="143">
        <f t="shared" si="12"/>
        <v>0</v>
      </c>
      <c r="AH28" s="148" t="s">
        <v>150</v>
      </c>
      <c r="AI28" s="226">
        <f t="shared" si="13"/>
        <v>0</v>
      </c>
      <c r="AK28" s="143">
        <f t="shared" si="14"/>
        <v>0</v>
      </c>
      <c r="AL28" s="143">
        <f t="shared" si="15"/>
        <v>0</v>
      </c>
      <c r="AM28" s="230">
        <f>'2017-18 Amort Detail'!AI28</f>
        <v>0</v>
      </c>
      <c r="AN28" s="230">
        <f>'2016-17 Amort Detail'!AI28</f>
        <v>0</v>
      </c>
      <c r="AO28" s="230">
        <f>'2015-16 Amort Detail'!AI28</f>
        <v>0</v>
      </c>
      <c r="AP28" s="236">
        <f t="shared" si="16"/>
        <v>0</v>
      </c>
    </row>
    <row r="29" spans="1:42" x14ac:dyDescent="0.25">
      <c r="A29" s="121">
        <f t="shared" si="0"/>
        <v>23</v>
      </c>
      <c r="B29" s="160" t="s">
        <v>106</v>
      </c>
      <c r="C29" s="160" t="s">
        <v>84</v>
      </c>
      <c r="D29" s="160" t="s">
        <v>106</v>
      </c>
      <c r="E29" s="160" t="s">
        <v>98</v>
      </c>
      <c r="F29" s="149">
        <v>0</v>
      </c>
      <c r="G29" s="127"/>
      <c r="H29" s="161">
        <v>7910.3</v>
      </c>
      <c r="I29" s="161">
        <v>70042.899999999994</v>
      </c>
      <c r="J29" s="161">
        <v>87195.4</v>
      </c>
      <c r="K29" s="161">
        <v>82158.8</v>
      </c>
      <c r="L29" s="161">
        <f>+'Test Year Volumes'!I27</f>
        <v>46932.399999999994</v>
      </c>
      <c r="M29" s="161">
        <f>+'Test Year Volumes'!J27</f>
        <v>36555.399999999994</v>
      </c>
      <c r="N29" s="161">
        <f>+'Test Year Volumes'!K27</f>
        <v>23370.000000000011</v>
      </c>
      <c r="O29" s="161">
        <f>+'Test Year Volumes'!L27</f>
        <v>15775.3</v>
      </c>
      <c r="P29" s="161">
        <f>+'Test Year Volumes'!M27</f>
        <v>15584.800000000003</v>
      </c>
      <c r="Q29" s="161">
        <f>+'Test Year Volumes'!N27</f>
        <v>13993.099999999995</v>
      </c>
      <c r="R29" s="161">
        <f>+'Test Year Volumes'!O27</f>
        <v>16201.800000000003</v>
      </c>
      <c r="S29" s="161">
        <f>+'Test Year Volumes'!D27</f>
        <v>17821.499999999996</v>
      </c>
      <c r="T29" s="162" t="s">
        <v>150</v>
      </c>
      <c r="U29" s="127"/>
      <c r="V29" s="142">
        <f t="shared" si="1"/>
        <v>0</v>
      </c>
      <c r="W29" s="142">
        <f t="shared" si="2"/>
        <v>0</v>
      </c>
      <c r="X29" s="142">
        <f t="shared" si="3"/>
        <v>0</v>
      </c>
      <c r="Y29" s="142">
        <f t="shared" si="4"/>
        <v>0</v>
      </c>
      <c r="Z29" s="142">
        <f t="shared" si="5"/>
        <v>0</v>
      </c>
      <c r="AA29" s="142">
        <f t="shared" si="6"/>
        <v>0</v>
      </c>
      <c r="AB29" s="142">
        <f t="shared" si="7"/>
        <v>0</v>
      </c>
      <c r="AC29" s="142">
        <f t="shared" si="8"/>
        <v>0</v>
      </c>
      <c r="AD29" s="142">
        <f t="shared" si="9"/>
        <v>0</v>
      </c>
      <c r="AE29" s="142">
        <f t="shared" si="10"/>
        <v>0</v>
      </c>
      <c r="AF29" s="142">
        <f t="shared" si="11"/>
        <v>0</v>
      </c>
      <c r="AG29" s="142">
        <f t="shared" si="12"/>
        <v>0</v>
      </c>
      <c r="AH29" s="147" t="s">
        <v>150</v>
      </c>
      <c r="AI29" s="225">
        <f t="shared" si="13"/>
        <v>0</v>
      </c>
      <c r="AK29" s="142">
        <f t="shared" si="14"/>
        <v>0</v>
      </c>
      <c r="AL29" s="142">
        <f t="shared" si="15"/>
        <v>0</v>
      </c>
      <c r="AM29" s="230">
        <f>'2017-18 Amort Detail'!AI29</f>
        <v>0</v>
      </c>
      <c r="AN29" s="230">
        <f>'2016-17 Amort Detail'!AI29</f>
        <v>0</v>
      </c>
      <c r="AO29" s="230">
        <f>'2015-16 Amort Detail'!AI29</f>
        <v>0</v>
      </c>
      <c r="AP29" s="236">
        <f t="shared" si="16"/>
        <v>0</v>
      </c>
    </row>
    <row r="30" spans="1:42" x14ac:dyDescent="0.25">
      <c r="A30" s="121">
        <f t="shared" si="0"/>
        <v>24</v>
      </c>
      <c r="B30" s="159" t="s">
        <v>107</v>
      </c>
      <c r="C30" s="159" t="s">
        <v>84</v>
      </c>
      <c r="D30" s="159" t="s">
        <v>108</v>
      </c>
      <c r="E30" s="159" t="s">
        <v>97</v>
      </c>
      <c r="F30" s="150">
        <v>0</v>
      </c>
      <c r="G30" s="129"/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4" t="s">
        <v>150</v>
      </c>
      <c r="U30" s="129"/>
      <c r="V30" s="143">
        <f t="shared" si="1"/>
        <v>0</v>
      </c>
      <c r="W30" s="143">
        <f t="shared" si="2"/>
        <v>0</v>
      </c>
      <c r="X30" s="143">
        <f t="shared" si="3"/>
        <v>0</v>
      </c>
      <c r="Y30" s="143">
        <f t="shared" si="4"/>
        <v>0</v>
      </c>
      <c r="Z30" s="143">
        <f t="shared" si="5"/>
        <v>0</v>
      </c>
      <c r="AA30" s="143">
        <f t="shared" si="6"/>
        <v>0</v>
      </c>
      <c r="AB30" s="143">
        <f t="shared" si="7"/>
        <v>0</v>
      </c>
      <c r="AC30" s="143">
        <f t="shared" si="8"/>
        <v>0</v>
      </c>
      <c r="AD30" s="143">
        <f t="shared" si="9"/>
        <v>0</v>
      </c>
      <c r="AE30" s="143">
        <f t="shared" si="10"/>
        <v>0</v>
      </c>
      <c r="AF30" s="143">
        <f t="shared" si="11"/>
        <v>0</v>
      </c>
      <c r="AG30" s="143">
        <f t="shared" si="12"/>
        <v>0</v>
      </c>
      <c r="AH30" s="148" t="s">
        <v>150</v>
      </c>
      <c r="AI30" s="226">
        <f t="shared" si="13"/>
        <v>0</v>
      </c>
      <c r="AK30" s="143">
        <f t="shared" si="14"/>
        <v>0</v>
      </c>
      <c r="AL30" s="143">
        <f t="shared" si="15"/>
        <v>0</v>
      </c>
      <c r="AM30" s="230">
        <f>'2017-18 Amort Detail'!AI30</f>
        <v>0</v>
      </c>
      <c r="AN30" s="230">
        <f>'2016-17 Amort Detail'!AI30</f>
        <v>0</v>
      </c>
      <c r="AO30" s="230">
        <f>'2015-16 Amort Detail'!AI30</f>
        <v>0</v>
      </c>
      <c r="AP30" s="236">
        <f t="shared" si="16"/>
        <v>0</v>
      </c>
    </row>
    <row r="31" spans="1:42" x14ac:dyDescent="0.25">
      <c r="A31" s="121">
        <f t="shared" si="0"/>
        <v>25</v>
      </c>
      <c r="B31" s="160" t="s">
        <v>108</v>
      </c>
      <c r="C31" s="160" t="s">
        <v>84</v>
      </c>
      <c r="D31" s="160" t="s">
        <v>108</v>
      </c>
      <c r="E31" s="160" t="s">
        <v>98</v>
      </c>
      <c r="F31" s="149">
        <v>0</v>
      </c>
      <c r="G31" s="127"/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2" t="s">
        <v>150</v>
      </c>
      <c r="U31" s="127"/>
      <c r="V31" s="142">
        <f t="shared" si="1"/>
        <v>0</v>
      </c>
      <c r="W31" s="142">
        <f t="shared" si="2"/>
        <v>0</v>
      </c>
      <c r="X31" s="142">
        <f t="shared" si="3"/>
        <v>0</v>
      </c>
      <c r="Y31" s="142">
        <f t="shared" si="4"/>
        <v>0</v>
      </c>
      <c r="Z31" s="142">
        <f t="shared" si="5"/>
        <v>0</v>
      </c>
      <c r="AA31" s="142">
        <f t="shared" si="6"/>
        <v>0</v>
      </c>
      <c r="AB31" s="142">
        <f t="shared" si="7"/>
        <v>0</v>
      </c>
      <c r="AC31" s="142">
        <f t="shared" si="8"/>
        <v>0</v>
      </c>
      <c r="AD31" s="142">
        <f t="shared" si="9"/>
        <v>0</v>
      </c>
      <c r="AE31" s="142">
        <f t="shared" si="10"/>
        <v>0</v>
      </c>
      <c r="AF31" s="142">
        <f t="shared" si="11"/>
        <v>0</v>
      </c>
      <c r="AG31" s="142">
        <f t="shared" si="12"/>
        <v>0</v>
      </c>
      <c r="AH31" s="147" t="s">
        <v>150</v>
      </c>
      <c r="AI31" s="225">
        <f t="shared" si="13"/>
        <v>0</v>
      </c>
      <c r="AK31" s="142">
        <f t="shared" si="14"/>
        <v>0</v>
      </c>
      <c r="AL31" s="142">
        <f t="shared" si="15"/>
        <v>0</v>
      </c>
      <c r="AM31" s="230">
        <f>'2017-18 Amort Detail'!AI31</f>
        <v>0</v>
      </c>
      <c r="AN31" s="230">
        <f>'2016-17 Amort Detail'!AI31</f>
        <v>0</v>
      </c>
      <c r="AO31" s="230">
        <f>'2015-16 Amort Detail'!AI31</f>
        <v>0</v>
      </c>
      <c r="AP31" s="236">
        <f t="shared" si="16"/>
        <v>0</v>
      </c>
    </row>
    <row r="32" spans="1:42" x14ac:dyDescent="0.25">
      <c r="A32" s="121">
        <f t="shared" si="0"/>
        <v>26</v>
      </c>
      <c r="B32" s="159" t="s">
        <v>109</v>
      </c>
      <c r="C32" s="159" t="s">
        <v>84</v>
      </c>
      <c r="D32" s="159" t="s">
        <v>110</v>
      </c>
      <c r="E32" s="159" t="s">
        <v>97</v>
      </c>
      <c r="F32" s="150">
        <v>-1.244E-2</v>
      </c>
      <c r="G32" s="129"/>
      <c r="H32" s="163">
        <v>14113</v>
      </c>
      <c r="I32" s="163">
        <v>55765.8</v>
      </c>
      <c r="J32" s="163">
        <v>55831</v>
      </c>
      <c r="K32" s="163">
        <v>57745.1</v>
      </c>
      <c r="L32" s="163">
        <f>+'Test Year Volumes'!I16</f>
        <v>41461.97100188108</v>
      </c>
      <c r="M32" s="163">
        <f>+'Test Year Volumes'!J16</f>
        <v>32196.299868149435</v>
      </c>
      <c r="N32" s="163">
        <f>+'Test Year Volumes'!K16</f>
        <v>24165.751575310009</v>
      </c>
      <c r="O32" s="163">
        <f>+'Test Year Volumes'!L16</f>
        <v>19572.169794814909</v>
      </c>
      <c r="P32" s="163">
        <f>+'Test Year Volumes'!M16</f>
        <v>13299.693567150405</v>
      </c>
      <c r="Q32" s="163">
        <f>+'Test Year Volumes'!N16</f>
        <v>8845.7411590260745</v>
      </c>
      <c r="R32" s="163">
        <f>+'Test Year Volumes'!O16</f>
        <v>11161.53166684791</v>
      </c>
      <c r="S32" s="163">
        <f>+'Test Year Volumes'!D16</f>
        <v>27650.187898451848</v>
      </c>
      <c r="T32" s="164" t="s">
        <v>150</v>
      </c>
      <c r="U32" s="129"/>
      <c r="V32" s="143">
        <f t="shared" si="1"/>
        <v>-175.57</v>
      </c>
      <c r="W32" s="143">
        <f t="shared" si="2"/>
        <v>-693.73</v>
      </c>
      <c r="X32" s="143">
        <f t="shared" si="3"/>
        <v>-694.54</v>
      </c>
      <c r="Y32" s="143">
        <f t="shared" si="4"/>
        <v>-718.35</v>
      </c>
      <c r="Z32" s="143">
        <f t="shared" si="5"/>
        <v>-515.79</v>
      </c>
      <c r="AA32" s="143">
        <f t="shared" si="6"/>
        <v>-400.52</v>
      </c>
      <c r="AB32" s="143">
        <f t="shared" si="7"/>
        <v>-300.62</v>
      </c>
      <c r="AC32" s="143">
        <f t="shared" si="8"/>
        <v>-243.48</v>
      </c>
      <c r="AD32" s="143">
        <f t="shared" si="9"/>
        <v>-165.45</v>
      </c>
      <c r="AE32" s="143">
        <f t="shared" si="10"/>
        <v>-110.04</v>
      </c>
      <c r="AF32" s="143">
        <f t="shared" si="11"/>
        <v>-138.85</v>
      </c>
      <c r="AG32" s="143">
        <f t="shared" si="12"/>
        <v>-343.97</v>
      </c>
      <c r="AH32" s="148" t="s">
        <v>150</v>
      </c>
      <c r="AI32" s="226">
        <f t="shared" si="13"/>
        <v>-4500.91</v>
      </c>
      <c r="AK32" s="143">
        <f t="shared" si="14"/>
        <v>-2386.5290500690176</v>
      </c>
      <c r="AL32" s="143">
        <f t="shared" si="15"/>
        <v>-4706.6863261806166</v>
      </c>
      <c r="AM32" s="230">
        <f>'2017-18 Amort Detail'!AI32</f>
        <v>-7188.3499999999995</v>
      </c>
      <c r="AN32" s="230">
        <f>'2016-17 Amort Detail'!AI32</f>
        <v>-5135.5999999999995</v>
      </c>
      <c r="AO32" s="230">
        <f>'2015-16 Amort Detail'!AI32</f>
        <v>-4536.17</v>
      </c>
      <c r="AP32" s="236">
        <f t="shared" si="16"/>
        <v>-21361.03</v>
      </c>
    </row>
    <row r="33" spans="1:42" x14ac:dyDescent="0.25">
      <c r="A33" s="121">
        <f t="shared" si="0"/>
        <v>27</v>
      </c>
      <c r="B33" s="159" t="s">
        <v>110</v>
      </c>
      <c r="C33" s="159" t="s">
        <v>84</v>
      </c>
      <c r="D33" s="159" t="s">
        <v>110</v>
      </c>
      <c r="E33" s="159" t="s">
        <v>98</v>
      </c>
      <c r="F33" s="150">
        <v>-1.1140000000000001E-2</v>
      </c>
      <c r="G33" s="129"/>
      <c r="H33" s="163">
        <v>2394.9</v>
      </c>
      <c r="I33" s="163">
        <v>57756.3</v>
      </c>
      <c r="J33" s="163">
        <v>69136.800000000003</v>
      </c>
      <c r="K33" s="163">
        <v>69229.7</v>
      </c>
      <c r="L33" s="163">
        <f>+'Test Year Volumes'!I17</f>
        <v>32776.831475174513</v>
      </c>
      <c r="M33" s="163">
        <f>+'Test Year Volumes'!J17</f>
        <v>25452.062924230973</v>
      </c>
      <c r="N33" s="163">
        <f>+'Test Year Volumes'!K17</f>
        <v>19103.693040037426</v>
      </c>
      <c r="O33" s="163">
        <f>+'Test Year Volumes'!L17</f>
        <v>15472.339965194718</v>
      </c>
      <c r="P33" s="163">
        <f>+'Test Year Volumes'!M17</f>
        <v>10513.774530935207</v>
      </c>
      <c r="Q33" s="163">
        <f>+'Test Year Volumes'!N17</f>
        <v>6992.8023255155549</v>
      </c>
      <c r="R33" s="163">
        <f>+'Test Year Volumes'!O17</f>
        <v>8823.4985845824813</v>
      </c>
      <c r="S33" s="163">
        <f>+'Test Year Volumes'!D17</f>
        <v>21858.236043900299</v>
      </c>
      <c r="T33" s="164" t="s">
        <v>150</v>
      </c>
      <c r="U33" s="129"/>
      <c r="V33" s="143">
        <f t="shared" si="1"/>
        <v>-26.68</v>
      </c>
      <c r="W33" s="143">
        <f t="shared" si="2"/>
        <v>-643.41</v>
      </c>
      <c r="X33" s="143">
        <f t="shared" si="3"/>
        <v>-770.18</v>
      </c>
      <c r="Y33" s="143">
        <f t="shared" si="4"/>
        <v>-771.22</v>
      </c>
      <c r="Z33" s="143">
        <f t="shared" si="5"/>
        <v>-365.13</v>
      </c>
      <c r="AA33" s="143">
        <f t="shared" si="6"/>
        <v>-283.54000000000002</v>
      </c>
      <c r="AB33" s="143">
        <f t="shared" si="7"/>
        <v>-212.82</v>
      </c>
      <c r="AC33" s="143">
        <f t="shared" si="8"/>
        <v>-172.36</v>
      </c>
      <c r="AD33" s="143">
        <f t="shared" si="9"/>
        <v>-117.12</v>
      </c>
      <c r="AE33" s="143">
        <f t="shared" si="10"/>
        <v>-77.900000000000006</v>
      </c>
      <c r="AF33" s="143">
        <f t="shared" si="11"/>
        <v>-98.29</v>
      </c>
      <c r="AG33" s="143">
        <f t="shared" si="12"/>
        <v>-243.5</v>
      </c>
      <c r="AH33" s="148" t="s">
        <v>150</v>
      </c>
      <c r="AI33" s="226">
        <f t="shared" si="13"/>
        <v>-3782.15</v>
      </c>
      <c r="AK33" s="143">
        <f t="shared" si="14"/>
        <v>-2312.5967289915084</v>
      </c>
      <c r="AL33" s="143">
        <f t="shared" si="15"/>
        <v>-3955.065461998578</v>
      </c>
      <c r="AM33" s="230">
        <f>'2017-18 Amort Detail'!AI33</f>
        <v>-5267.7600000000011</v>
      </c>
      <c r="AN33" s="230">
        <f>'2016-17 Amort Detail'!AI33</f>
        <v>-2439.52</v>
      </c>
      <c r="AO33" s="230">
        <f>'2015-16 Amort Detail'!AI33</f>
        <v>-1527.7499999999998</v>
      </c>
      <c r="AP33" s="236">
        <f t="shared" si="16"/>
        <v>-13017.180000000002</v>
      </c>
    </row>
    <row r="34" spans="1:42" x14ac:dyDescent="0.25">
      <c r="A34" s="121">
        <f t="shared" si="0"/>
        <v>28</v>
      </c>
      <c r="B34" s="159"/>
      <c r="C34" s="159" t="s">
        <v>84</v>
      </c>
      <c r="D34" s="159" t="s">
        <v>110</v>
      </c>
      <c r="E34" s="159" t="s">
        <v>111</v>
      </c>
      <c r="F34" s="150">
        <v>-8.5400000000000007E-3</v>
      </c>
      <c r="G34" s="129"/>
      <c r="H34" s="163">
        <v>0</v>
      </c>
      <c r="I34" s="163">
        <v>19346.599999999999</v>
      </c>
      <c r="J34" s="163">
        <v>26047.8</v>
      </c>
      <c r="K34" s="163">
        <v>24306.799999999999</v>
      </c>
      <c r="L34" s="163">
        <f>+'Test Year Volumes'!I18</f>
        <v>8217.438270553901</v>
      </c>
      <c r="M34" s="163">
        <f>+'Test Year Volumes'!J18</f>
        <v>6381.054742784836</v>
      </c>
      <c r="N34" s="163">
        <f>+'Test Year Volumes'!K18</f>
        <v>4789.4628989693056</v>
      </c>
      <c r="O34" s="163">
        <f>+'Test Year Volumes'!L18</f>
        <v>3879.0509284373934</v>
      </c>
      <c r="P34" s="163">
        <f>+'Test Year Volumes'!M18</f>
        <v>2635.8952134808769</v>
      </c>
      <c r="Q34" s="163">
        <f>+'Test Year Volumes'!N18</f>
        <v>1753.1566921480132</v>
      </c>
      <c r="R34" s="163">
        <f>+'Test Year Volumes'!O18</f>
        <v>2212.1282529717191</v>
      </c>
      <c r="S34" s="163">
        <f>+'Test Year Volumes'!D18</f>
        <v>5480.0509173680175</v>
      </c>
      <c r="T34" s="164" t="s">
        <v>150</v>
      </c>
      <c r="U34" s="129"/>
      <c r="V34" s="143">
        <f t="shared" si="1"/>
        <v>0</v>
      </c>
      <c r="W34" s="143">
        <f t="shared" si="2"/>
        <v>-165.22</v>
      </c>
      <c r="X34" s="143">
        <f t="shared" si="3"/>
        <v>-222.45</v>
      </c>
      <c r="Y34" s="143">
        <f t="shared" si="4"/>
        <v>-207.58</v>
      </c>
      <c r="Z34" s="143">
        <f t="shared" si="5"/>
        <v>-70.180000000000007</v>
      </c>
      <c r="AA34" s="143">
        <f t="shared" si="6"/>
        <v>-54.49</v>
      </c>
      <c r="AB34" s="143">
        <f t="shared" si="7"/>
        <v>-40.9</v>
      </c>
      <c r="AC34" s="143">
        <f t="shared" si="8"/>
        <v>-33.130000000000003</v>
      </c>
      <c r="AD34" s="143">
        <f t="shared" si="9"/>
        <v>-22.51</v>
      </c>
      <c r="AE34" s="143">
        <f t="shared" si="10"/>
        <v>-14.97</v>
      </c>
      <c r="AF34" s="143">
        <f t="shared" si="11"/>
        <v>-18.89</v>
      </c>
      <c r="AG34" s="143">
        <f t="shared" si="12"/>
        <v>-46.8</v>
      </c>
      <c r="AH34" s="148" t="s">
        <v>150</v>
      </c>
      <c r="AI34" s="226">
        <f t="shared" si="13"/>
        <v>-897.12</v>
      </c>
      <c r="AK34" s="143">
        <f t="shared" si="14"/>
        <v>-622.46413184422966</v>
      </c>
      <c r="AL34" s="143">
        <f t="shared" si="15"/>
        <v>-938.13527418747651</v>
      </c>
      <c r="AM34" s="230">
        <f>'2017-18 Amort Detail'!AI34</f>
        <v>-963.55000000000007</v>
      </c>
      <c r="AN34" s="230">
        <f>'2016-17 Amort Detail'!AI34</f>
        <v>-239.54999999999998</v>
      </c>
      <c r="AO34" s="230">
        <f>'2015-16 Amort Detail'!AI34</f>
        <v>-26.45</v>
      </c>
      <c r="AP34" s="236">
        <f t="shared" si="16"/>
        <v>-2126.67</v>
      </c>
    </row>
    <row r="35" spans="1:42" x14ac:dyDescent="0.25">
      <c r="A35" s="121">
        <f t="shared" si="0"/>
        <v>29</v>
      </c>
      <c r="B35" s="159"/>
      <c r="C35" s="159" t="s">
        <v>84</v>
      </c>
      <c r="D35" s="159" t="s">
        <v>110</v>
      </c>
      <c r="E35" s="159" t="s">
        <v>112</v>
      </c>
      <c r="F35" s="150">
        <v>-6.8399999999999997E-3</v>
      </c>
      <c r="G35" s="129"/>
      <c r="H35" s="163">
        <v>0</v>
      </c>
      <c r="I35" s="163">
        <v>0</v>
      </c>
      <c r="J35" s="163">
        <v>9434.9</v>
      </c>
      <c r="K35" s="163">
        <v>417.6</v>
      </c>
      <c r="L35" s="163">
        <f>+'Test Year Volumes'!I19</f>
        <v>132.28987364222161</v>
      </c>
      <c r="M35" s="163">
        <f>+'Test Year Volumes'!J19</f>
        <v>102.72653080364481</v>
      </c>
      <c r="N35" s="163">
        <f>+'Test Year Volumes'!K19</f>
        <v>77.10400989432074</v>
      </c>
      <c r="O35" s="163">
        <f>+'Test Year Volumes'!L19</f>
        <v>62.44758284507752</v>
      </c>
      <c r="P35" s="163">
        <f>+'Test Year Volumes'!M19</f>
        <v>42.434422169625563</v>
      </c>
      <c r="Q35" s="163">
        <f>+'Test Year Volumes'!N19</f>
        <v>28.223501003998763</v>
      </c>
      <c r="R35" s="163">
        <f>+'Test Year Volumes'!O19</f>
        <v>35.612335308275021</v>
      </c>
      <c r="S35" s="163">
        <f>+'Test Year Volumes'!D19</f>
        <v>88.221562431364589</v>
      </c>
      <c r="T35" s="164" t="s">
        <v>150</v>
      </c>
      <c r="U35" s="129"/>
      <c r="V35" s="143">
        <f t="shared" si="1"/>
        <v>0</v>
      </c>
      <c r="W35" s="143">
        <f t="shared" si="2"/>
        <v>0</v>
      </c>
      <c r="X35" s="143">
        <f t="shared" si="3"/>
        <v>-64.53</v>
      </c>
      <c r="Y35" s="143">
        <f t="shared" si="4"/>
        <v>-2.86</v>
      </c>
      <c r="Z35" s="143">
        <f t="shared" si="5"/>
        <v>-0.9</v>
      </c>
      <c r="AA35" s="143">
        <f t="shared" si="6"/>
        <v>-0.7</v>
      </c>
      <c r="AB35" s="143">
        <f t="shared" si="7"/>
        <v>-0.53</v>
      </c>
      <c r="AC35" s="143">
        <f t="shared" si="8"/>
        <v>-0.43</v>
      </c>
      <c r="AD35" s="143">
        <f t="shared" si="9"/>
        <v>-0.28999999999999998</v>
      </c>
      <c r="AE35" s="143">
        <f t="shared" si="10"/>
        <v>-0.19</v>
      </c>
      <c r="AF35" s="143">
        <f t="shared" si="11"/>
        <v>-0.24</v>
      </c>
      <c r="AG35" s="143">
        <f t="shared" si="12"/>
        <v>-0.6</v>
      </c>
      <c r="AH35" s="148" t="s">
        <v>150</v>
      </c>
      <c r="AI35" s="226">
        <f t="shared" si="13"/>
        <v>-71.27000000000001</v>
      </c>
      <c r="AK35" s="143">
        <f t="shared" si="14"/>
        <v>-70.470991759735639</v>
      </c>
      <c r="AL35" s="143">
        <f t="shared" si="15"/>
        <v>-74.528380808968095</v>
      </c>
      <c r="AM35" s="230">
        <f>'2017-18 Amort Detail'!AI35</f>
        <v>-12.45</v>
      </c>
      <c r="AN35" s="230">
        <f>'2016-17 Amort Detail'!AI35</f>
        <v>0</v>
      </c>
      <c r="AO35" s="230">
        <f>'2015-16 Amort Detail'!AI35</f>
        <v>0</v>
      </c>
      <c r="AP35" s="236">
        <f t="shared" si="16"/>
        <v>-83.720000000000013</v>
      </c>
    </row>
    <row r="36" spans="1:42" x14ac:dyDescent="0.25">
      <c r="A36" s="121">
        <f t="shared" si="0"/>
        <v>30</v>
      </c>
      <c r="B36" s="159"/>
      <c r="C36" s="159" t="s">
        <v>84</v>
      </c>
      <c r="D36" s="159" t="s">
        <v>110</v>
      </c>
      <c r="E36" s="159" t="s">
        <v>113</v>
      </c>
      <c r="F36" s="150">
        <v>-4.5500000000000002E-3</v>
      </c>
      <c r="G36" s="129"/>
      <c r="H36" s="163">
        <v>0</v>
      </c>
      <c r="I36" s="163">
        <v>0</v>
      </c>
      <c r="J36" s="163">
        <v>0</v>
      </c>
      <c r="K36" s="163">
        <v>0</v>
      </c>
      <c r="L36" s="163">
        <f>+'Test Year Volumes'!I20</f>
        <v>0</v>
      </c>
      <c r="M36" s="163">
        <f>+'Test Year Volumes'!J20</f>
        <v>0</v>
      </c>
      <c r="N36" s="163">
        <f>+'Test Year Volumes'!K20</f>
        <v>0</v>
      </c>
      <c r="O36" s="163">
        <f>+'Test Year Volumes'!L20</f>
        <v>0</v>
      </c>
      <c r="P36" s="163">
        <f>+'Test Year Volumes'!M20</f>
        <v>0</v>
      </c>
      <c r="Q36" s="163">
        <f>+'Test Year Volumes'!N20</f>
        <v>0</v>
      </c>
      <c r="R36" s="163">
        <f>+'Test Year Volumes'!O20</f>
        <v>0</v>
      </c>
      <c r="S36" s="163">
        <f>+'Test Year Volumes'!D20</f>
        <v>0</v>
      </c>
      <c r="T36" s="164" t="s">
        <v>150</v>
      </c>
      <c r="U36" s="129"/>
      <c r="V36" s="143">
        <f t="shared" si="1"/>
        <v>0</v>
      </c>
      <c r="W36" s="143">
        <f t="shared" si="2"/>
        <v>0</v>
      </c>
      <c r="X36" s="143">
        <f t="shared" si="3"/>
        <v>0</v>
      </c>
      <c r="Y36" s="143">
        <f t="shared" si="4"/>
        <v>0</v>
      </c>
      <c r="Z36" s="143">
        <f t="shared" si="5"/>
        <v>0</v>
      </c>
      <c r="AA36" s="143">
        <f t="shared" si="6"/>
        <v>0</v>
      </c>
      <c r="AB36" s="143">
        <f t="shared" si="7"/>
        <v>0</v>
      </c>
      <c r="AC36" s="143">
        <f t="shared" si="8"/>
        <v>0</v>
      </c>
      <c r="AD36" s="143">
        <f t="shared" si="9"/>
        <v>0</v>
      </c>
      <c r="AE36" s="143">
        <f t="shared" si="10"/>
        <v>0</v>
      </c>
      <c r="AF36" s="143">
        <f t="shared" si="11"/>
        <v>0</v>
      </c>
      <c r="AG36" s="143">
        <f t="shared" si="12"/>
        <v>0</v>
      </c>
      <c r="AH36" s="148" t="s">
        <v>150</v>
      </c>
      <c r="AI36" s="226">
        <f t="shared" si="13"/>
        <v>0</v>
      </c>
      <c r="AK36" s="143">
        <f t="shared" si="14"/>
        <v>0</v>
      </c>
      <c r="AL36" s="143">
        <f t="shared" si="15"/>
        <v>0</v>
      </c>
      <c r="AM36" s="230">
        <f>'2017-18 Amort Detail'!AI36</f>
        <v>0</v>
      </c>
      <c r="AN36" s="230">
        <f>'2016-17 Amort Detail'!AI36</f>
        <v>0</v>
      </c>
      <c r="AO36" s="230">
        <f>'2015-16 Amort Detail'!AI36</f>
        <v>0</v>
      </c>
      <c r="AP36" s="236">
        <f t="shared" si="16"/>
        <v>0</v>
      </c>
    </row>
    <row r="37" spans="1:42" x14ac:dyDescent="0.25">
      <c r="A37" s="121">
        <f t="shared" si="0"/>
        <v>31</v>
      </c>
      <c r="B37" s="160"/>
      <c r="C37" s="160" t="s">
        <v>84</v>
      </c>
      <c r="D37" s="160" t="s">
        <v>110</v>
      </c>
      <c r="E37" s="160" t="s">
        <v>114</v>
      </c>
      <c r="F37" s="149">
        <v>-1.7099999999999999E-3</v>
      </c>
      <c r="G37" s="127"/>
      <c r="H37" s="161">
        <v>0</v>
      </c>
      <c r="I37" s="161">
        <v>0</v>
      </c>
      <c r="J37" s="161">
        <v>0</v>
      </c>
      <c r="K37" s="161">
        <v>0</v>
      </c>
      <c r="L37" s="161">
        <f>+'Test Year Volumes'!I21</f>
        <v>0</v>
      </c>
      <c r="M37" s="161">
        <f>+'Test Year Volumes'!J21</f>
        <v>0</v>
      </c>
      <c r="N37" s="161">
        <f>+'Test Year Volumes'!K21</f>
        <v>0</v>
      </c>
      <c r="O37" s="161">
        <f>+'Test Year Volumes'!L21</f>
        <v>0</v>
      </c>
      <c r="P37" s="161">
        <f>+'Test Year Volumes'!M21</f>
        <v>0</v>
      </c>
      <c r="Q37" s="161">
        <f>+'Test Year Volumes'!N21</f>
        <v>0</v>
      </c>
      <c r="R37" s="161">
        <f>+'Test Year Volumes'!O21</f>
        <v>0</v>
      </c>
      <c r="S37" s="161">
        <f>+'Test Year Volumes'!D21</f>
        <v>0</v>
      </c>
      <c r="T37" s="162" t="s">
        <v>150</v>
      </c>
      <c r="U37" s="127"/>
      <c r="V37" s="142">
        <f t="shared" si="1"/>
        <v>0</v>
      </c>
      <c r="W37" s="142">
        <f t="shared" si="2"/>
        <v>0</v>
      </c>
      <c r="X37" s="142">
        <f t="shared" si="3"/>
        <v>0</v>
      </c>
      <c r="Y37" s="142">
        <f t="shared" si="4"/>
        <v>0</v>
      </c>
      <c r="Z37" s="142">
        <f t="shared" si="5"/>
        <v>0</v>
      </c>
      <c r="AA37" s="142">
        <f t="shared" si="6"/>
        <v>0</v>
      </c>
      <c r="AB37" s="142">
        <f t="shared" si="7"/>
        <v>0</v>
      </c>
      <c r="AC37" s="142">
        <f t="shared" si="8"/>
        <v>0</v>
      </c>
      <c r="AD37" s="142">
        <f t="shared" si="9"/>
        <v>0</v>
      </c>
      <c r="AE37" s="142">
        <f t="shared" si="10"/>
        <v>0</v>
      </c>
      <c r="AF37" s="142">
        <f t="shared" si="11"/>
        <v>0</v>
      </c>
      <c r="AG37" s="142">
        <f t="shared" si="12"/>
        <v>0</v>
      </c>
      <c r="AH37" s="147" t="s">
        <v>150</v>
      </c>
      <c r="AI37" s="225">
        <f t="shared" si="13"/>
        <v>0</v>
      </c>
      <c r="AK37" s="142">
        <f t="shared" si="14"/>
        <v>0</v>
      </c>
      <c r="AL37" s="142">
        <f t="shared" si="15"/>
        <v>0</v>
      </c>
      <c r="AM37" s="230">
        <f>'2017-18 Amort Detail'!AI37</f>
        <v>0</v>
      </c>
      <c r="AN37" s="230">
        <f>'2016-17 Amort Detail'!AI37</f>
        <v>0</v>
      </c>
      <c r="AO37" s="230">
        <f>'2015-16 Amort Detail'!AI37</f>
        <v>0</v>
      </c>
      <c r="AP37" s="236">
        <f t="shared" si="16"/>
        <v>0</v>
      </c>
    </row>
    <row r="38" spans="1:42" ht="12" customHeight="1" x14ac:dyDescent="0.25">
      <c r="A38" s="121">
        <f t="shared" si="0"/>
        <v>32</v>
      </c>
      <c r="B38" s="159" t="s">
        <v>115</v>
      </c>
      <c r="C38" s="159" t="s">
        <v>84</v>
      </c>
      <c r="D38" s="159" t="s">
        <v>116</v>
      </c>
      <c r="E38" s="159" t="s">
        <v>97</v>
      </c>
      <c r="F38" s="150">
        <v>0</v>
      </c>
      <c r="G38" s="129"/>
      <c r="H38" s="163">
        <v>49816.9</v>
      </c>
      <c r="I38" s="163">
        <v>103796.7</v>
      </c>
      <c r="J38" s="163">
        <v>103335.6</v>
      </c>
      <c r="K38" s="163">
        <v>106361.2</v>
      </c>
      <c r="L38" s="163">
        <f>+'Test Year Volumes'!I30</f>
        <v>104675.2</v>
      </c>
      <c r="M38" s="163">
        <f>+'Test Year Volumes'!J30</f>
        <v>105097.7</v>
      </c>
      <c r="N38" s="163">
        <f>+'Test Year Volumes'!K30</f>
        <v>89207.2</v>
      </c>
      <c r="O38" s="163">
        <f>+'Test Year Volumes'!L30</f>
        <v>76220.399999999994</v>
      </c>
      <c r="P38" s="163">
        <f>+'Test Year Volumes'!M30</f>
        <v>75223.599999999991</v>
      </c>
      <c r="Q38" s="163">
        <f>+'Test Year Volumes'!N30</f>
        <v>69689</v>
      </c>
      <c r="R38" s="163">
        <f>+'Test Year Volumes'!O30</f>
        <v>69364.899999999994</v>
      </c>
      <c r="S38" s="163">
        <f>+'Test Year Volumes'!D30</f>
        <v>91448.200000000012</v>
      </c>
      <c r="T38" s="164" t="s">
        <v>150</v>
      </c>
      <c r="U38" s="129"/>
      <c r="V38" s="143">
        <f t="shared" si="1"/>
        <v>0</v>
      </c>
      <c r="W38" s="143">
        <f t="shared" si="2"/>
        <v>0</v>
      </c>
      <c r="X38" s="143">
        <f t="shared" si="3"/>
        <v>0</v>
      </c>
      <c r="Y38" s="143">
        <f t="shared" si="4"/>
        <v>0</v>
      </c>
      <c r="Z38" s="143">
        <f t="shared" si="5"/>
        <v>0</v>
      </c>
      <c r="AA38" s="143">
        <f t="shared" si="6"/>
        <v>0</v>
      </c>
      <c r="AB38" s="143">
        <f t="shared" si="7"/>
        <v>0</v>
      </c>
      <c r="AC38" s="143">
        <f t="shared" si="8"/>
        <v>0</v>
      </c>
      <c r="AD38" s="143">
        <f t="shared" si="9"/>
        <v>0</v>
      </c>
      <c r="AE38" s="143">
        <f t="shared" si="10"/>
        <v>0</v>
      </c>
      <c r="AF38" s="143">
        <f t="shared" si="11"/>
        <v>0</v>
      </c>
      <c r="AG38" s="143">
        <f t="shared" si="12"/>
        <v>0</v>
      </c>
      <c r="AH38" s="148" t="s">
        <v>150</v>
      </c>
      <c r="AI38" s="226">
        <f t="shared" si="13"/>
        <v>0</v>
      </c>
      <c r="AK38" s="143">
        <f t="shared" si="14"/>
        <v>0</v>
      </c>
      <c r="AL38" s="143">
        <f t="shared" si="15"/>
        <v>0</v>
      </c>
      <c r="AM38" s="230">
        <f>'2017-18 Amort Detail'!AI38</f>
        <v>0</v>
      </c>
      <c r="AN38" s="230">
        <f>'2016-17 Amort Detail'!AI38</f>
        <v>0</v>
      </c>
      <c r="AO38" s="230">
        <f>'2015-16 Amort Detail'!AI38</f>
        <v>0</v>
      </c>
      <c r="AP38" s="236">
        <f t="shared" si="16"/>
        <v>0</v>
      </c>
    </row>
    <row r="39" spans="1:42" x14ac:dyDescent="0.25">
      <c r="A39" s="121">
        <f t="shared" si="0"/>
        <v>33</v>
      </c>
      <c r="B39" s="159" t="s">
        <v>116</v>
      </c>
      <c r="C39" s="159" t="s">
        <v>84</v>
      </c>
      <c r="D39" s="159" t="s">
        <v>116</v>
      </c>
      <c r="E39" s="159" t="s">
        <v>98</v>
      </c>
      <c r="F39" s="150">
        <v>0</v>
      </c>
      <c r="G39" s="129"/>
      <c r="H39" s="163">
        <v>20009.7</v>
      </c>
      <c r="I39" s="163">
        <v>75634.600000000006</v>
      </c>
      <c r="J39" s="163">
        <v>84250.1</v>
      </c>
      <c r="K39" s="163">
        <v>84095.3</v>
      </c>
      <c r="L39" s="163">
        <f>+'Test Year Volumes'!I31</f>
        <v>81043.600000000006</v>
      </c>
      <c r="M39" s="163">
        <f>+'Test Year Volumes'!J31</f>
        <v>68562.3</v>
      </c>
      <c r="N39" s="163">
        <f>+'Test Year Volumes'!K31</f>
        <v>42669.899999999994</v>
      </c>
      <c r="O39" s="163">
        <f>+'Test Year Volumes'!L31</f>
        <v>43368.9</v>
      </c>
      <c r="P39" s="163">
        <f>+'Test Year Volumes'!M31</f>
        <v>42118</v>
      </c>
      <c r="Q39" s="163">
        <f>+'Test Year Volumes'!N31</f>
        <v>39050.300000000003</v>
      </c>
      <c r="R39" s="163">
        <f>+'Test Year Volumes'!O31</f>
        <v>40146.699999999997</v>
      </c>
      <c r="S39" s="163">
        <f>+'Test Year Volumes'!D31</f>
        <v>46101.7</v>
      </c>
      <c r="T39" s="164" t="s">
        <v>150</v>
      </c>
      <c r="U39" s="129"/>
      <c r="V39" s="143">
        <f t="shared" si="1"/>
        <v>0</v>
      </c>
      <c r="W39" s="143">
        <f t="shared" si="2"/>
        <v>0</v>
      </c>
      <c r="X39" s="143">
        <f t="shared" si="3"/>
        <v>0</v>
      </c>
      <c r="Y39" s="143">
        <f t="shared" si="4"/>
        <v>0</v>
      </c>
      <c r="Z39" s="143">
        <f t="shared" si="5"/>
        <v>0</v>
      </c>
      <c r="AA39" s="143">
        <f t="shared" si="6"/>
        <v>0</v>
      </c>
      <c r="AB39" s="143">
        <f t="shared" si="7"/>
        <v>0</v>
      </c>
      <c r="AC39" s="143">
        <f t="shared" si="8"/>
        <v>0</v>
      </c>
      <c r="AD39" s="143">
        <f t="shared" si="9"/>
        <v>0</v>
      </c>
      <c r="AE39" s="143">
        <f t="shared" si="10"/>
        <v>0</v>
      </c>
      <c r="AF39" s="143">
        <f t="shared" si="11"/>
        <v>0</v>
      </c>
      <c r="AG39" s="143">
        <f t="shared" si="12"/>
        <v>0</v>
      </c>
      <c r="AH39" s="148" t="s">
        <v>150</v>
      </c>
      <c r="AI39" s="226">
        <f t="shared" si="13"/>
        <v>0</v>
      </c>
      <c r="AK39" s="143">
        <f t="shared" si="14"/>
        <v>0</v>
      </c>
      <c r="AL39" s="143">
        <f t="shared" si="15"/>
        <v>0</v>
      </c>
      <c r="AM39" s="230">
        <f>'2017-18 Amort Detail'!AI39</f>
        <v>0</v>
      </c>
      <c r="AN39" s="230">
        <f>'2016-17 Amort Detail'!AI39</f>
        <v>0</v>
      </c>
      <c r="AO39" s="230">
        <f>'2015-16 Amort Detail'!AI39</f>
        <v>0</v>
      </c>
      <c r="AP39" s="236">
        <f t="shared" si="16"/>
        <v>0</v>
      </c>
    </row>
    <row r="40" spans="1:42" x14ac:dyDescent="0.25">
      <c r="A40" s="121">
        <f t="shared" si="0"/>
        <v>34</v>
      </c>
      <c r="B40" s="159"/>
      <c r="C40" s="159" t="s">
        <v>84</v>
      </c>
      <c r="D40" s="159" t="s">
        <v>116</v>
      </c>
      <c r="E40" s="159" t="s">
        <v>111</v>
      </c>
      <c r="F40" s="150">
        <v>0</v>
      </c>
      <c r="G40" s="129"/>
      <c r="H40" s="163">
        <v>437.1</v>
      </c>
      <c r="I40" s="163">
        <v>23153.7</v>
      </c>
      <c r="J40" s="163">
        <v>20249.5</v>
      </c>
      <c r="K40" s="163">
        <v>25226</v>
      </c>
      <c r="L40" s="163">
        <f>+'Test Year Volumes'!I32</f>
        <v>13304.800000000003</v>
      </c>
      <c r="M40" s="163">
        <f>+'Test Year Volumes'!J32</f>
        <v>6660</v>
      </c>
      <c r="N40" s="163">
        <f>+'Test Year Volumes'!K32</f>
        <v>6076</v>
      </c>
      <c r="O40" s="163">
        <f>+'Test Year Volumes'!L32</f>
        <v>2248</v>
      </c>
      <c r="P40" s="163">
        <f>+'Test Year Volumes'!M32</f>
        <v>1000</v>
      </c>
      <c r="Q40" s="163">
        <f>+'Test Year Volumes'!N32</f>
        <v>1304</v>
      </c>
      <c r="R40" s="163">
        <f>+'Test Year Volumes'!O32</f>
        <v>2329.4000000000015</v>
      </c>
      <c r="S40" s="163">
        <f>+'Test Year Volumes'!D32</f>
        <v>3945</v>
      </c>
      <c r="T40" s="164" t="s">
        <v>150</v>
      </c>
      <c r="U40" s="129"/>
      <c r="V40" s="143">
        <f t="shared" si="1"/>
        <v>0</v>
      </c>
      <c r="W40" s="143">
        <f t="shared" si="2"/>
        <v>0</v>
      </c>
      <c r="X40" s="143">
        <f t="shared" si="3"/>
        <v>0</v>
      </c>
      <c r="Y40" s="143">
        <f t="shared" si="4"/>
        <v>0</v>
      </c>
      <c r="Z40" s="143">
        <f t="shared" si="5"/>
        <v>0</v>
      </c>
      <c r="AA40" s="143">
        <f t="shared" si="6"/>
        <v>0</v>
      </c>
      <c r="AB40" s="143">
        <f t="shared" si="7"/>
        <v>0</v>
      </c>
      <c r="AC40" s="143">
        <f t="shared" si="8"/>
        <v>0</v>
      </c>
      <c r="AD40" s="143">
        <f t="shared" si="9"/>
        <v>0</v>
      </c>
      <c r="AE40" s="143">
        <f t="shared" si="10"/>
        <v>0</v>
      </c>
      <c r="AF40" s="143">
        <f t="shared" si="11"/>
        <v>0</v>
      </c>
      <c r="AG40" s="143">
        <f t="shared" si="12"/>
        <v>0</v>
      </c>
      <c r="AH40" s="148" t="s">
        <v>150</v>
      </c>
      <c r="AI40" s="226">
        <f t="shared" si="13"/>
        <v>0</v>
      </c>
      <c r="AK40" s="143">
        <f t="shared" si="14"/>
        <v>0</v>
      </c>
      <c r="AL40" s="143">
        <f t="shared" si="15"/>
        <v>0</v>
      </c>
      <c r="AM40" s="230">
        <f>'2017-18 Amort Detail'!AI40</f>
        <v>0</v>
      </c>
      <c r="AN40" s="230">
        <f>'2016-17 Amort Detail'!AI40</f>
        <v>0</v>
      </c>
      <c r="AO40" s="230">
        <f>'2015-16 Amort Detail'!AI40</f>
        <v>0</v>
      </c>
      <c r="AP40" s="236">
        <f t="shared" si="16"/>
        <v>0</v>
      </c>
    </row>
    <row r="41" spans="1:42" x14ac:dyDescent="0.25">
      <c r="A41" s="121">
        <f t="shared" si="0"/>
        <v>35</v>
      </c>
      <c r="B41" s="159"/>
      <c r="C41" s="159" t="s">
        <v>84</v>
      </c>
      <c r="D41" s="159" t="s">
        <v>116</v>
      </c>
      <c r="E41" s="159" t="s">
        <v>112</v>
      </c>
      <c r="F41" s="150">
        <v>0</v>
      </c>
      <c r="G41" s="129"/>
      <c r="H41" s="163">
        <v>0</v>
      </c>
      <c r="I41" s="163">
        <v>0</v>
      </c>
      <c r="J41" s="163">
        <v>97.3</v>
      </c>
      <c r="K41" s="163">
        <v>0</v>
      </c>
      <c r="L41" s="163">
        <f>+'Test Year Volumes'!I33</f>
        <v>0</v>
      </c>
      <c r="M41" s="163">
        <f>+'Test Year Volumes'!J33</f>
        <v>0</v>
      </c>
      <c r="N41" s="163">
        <f>+'Test Year Volumes'!K33</f>
        <v>0</v>
      </c>
      <c r="O41" s="163">
        <f>+'Test Year Volumes'!L33</f>
        <v>0</v>
      </c>
      <c r="P41" s="163">
        <f>+'Test Year Volumes'!M33</f>
        <v>0</v>
      </c>
      <c r="Q41" s="163">
        <f>+'Test Year Volumes'!N33</f>
        <v>0</v>
      </c>
      <c r="R41" s="163">
        <f>+'Test Year Volumes'!O33</f>
        <v>0</v>
      </c>
      <c r="S41" s="163">
        <f>+'Test Year Volumes'!D33</f>
        <v>0</v>
      </c>
      <c r="T41" s="164" t="s">
        <v>150</v>
      </c>
      <c r="U41" s="129"/>
      <c r="V41" s="143">
        <f t="shared" si="1"/>
        <v>0</v>
      </c>
      <c r="W41" s="143">
        <f t="shared" si="2"/>
        <v>0</v>
      </c>
      <c r="X41" s="143">
        <f t="shared" si="3"/>
        <v>0</v>
      </c>
      <c r="Y41" s="143">
        <f t="shared" si="4"/>
        <v>0</v>
      </c>
      <c r="Z41" s="143">
        <f t="shared" si="5"/>
        <v>0</v>
      </c>
      <c r="AA41" s="143">
        <f t="shared" si="6"/>
        <v>0</v>
      </c>
      <c r="AB41" s="143">
        <f t="shared" si="7"/>
        <v>0</v>
      </c>
      <c r="AC41" s="143">
        <f t="shared" si="8"/>
        <v>0</v>
      </c>
      <c r="AD41" s="143">
        <f t="shared" si="9"/>
        <v>0</v>
      </c>
      <c r="AE41" s="143">
        <f t="shared" si="10"/>
        <v>0</v>
      </c>
      <c r="AF41" s="143">
        <f t="shared" si="11"/>
        <v>0</v>
      </c>
      <c r="AG41" s="143">
        <f t="shared" si="12"/>
        <v>0</v>
      </c>
      <c r="AH41" s="148" t="s">
        <v>150</v>
      </c>
      <c r="AI41" s="226">
        <f t="shared" si="13"/>
        <v>0</v>
      </c>
      <c r="AK41" s="143">
        <f t="shared" si="14"/>
        <v>0</v>
      </c>
      <c r="AL41" s="143">
        <f t="shared" si="15"/>
        <v>0</v>
      </c>
      <c r="AM41" s="230">
        <f>'2017-18 Amort Detail'!AI41</f>
        <v>0</v>
      </c>
      <c r="AN41" s="230">
        <f>'2016-17 Amort Detail'!AI41</f>
        <v>0</v>
      </c>
      <c r="AO41" s="230">
        <f>'2015-16 Amort Detail'!AI41</f>
        <v>0</v>
      </c>
      <c r="AP41" s="236">
        <f t="shared" si="16"/>
        <v>0</v>
      </c>
    </row>
    <row r="42" spans="1:42" x14ac:dyDescent="0.25">
      <c r="A42" s="121">
        <f t="shared" si="0"/>
        <v>36</v>
      </c>
      <c r="B42" s="159"/>
      <c r="C42" s="159" t="s">
        <v>84</v>
      </c>
      <c r="D42" s="159" t="s">
        <v>116</v>
      </c>
      <c r="E42" s="159" t="s">
        <v>113</v>
      </c>
      <c r="F42" s="150">
        <v>0</v>
      </c>
      <c r="G42" s="129"/>
      <c r="H42" s="163">
        <v>0</v>
      </c>
      <c r="I42" s="163">
        <v>0</v>
      </c>
      <c r="J42" s="163">
        <v>0</v>
      </c>
      <c r="K42" s="163">
        <v>0</v>
      </c>
      <c r="L42" s="163">
        <f>+'Test Year Volumes'!I34</f>
        <v>0</v>
      </c>
      <c r="M42" s="163">
        <f>+'Test Year Volumes'!J34</f>
        <v>0</v>
      </c>
      <c r="N42" s="163">
        <f>+'Test Year Volumes'!K34</f>
        <v>0</v>
      </c>
      <c r="O42" s="163">
        <f>+'Test Year Volumes'!L34</f>
        <v>0</v>
      </c>
      <c r="P42" s="163">
        <f>+'Test Year Volumes'!M34</f>
        <v>0</v>
      </c>
      <c r="Q42" s="163">
        <f>+'Test Year Volumes'!N34</f>
        <v>0</v>
      </c>
      <c r="R42" s="163">
        <f>+'Test Year Volumes'!O34</f>
        <v>0</v>
      </c>
      <c r="S42" s="163">
        <f>+'Test Year Volumes'!D34</f>
        <v>0</v>
      </c>
      <c r="T42" s="164" t="s">
        <v>150</v>
      </c>
      <c r="U42" s="129"/>
      <c r="V42" s="143">
        <f t="shared" si="1"/>
        <v>0</v>
      </c>
      <c r="W42" s="143">
        <f t="shared" si="2"/>
        <v>0</v>
      </c>
      <c r="X42" s="143">
        <f t="shared" si="3"/>
        <v>0</v>
      </c>
      <c r="Y42" s="143">
        <f t="shared" si="4"/>
        <v>0</v>
      </c>
      <c r="Z42" s="143">
        <f t="shared" si="5"/>
        <v>0</v>
      </c>
      <c r="AA42" s="143">
        <f t="shared" si="6"/>
        <v>0</v>
      </c>
      <c r="AB42" s="143">
        <f t="shared" si="7"/>
        <v>0</v>
      </c>
      <c r="AC42" s="143">
        <f t="shared" si="8"/>
        <v>0</v>
      </c>
      <c r="AD42" s="143">
        <f t="shared" si="9"/>
        <v>0</v>
      </c>
      <c r="AE42" s="143">
        <f t="shared" si="10"/>
        <v>0</v>
      </c>
      <c r="AF42" s="143">
        <f t="shared" si="11"/>
        <v>0</v>
      </c>
      <c r="AG42" s="143">
        <f t="shared" si="12"/>
        <v>0</v>
      </c>
      <c r="AH42" s="148" t="s">
        <v>150</v>
      </c>
      <c r="AI42" s="226">
        <f t="shared" si="13"/>
        <v>0</v>
      </c>
      <c r="AK42" s="143">
        <f t="shared" si="14"/>
        <v>0</v>
      </c>
      <c r="AL42" s="143">
        <f t="shared" si="15"/>
        <v>0</v>
      </c>
      <c r="AM42" s="230">
        <f>'2017-18 Amort Detail'!AI42</f>
        <v>0</v>
      </c>
      <c r="AN42" s="230">
        <f>'2016-17 Amort Detail'!AI42</f>
        <v>0</v>
      </c>
      <c r="AO42" s="230">
        <f>'2015-16 Amort Detail'!AI42</f>
        <v>0</v>
      </c>
      <c r="AP42" s="236">
        <f t="shared" si="16"/>
        <v>0</v>
      </c>
    </row>
    <row r="43" spans="1:42" x14ac:dyDescent="0.25">
      <c r="A43" s="121">
        <f t="shared" si="0"/>
        <v>37</v>
      </c>
      <c r="B43" s="160"/>
      <c r="C43" s="160" t="s">
        <v>84</v>
      </c>
      <c r="D43" s="160" t="s">
        <v>116</v>
      </c>
      <c r="E43" s="160" t="s">
        <v>114</v>
      </c>
      <c r="F43" s="149">
        <v>0</v>
      </c>
      <c r="G43" s="127"/>
      <c r="H43" s="161">
        <v>0</v>
      </c>
      <c r="I43" s="161">
        <v>0</v>
      </c>
      <c r="J43" s="161">
        <v>0</v>
      </c>
      <c r="K43" s="161">
        <v>0</v>
      </c>
      <c r="L43" s="161">
        <f>+'Test Year Volumes'!I35</f>
        <v>0</v>
      </c>
      <c r="M43" s="161">
        <f>+'Test Year Volumes'!J35</f>
        <v>0</v>
      </c>
      <c r="N43" s="161">
        <f>+'Test Year Volumes'!K35</f>
        <v>0</v>
      </c>
      <c r="O43" s="161">
        <f>+'Test Year Volumes'!L35</f>
        <v>0</v>
      </c>
      <c r="P43" s="161">
        <f>+'Test Year Volumes'!M35</f>
        <v>0</v>
      </c>
      <c r="Q43" s="161">
        <f>+'Test Year Volumes'!N35</f>
        <v>0</v>
      </c>
      <c r="R43" s="161">
        <f>+'Test Year Volumes'!O35</f>
        <v>0</v>
      </c>
      <c r="S43" s="161">
        <f>+'Test Year Volumes'!D35</f>
        <v>0</v>
      </c>
      <c r="T43" s="162" t="s">
        <v>150</v>
      </c>
      <c r="U43" s="127"/>
      <c r="V43" s="142">
        <f t="shared" si="1"/>
        <v>0</v>
      </c>
      <c r="W43" s="142">
        <f t="shared" si="2"/>
        <v>0</v>
      </c>
      <c r="X43" s="142">
        <f t="shared" si="3"/>
        <v>0</v>
      </c>
      <c r="Y43" s="142">
        <f t="shared" si="4"/>
        <v>0</v>
      </c>
      <c r="Z43" s="142">
        <f t="shared" si="5"/>
        <v>0</v>
      </c>
      <c r="AA43" s="142">
        <f t="shared" si="6"/>
        <v>0</v>
      </c>
      <c r="AB43" s="142">
        <f t="shared" si="7"/>
        <v>0</v>
      </c>
      <c r="AC43" s="142">
        <f t="shared" si="8"/>
        <v>0</v>
      </c>
      <c r="AD43" s="142">
        <f t="shared" si="9"/>
        <v>0</v>
      </c>
      <c r="AE43" s="142">
        <f t="shared" si="10"/>
        <v>0</v>
      </c>
      <c r="AF43" s="142">
        <f t="shared" si="11"/>
        <v>0</v>
      </c>
      <c r="AG43" s="142">
        <f t="shared" si="12"/>
        <v>0</v>
      </c>
      <c r="AH43" s="147" t="s">
        <v>150</v>
      </c>
      <c r="AI43" s="225">
        <f t="shared" si="13"/>
        <v>0</v>
      </c>
      <c r="AK43" s="142">
        <f t="shared" si="14"/>
        <v>0</v>
      </c>
      <c r="AL43" s="142">
        <f t="shared" si="15"/>
        <v>0</v>
      </c>
      <c r="AM43" s="230">
        <f>'2017-18 Amort Detail'!AI43</f>
        <v>0</v>
      </c>
      <c r="AN43" s="230">
        <f>'2016-17 Amort Detail'!AI43</f>
        <v>0</v>
      </c>
      <c r="AO43" s="230">
        <f>'2015-16 Amort Detail'!AI43</f>
        <v>0</v>
      </c>
      <c r="AP43" s="236">
        <f t="shared" si="16"/>
        <v>0</v>
      </c>
    </row>
    <row r="44" spans="1:42" x14ac:dyDescent="0.25">
      <c r="A44" s="121">
        <f t="shared" si="0"/>
        <v>38</v>
      </c>
      <c r="B44" s="159" t="s">
        <v>117</v>
      </c>
      <c r="C44" s="159" t="s">
        <v>84</v>
      </c>
      <c r="D44" s="159" t="s">
        <v>118</v>
      </c>
      <c r="E44" s="159" t="s">
        <v>97</v>
      </c>
      <c r="F44" s="150">
        <v>0</v>
      </c>
      <c r="G44" s="129"/>
      <c r="H44" s="163">
        <v>40000</v>
      </c>
      <c r="I44" s="163">
        <v>40000</v>
      </c>
      <c r="J44" s="163">
        <v>40000</v>
      </c>
      <c r="K44" s="163">
        <v>40000</v>
      </c>
      <c r="L44" s="163">
        <f>+'Test Year Volumes'!I55</f>
        <v>40000</v>
      </c>
      <c r="M44" s="163">
        <f>+'Test Year Volumes'!J55</f>
        <v>40000</v>
      </c>
      <c r="N44" s="163">
        <f>+'Test Year Volumes'!K55</f>
        <v>40000</v>
      </c>
      <c r="O44" s="163">
        <f>+'Test Year Volumes'!L55</f>
        <v>40000</v>
      </c>
      <c r="P44" s="163">
        <f>+'Test Year Volumes'!M55</f>
        <v>40000</v>
      </c>
      <c r="Q44" s="163">
        <f>+'Test Year Volumes'!N55</f>
        <v>40000</v>
      </c>
      <c r="R44" s="163">
        <f>+'Test Year Volumes'!O55</f>
        <v>40000</v>
      </c>
      <c r="S44" s="163">
        <f>+'Test Year Volumes'!D55</f>
        <v>40000</v>
      </c>
      <c r="T44" s="164" t="s">
        <v>150</v>
      </c>
      <c r="U44" s="129"/>
      <c r="V44" s="143">
        <f t="shared" si="1"/>
        <v>0</v>
      </c>
      <c r="W44" s="143">
        <f t="shared" si="2"/>
        <v>0</v>
      </c>
      <c r="X44" s="143">
        <f t="shared" si="3"/>
        <v>0</v>
      </c>
      <c r="Y44" s="143">
        <f t="shared" si="4"/>
        <v>0</v>
      </c>
      <c r="Z44" s="143">
        <f t="shared" si="5"/>
        <v>0</v>
      </c>
      <c r="AA44" s="143">
        <f t="shared" si="6"/>
        <v>0</v>
      </c>
      <c r="AB44" s="143">
        <f t="shared" si="7"/>
        <v>0</v>
      </c>
      <c r="AC44" s="143">
        <f t="shared" si="8"/>
        <v>0</v>
      </c>
      <c r="AD44" s="143">
        <f t="shared" si="9"/>
        <v>0</v>
      </c>
      <c r="AE44" s="143">
        <f t="shared" si="10"/>
        <v>0</v>
      </c>
      <c r="AF44" s="143">
        <f t="shared" si="11"/>
        <v>0</v>
      </c>
      <c r="AG44" s="143">
        <f t="shared" si="12"/>
        <v>0</v>
      </c>
      <c r="AH44" s="148" t="s">
        <v>150</v>
      </c>
      <c r="AI44" s="226">
        <f t="shared" si="13"/>
        <v>0</v>
      </c>
      <c r="AK44" s="143">
        <f t="shared" si="14"/>
        <v>0</v>
      </c>
      <c r="AL44" s="143">
        <f t="shared" si="15"/>
        <v>0</v>
      </c>
      <c r="AM44" s="230">
        <f>'2017-18 Amort Detail'!AI44</f>
        <v>0</v>
      </c>
      <c r="AN44" s="230">
        <f>'2016-17 Amort Detail'!AI44</f>
        <v>0</v>
      </c>
      <c r="AO44" s="230">
        <f>'2015-16 Amort Detail'!AI44</f>
        <v>0</v>
      </c>
      <c r="AP44" s="236">
        <f t="shared" si="16"/>
        <v>0</v>
      </c>
    </row>
    <row r="45" spans="1:42" x14ac:dyDescent="0.25">
      <c r="A45" s="121">
        <f t="shared" si="0"/>
        <v>39</v>
      </c>
      <c r="B45" s="159" t="s">
        <v>118</v>
      </c>
      <c r="C45" s="159" t="s">
        <v>84</v>
      </c>
      <c r="D45" s="159" t="s">
        <v>118</v>
      </c>
      <c r="E45" s="159" t="s">
        <v>98</v>
      </c>
      <c r="F45" s="150">
        <v>0</v>
      </c>
      <c r="G45" s="129"/>
      <c r="H45" s="163">
        <v>70720</v>
      </c>
      <c r="I45" s="163">
        <v>73983</v>
      </c>
      <c r="J45" s="163">
        <v>73844</v>
      </c>
      <c r="K45" s="163">
        <v>74298</v>
      </c>
      <c r="L45" s="163">
        <f>+'Test Year Volumes'!I56</f>
        <v>70775</v>
      </c>
      <c r="M45" s="163">
        <f>+'Test Year Volumes'!J56</f>
        <v>62472</v>
      </c>
      <c r="N45" s="163">
        <f>+'Test Year Volumes'!K56</f>
        <v>54201</v>
      </c>
      <c r="O45" s="163">
        <f>+'Test Year Volumes'!L56</f>
        <v>53527</v>
      </c>
      <c r="P45" s="163">
        <f>+'Test Year Volumes'!M56</f>
        <v>49796</v>
      </c>
      <c r="Q45" s="163">
        <f>+'Test Year Volumes'!N56</f>
        <v>61676</v>
      </c>
      <c r="R45" s="163">
        <f>+'Test Year Volumes'!O56</f>
        <v>64087</v>
      </c>
      <c r="S45" s="163">
        <f>+'Test Year Volumes'!D56</f>
        <v>66739</v>
      </c>
      <c r="T45" s="164" t="s">
        <v>150</v>
      </c>
      <c r="U45" s="129"/>
      <c r="V45" s="143">
        <f t="shared" si="1"/>
        <v>0</v>
      </c>
      <c r="W45" s="143">
        <f t="shared" si="2"/>
        <v>0</v>
      </c>
      <c r="X45" s="143">
        <f t="shared" si="3"/>
        <v>0</v>
      </c>
      <c r="Y45" s="143">
        <f t="shared" si="4"/>
        <v>0</v>
      </c>
      <c r="Z45" s="143">
        <f t="shared" si="5"/>
        <v>0</v>
      </c>
      <c r="AA45" s="143">
        <f t="shared" si="6"/>
        <v>0</v>
      </c>
      <c r="AB45" s="143">
        <f t="shared" si="7"/>
        <v>0</v>
      </c>
      <c r="AC45" s="143">
        <f t="shared" si="8"/>
        <v>0</v>
      </c>
      <c r="AD45" s="143">
        <f t="shared" si="9"/>
        <v>0</v>
      </c>
      <c r="AE45" s="143">
        <f t="shared" si="10"/>
        <v>0</v>
      </c>
      <c r="AF45" s="143">
        <f t="shared" si="11"/>
        <v>0</v>
      </c>
      <c r="AG45" s="143">
        <f t="shared" si="12"/>
        <v>0</v>
      </c>
      <c r="AH45" s="148" t="s">
        <v>150</v>
      </c>
      <c r="AI45" s="226">
        <f t="shared" si="13"/>
        <v>0</v>
      </c>
      <c r="AK45" s="143">
        <f t="shared" si="14"/>
        <v>0</v>
      </c>
      <c r="AL45" s="143">
        <f t="shared" si="15"/>
        <v>0</v>
      </c>
      <c r="AM45" s="230">
        <f>'2017-18 Amort Detail'!AI45</f>
        <v>0</v>
      </c>
      <c r="AN45" s="230">
        <f>'2016-17 Amort Detail'!AI45</f>
        <v>0</v>
      </c>
      <c r="AO45" s="230">
        <f>'2015-16 Amort Detail'!AI45</f>
        <v>0</v>
      </c>
      <c r="AP45" s="236">
        <f t="shared" si="16"/>
        <v>0</v>
      </c>
    </row>
    <row r="46" spans="1:42" x14ac:dyDescent="0.25">
      <c r="A46" s="121">
        <f t="shared" si="0"/>
        <v>40</v>
      </c>
      <c r="B46" s="159"/>
      <c r="C46" s="159" t="s">
        <v>84</v>
      </c>
      <c r="D46" s="159" t="s">
        <v>118</v>
      </c>
      <c r="E46" s="159" t="s">
        <v>111</v>
      </c>
      <c r="F46" s="150">
        <v>0</v>
      </c>
      <c r="G46" s="129"/>
      <c r="H46" s="163">
        <v>56788</v>
      </c>
      <c r="I46" s="163">
        <v>56319</v>
      </c>
      <c r="J46" s="163">
        <v>60000</v>
      </c>
      <c r="K46" s="163">
        <v>59426</v>
      </c>
      <c r="L46" s="163">
        <f>+'Test Year Volumes'!I57</f>
        <v>34729</v>
      </c>
      <c r="M46" s="163">
        <f>+'Test Year Volumes'!J57</f>
        <v>35917</v>
      </c>
      <c r="N46" s="163">
        <f>+'Test Year Volumes'!K57</f>
        <v>36816</v>
      </c>
      <c r="O46" s="163">
        <f>+'Test Year Volumes'!L57</f>
        <v>31629</v>
      </c>
      <c r="P46" s="163">
        <f>+'Test Year Volumes'!M57</f>
        <v>33882</v>
      </c>
      <c r="Q46" s="163">
        <f>+'Test Year Volumes'!N57</f>
        <v>37032</v>
      </c>
      <c r="R46" s="163">
        <f>+'Test Year Volumes'!O57</f>
        <v>35795</v>
      </c>
      <c r="S46" s="163">
        <f>+'Test Year Volumes'!D57</f>
        <v>37546</v>
      </c>
      <c r="T46" s="164" t="s">
        <v>150</v>
      </c>
      <c r="U46" s="129"/>
      <c r="V46" s="143">
        <f t="shared" si="1"/>
        <v>0</v>
      </c>
      <c r="W46" s="143">
        <f t="shared" si="2"/>
        <v>0</v>
      </c>
      <c r="X46" s="143">
        <f t="shared" si="3"/>
        <v>0</v>
      </c>
      <c r="Y46" s="143">
        <f t="shared" si="4"/>
        <v>0</v>
      </c>
      <c r="Z46" s="143">
        <f t="shared" si="5"/>
        <v>0</v>
      </c>
      <c r="AA46" s="143">
        <f t="shared" si="6"/>
        <v>0</v>
      </c>
      <c r="AB46" s="143">
        <f t="shared" si="7"/>
        <v>0</v>
      </c>
      <c r="AC46" s="143">
        <f t="shared" si="8"/>
        <v>0</v>
      </c>
      <c r="AD46" s="143">
        <f t="shared" si="9"/>
        <v>0</v>
      </c>
      <c r="AE46" s="143">
        <f t="shared" si="10"/>
        <v>0</v>
      </c>
      <c r="AF46" s="143">
        <f t="shared" si="11"/>
        <v>0</v>
      </c>
      <c r="AG46" s="143">
        <f t="shared" si="12"/>
        <v>0</v>
      </c>
      <c r="AH46" s="148" t="s">
        <v>150</v>
      </c>
      <c r="AI46" s="226">
        <f t="shared" si="13"/>
        <v>0</v>
      </c>
      <c r="AK46" s="143">
        <f t="shared" si="14"/>
        <v>0</v>
      </c>
      <c r="AL46" s="143">
        <f t="shared" si="15"/>
        <v>0</v>
      </c>
      <c r="AM46" s="230">
        <f>'2017-18 Amort Detail'!AI46</f>
        <v>0</v>
      </c>
      <c r="AN46" s="230">
        <f>'2016-17 Amort Detail'!AI46</f>
        <v>0</v>
      </c>
      <c r="AO46" s="230">
        <f>'2015-16 Amort Detail'!AI46</f>
        <v>0</v>
      </c>
      <c r="AP46" s="236">
        <f t="shared" si="16"/>
        <v>0</v>
      </c>
    </row>
    <row r="47" spans="1:42" x14ac:dyDescent="0.25">
      <c r="A47" s="121">
        <f t="shared" si="0"/>
        <v>41</v>
      </c>
      <c r="B47" s="159"/>
      <c r="C47" s="159" t="s">
        <v>84</v>
      </c>
      <c r="D47" s="159" t="s">
        <v>118</v>
      </c>
      <c r="E47" s="159" t="s">
        <v>112</v>
      </c>
      <c r="F47" s="150">
        <v>0</v>
      </c>
      <c r="G47" s="129"/>
      <c r="H47" s="163">
        <v>48191</v>
      </c>
      <c r="I47" s="163">
        <v>60111</v>
      </c>
      <c r="J47" s="163">
        <v>60014</v>
      </c>
      <c r="K47" s="163">
        <v>55206</v>
      </c>
      <c r="L47" s="163">
        <f>+'Test Year Volumes'!I58</f>
        <v>32672</v>
      </c>
      <c r="M47" s="163">
        <f>+'Test Year Volumes'!J58</f>
        <v>24651</v>
      </c>
      <c r="N47" s="163">
        <f>+'Test Year Volumes'!K58</f>
        <v>25953</v>
      </c>
      <c r="O47" s="163">
        <f>+'Test Year Volumes'!L58</f>
        <v>22830</v>
      </c>
      <c r="P47" s="163">
        <f>+'Test Year Volumes'!M58</f>
        <v>29323</v>
      </c>
      <c r="Q47" s="163">
        <f>+'Test Year Volumes'!N58</f>
        <v>29999</v>
      </c>
      <c r="R47" s="163">
        <f>+'Test Year Volumes'!O58</f>
        <v>31574</v>
      </c>
      <c r="S47" s="163">
        <f>+'Test Year Volumes'!D58</f>
        <v>25390</v>
      </c>
      <c r="T47" s="164" t="s">
        <v>150</v>
      </c>
      <c r="U47" s="129"/>
      <c r="V47" s="143">
        <f t="shared" si="1"/>
        <v>0</v>
      </c>
      <c r="W47" s="143">
        <f t="shared" si="2"/>
        <v>0</v>
      </c>
      <c r="X47" s="143">
        <f t="shared" si="3"/>
        <v>0</v>
      </c>
      <c r="Y47" s="143">
        <f t="shared" si="4"/>
        <v>0</v>
      </c>
      <c r="Z47" s="143">
        <f t="shared" si="5"/>
        <v>0</v>
      </c>
      <c r="AA47" s="143">
        <f t="shared" si="6"/>
        <v>0</v>
      </c>
      <c r="AB47" s="143">
        <f t="shared" si="7"/>
        <v>0</v>
      </c>
      <c r="AC47" s="143">
        <f t="shared" si="8"/>
        <v>0</v>
      </c>
      <c r="AD47" s="143">
        <f t="shared" si="9"/>
        <v>0</v>
      </c>
      <c r="AE47" s="143">
        <f t="shared" si="10"/>
        <v>0</v>
      </c>
      <c r="AF47" s="143">
        <f t="shared" si="11"/>
        <v>0</v>
      </c>
      <c r="AG47" s="143">
        <f t="shared" si="12"/>
        <v>0</v>
      </c>
      <c r="AH47" s="148" t="s">
        <v>150</v>
      </c>
      <c r="AI47" s="226">
        <f t="shared" si="13"/>
        <v>0</v>
      </c>
      <c r="AK47" s="143">
        <f t="shared" si="14"/>
        <v>0</v>
      </c>
      <c r="AL47" s="143">
        <f t="shared" si="15"/>
        <v>0</v>
      </c>
      <c r="AM47" s="230">
        <f>'2017-18 Amort Detail'!AI47</f>
        <v>0</v>
      </c>
      <c r="AN47" s="230">
        <f>'2016-17 Amort Detail'!AI47</f>
        <v>0</v>
      </c>
      <c r="AO47" s="230">
        <f>'2015-16 Amort Detail'!AI47</f>
        <v>0</v>
      </c>
      <c r="AP47" s="236">
        <f t="shared" si="16"/>
        <v>0</v>
      </c>
    </row>
    <row r="48" spans="1:42" x14ac:dyDescent="0.25">
      <c r="A48" s="121">
        <f t="shared" si="0"/>
        <v>42</v>
      </c>
      <c r="B48" s="159"/>
      <c r="C48" s="159" t="s">
        <v>84</v>
      </c>
      <c r="D48" s="159" t="s">
        <v>118</v>
      </c>
      <c r="E48" s="159" t="s">
        <v>113</v>
      </c>
      <c r="F48" s="150">
        <v>0</v>
      </c>
      <c r="G48" s="129"/>
      <c r="H48" s="163">
        <v>0</v>
      </c>
      <c r="I48" s="163">
        <v>0</v>
      </c>
      <c r="J48" s="163">
        <v>0</v>
      </c>
      <c r="K48" s="163">
        <v>0</v>
      </c>
      <c r="L48" s="163">
        <f>+'Test Year Volumes'!I59</f>
        <v>0</v>
      </c>
      <c r="M48" s="163">
        <f>+'Test Year Volumes'!J59</f>
        <v>0</v>
      </c>
      <c r="N48" s="163">
        <f>+'Test Year Volumes'!K59</f>
        <v>0</v>
      </c>
      <c r="O48" s="163">
        <f>+'Test Year Volumes'!L59</f>
        <v>0</v>
      </c>
      <c r="P48" s="163">
        <f>+'Test Year Volumes'!M59</f>
        <v>0</v>
      </c>
      <c r="Q48" s="163">
        <f>+'Test Year Volumes'!N59</f>
        <v>0</v>
      </c>
      <c r="R48" s="163">
        <f>+'Test Year Volumes'!O59</f>
        <v>0</v>
      </c>
      <c r="S48" s="163">
        <f>+'Test Year Volumes'!D59</f>
        <v>0</v>
      </c>
      <c r="T48" s="164" t="s">
        <v>150</v>
      </c>
      <c r="U48" s="129"/>
      <c r="V48" s="143">
        <f t="shared" si="1"/>
        <v>0</v>
      </c>
      <c r="W48" s="143">
        <f t="shared" si="2"/>
        <v>0</v>
      </c>
      <c r="X48" s="143">
        <f t="shared" si="3"/>
        <v>0</v>
      </c>
      <c r="Y48" s="143">
        <f t="shared" si="4"/>
        <v>0</v>
      </c>
      <c r="Z48" s="143">
        <f t="shared" si="5"/>
        <v>0</v>
      </c>
      <c r="AA48" s="143">
        <f t="shared" si="6"/>
        <v>0</v>
      </c>
      <c r="AB48" s="143">
        <f t="shared" si="7"/>
        <v>0</v>
      </c>
      <c r="AC48" s="143">
        <f t="shared" si="8"/>
        <v>0</v>
      </c>
      <c r="AD48" s="143">
        <f t="shared" si="9"/>
        <v>0</v>
      </c>
      <c r="AE48" s="143">
        <f t="shared" si="10"/>
        <v>0</v>
      </c>
      <c r="AF48" s="143">
        <f t="shared" si="11"/>
        <v>0</v>
      </c>
      <c r="AG48" s="143">
        <f t="shared" si="12"/>
        <v>0</v>
      </c>
      <c r="AH48" s="148" t="s">
        <v>150</v>
      </c>
      <c r="AI48" s="226">
        <f t="shared" si="13"/>
        <v>0</v>
      </c>
      <c r="AK48" s="143">
        <f t="shared" si="14"/>
        <v>0</v>
      </c>
      <c r="AL48" s="143">
        <f t="shared" si="15"/>
        <v>0</v>
      </c>
      <c r="AM48" s="230">
        <f>'2017-18 Amort Detail'!AI48</f>
        <v>0</v>
      </c>
      <c r="AN48" s="230">
        <f>'2016-17 Amort Detail'!AI48</f>
        <v>0</v>
      </c>
      <c r="AO48" s="230">
        <f>'2015-16 Amort Detail'!AI48</f>
        <v>0</v>
      </c>
      <c r="AP48" s="236">
        <f t="shared" si="16"/>
        <v>0</v>
      </c>
    </row>
    <row r="49" spans="1:42" x14ac:dyDescent="0.25">
      <c r="A49" s="121">
        <f t="shared" si="0"/>
        <v>43</v>
      </c>
      <c r="B49" s="160"/>
      <c r="C49" s="160" t="s">
        <v>84</v>
      </c>
      <c r="D49" s="160" t="s">
        <v>118</v>
      </c>
      <c r="E49" s="160" t="s">
        <v>114</v>
      </c>
      <c r="F49" s="149">
        <v>0</v>
      </c>
      <c r="G49" s="127"/>
      <c r="H49" s="161">
        <v>0</v>
      </c>
      <c r="I49" s="161">
        <v>0</v>
      </c>
      <c r="J49" s="161">
        <v>0</v>
      </c>
      <c r="K49" s="161">
        <v>0</v>
      </c>
      <c r="L49" s="161">
        <f>+'Test Year Volumes'!I60</f>
        <v>0</v>
      </c>
      <c r="M49" s="161">
        <f>+'Test Year Volumes'!J60</f>
        <v>0</v>
      </c>
      <c r="N49" s="161">
        <f>+'Test Year Volumes'!K60</f>
        <v>0</v>
      </c>
      <c r="O49" s="161">
        <f>+'Test Year Volumes'!L60</f>
        <v>0</v>
      </c>
      <c r="P49" s="161">
        <f>+'Test Year Volumes'!M60</f>
        <v>0</v>
      </c>
      <c r="Q49" s="161">
        <f>+'Test Year Volumes'!N60</f>
        <v>0</v>
      </c>
      <c r="R49" s="161">
        <f>+'Test Year Volumes'!O60</f>
        <v>0</v>
      </c>
      <c r="S49" s="161">
        <f>+'Test Year Volumes'!D60</f>
        <v>0</v>
      </c>
      <c r="T49" s="162" t="s">
        <v>150</v>
      </c>
      <c r="U49" s="127"/>
      <c r="V49" s="142">
        <f t="shared" si="1"/>
        <v>0</v>
      </c>
      <c r="W49" s="142">
        <f t="shared" si="2"/>
        <v>0</v>
      </c>
      <c r="X49" s="142">
        <f t="shared" si="3"/>
        <v>0</v>
      </c>
      <c r="Y49" s="142">
        <f t="shared" si="4"/>
        <v>0</v>
      </c>
      <c r="Z49" s="142">
        <f t="shared" si="5"/>
        <v>0</v>
      </c>
      <c r="AA49" s="142">
        <f t="shared" si="6"/>
        <v>0</v>
      </c>
      <c r="AB49" s="142">
        <f t="shared" si="7"/>
        <v>0</v>
      </c>
      <c r="AC49" s="142">
        <f t="shared" si="8"/>
        <v>0</v>
      </c>
      <c r="AD49" s="142">
        <f t="shared" si="9"/>
        <v>0</v>
      </c>
      <c r="AE49" s="142">
        <f t="shared" si="10"/>
        <v>0</v>
      </c>
      <c r="AF49" s="142">
        <f t="shared" si="11"/>
        <v>0</v>
      </c>
      <c r="AG49" s="142">
        <f t="shared" si="12"/>
        <v>0</v>
      </c>
      <c r="AH49" s="147" t="s">
        <v>150</v>
      </c>
      <c r="AI49" s="225">
        <f t="shared" si="13"/>
        <v>0</v>
      </c>
      <c r="AK49" s="142">
        <f t="shared" si="14"/>
        <v>0</v>
      </c>
      <c r="AL49" s="142">
        <f t="shared" si="15"/>
        <v>0</v>
      </c>
      <c r="AM49" s="230">
        <f>'2017-18 Amort Detail'!AI49</f>
        <v>0</v>
      </c>
      <c r="AN49" s="230">
        <f>'2016-17 Amort Detail'!AI49</f>
        <v>0</v>
      </c>
      <c r="AO49" s="230">
        <f>'2015-16 Amort Detail'!AI49</f>
        <v>0</v>
      </c>
      <c r="AP49" s="236">
        <f t="shared" si="16"/>
        <v>0</v>
      </c>
    </row>
    <row r="50" spans="1:42" x14ac:dyDescent="0.25">
      <c r="A50" s="121">
        <f t="shared" si="0"/>
        <v>44</v>
      </c>
      <c r="B50" s="159" t="s">
        <v>119</v>
      </c>
      <c r="C50" s="159" t="s">
        <v>84</v>
      </c>
      <c r="D50" s="159" t="s">
        <v>120</v>
      </c>
      <c r="E50" s="159" t="s">
        <v>97</v>
      </c>
      <c r="F50" s="150">
        <v>0</v>
      </c>
      <c r="G50" s="129"/>
      <c r="H50" s="163">
        <v>51269</v>
      </c>
      <c r="I50" s="163">
        <v>71015</v>
      </c>
      <c r="J50" s="163">
        <v>73043</v>
      </c>
      <c r="K50" s="163">
        <v>73084</v>
      </c>
      <c r="L50" s="163">
        <f>+'Test Year Volumes'!I67</f>
        <v>73600</v>
      </c>
      <c r="M50" s="163">
        <f>+'Test Year Volumes'!J67</f>
        <v>70453</v>
      </c>
      <c r="N50" s="163">
        <f>+'Test Year Volumes'!K67</f>
        <v>67643</v>
      </c>
      <c r="O50" s="163">
        <f>+'Test Year Volumes'!L67</f>
        <v>64424</v>
      </c>
      <c r="P50" s="163">
        <f>+'Test Year Volumes'!M67</f>
        <v>65624</v>
      </c>
      <c r="Q50" s="163">
        <f>+'Test Year Volumes'!N67</f>
        <v>65336</v>
      </c>
      <c r="R50" s="163">
        <f>+'Test Year Volumes'!O67</f>
        <v>63847</v>
      </c>
      <c r="S50" s="163">
        <f>+'Test Year Volumes'!D67</f>
        <v>71082</v>
      </c>
      <c r="T50" s="164" t="s">
        <v>150</v>
      </c>
      <c r="U50" s="129"/>
      <c r="V50" s="143">
        <f t="shared" si="1"/>
        <v>0</v>
      </c>
      <c r="W50" s="143">
        <f t="shared" si="2"/>
        <v>0</v>
      </c>
      <c r="X50" s="143">
        <f t="shared" si="3"/>
        <v>0</v>
      </c>
      <c r="Y50" s="143">
        <f t="shared" si="4"/>
        <v>0</v>
      </c>
      <c r="Z50" s="143">
        <f t="shared" si="5"/>
        <v>0</v>
      </c>
      <c r="AA50" s="143">
        <f t="shared" si="6"/>
        <v>0</v>
      </c>
      <c r="AB50" s="143">
        <f t="shared" si="7"/>
        <v>0</v>
      </c>
      <c r="AC50" s="143">
        <f t="shared" si="8"/>
        <v>0</v>
      </c>
      <c r="AD50" s="143">
        <f t="shared" si="9"/>
        <v>0</v>
      </c>
      <c r="AE50" s="143">
        <f t="shared" si="10"/>
        <v>0</v>
      </c>
      <c r="AF50" s="143">
        <f t="shared" si="11"/>
        <v>0</v>
      </c>
      <c r="AG50" s="143">
        <f t="shared" si="12"/>
        <v>0</v>
      </c>
      <c r="AH50" s="148" t="s">
        <v>150</v>
      </c>
      <c r="AI50" s="226">
        <f t="shared" si="13"/>
        <v>0</v>
      </c>
      <c r="AK50" s="143">
        <f t="shared" si="14"/>
        <v>0</v>
      </c>
      <c r="AL50" s="143">
        <f t="shared" si="15"/>
        <v>0</v>
      </c>
      <c r="AM50" s="230">
        <f>'2017-18 Amort Detail'!AI50</f>
        <v>0</v>
      </c>
      <c r="AN50" s="230">
        <f>'2016-17 Amort Detail'!AI50</f>
        <v>0</v>
      </c>
      <c r="AO50" s="230">
        <f>'2015-16 Amort Detail'!AI50</f>
        <v>0</v>
      </c>
      <c r="AP50" s="236">
        <f t="shared" si="16"/>
        <v>0</v>
      </c>
    </row>
    <row r="51" spans="1:42" x14ac:dyDescent="0.25">
      <c r="A51" s="121">
        <f t="shared" si="0"/>
        <v>45</v>
      </c>
      <c r="B51" s="159" t="s">
        <v>120</v>
      </c>
      <c r="C51" s="159" t="s">
        <v>84</v>
      </c>
      <c r="D51" s="159" t="s">
        <v>120</v>
      </c>
      <c r="E51" s="159" t="s">
        <v>98</v>
      </c>
      <c r="F51" s="150">
        <v>0</v>
      </c>
      <c r="G51" s="129"/>
      <c r="H51" s="163">
        <v>47100</v>
      </c>
      <c r="I51" s="163">
        <v>72324</v>
      </c>
      <c r="J51" s="163">
        <v>74393</v>
      </c>
      <c r="K51" s="163">
        <v>72251</v>
      </c>
      <c r="L51" s="163">
        <f>+'Test Year Volumes'!I68</f>
        <v>75458</v>
      </c>
      <c r="M51" s="163">
        <f>+'Test Year Volumes'!J68</f>
        <v>70281</v>
      </c>
      <c r="N51" s="163">
        <f>+'Test Year Volumes'!K68</f>
        <v>66073</v>
      </c>
      <c r="O51" s="163">
        <f>+'Test Year Volumes'!L68</f>
        <v>65907</v>
      </c>
      <c r="P51" s="163">
        <f>+'Test Year Volumes'!M68</f>
        <v>65094</v>
      </c>
      <c r="Q51" s="163">
        <f>+'Test Year Volumes'!N68</f>
        <v>63638</v>
      </c>
      <c r="R51" s="163">
        <f>+'Test Year Volumes'!O68</f>
        <v>64446</v>
      </c>
      <c r="S51" s="163">
        <f>+'Test Year Volumes'!D68</f>
        <v>69212</v>
      </c>
      <c r="T51" s="164" t="s">
        <v>150</v>
      </c>
      <c r="U51" s="129"/>
      <c r="V51" s="143">
        <f t="shared" si="1"/>
        <v>0</v>
      </c>
      <c r="W51" s="143">
        <f t="shared" si="2"/>
        <v>0</v>
      </c>
      <c r="X51" s="143">
        <f t="shared" si="3"/>
        <v>0</v>
      </c>
      <c r="Y51" s="143">
        <f t="shared" si="4"/>
        <v>0</v>
      </c>
      <c r="Z51" s="143">
        <f t="shared" si="5"/>
        <v>0</v>
      </c>
      <c r="AA51" s="143">
        <f t="shared" si="6"/>
        <v>0</v>
      </c>
      <c r="AB51" s="143">
        <f t="shared" si="7"/>
        <v>0</v>
      </c>
      <c r="AC51" s="143">
        <f t="shared" si="8"/>
        <v>0</v>
      </c>
      <c r="AD51" s="143">
        <f t="shared" si="9"/>
        <v>0</v>
      </c>
      <c r="AE51" s="143">
        <f t="shared" si="10"/>
        <v>0</v>
      </c>
      <c r="AF51" s="143">
        <f t="shared" si="11"/>
        <v>0</v>
      </c>
      <c r="AG51" s="143">
        <f t="shared" si="12"/>
        <v>0</v>
      </c>
      <c r="AH51" s="148" t="s">
        <v>150</v>
      </c>
      <c r="AI51" s="226">
        <f t="shared" si="13"/>
        <v>0</v>
      </c>
      <c r="AK51" s="143">
        <f t="shared" si="14"/>
        <v>0</v>
      </c>
      <c r="AL51" s="143">
        <f t="shared" si="15"/>
        <v>0</v>
      </c>
      <c r="AM51" s="230">
        <f>'2017-18 Amort Detail'!AI51</f>
        <v>0</v>
      </c>
      <c r="AN51" s="230">
        <f>'2016-17 Amort Detail'!AI51</f>
        <v>0</v>
      </c>
      <c r="AO51" s="230">
        <f>'2015-16 Amort Detail'!AI51</f>
        <v>0</v>
      </c>
      <c r="AP51" s="236">
        <f t="shared" si="16"/>
        <v>0</v>
      </c>
    </row>
    <row r="52" spans="1:42" x14ac:dyDescent="0.25">
      <c r="A52" s="121">
        <f t="shared" si="0"/>
        <v>46</v>
      </c>
      <c r="B52" s="159"/>
      <c r="C52" s="159" t="s">
        <v>84</v>
      </c>
      <c r="D52" s="159" t="s">
        <v>120</v>
      </c>
      <c r="E52" s="159" t="s">
        <v>111</v>
      </c>
      <c r="F52" s="150">
        <v>0</v>
      </c>
      <c r="G52" s="129"/>
      <c r="H52" s="163">
        <v>40000</v>
      </c>
      <c r="I52" s="163">
        <v>60000</v>
      </c>
      <c r="J52" s="163">
        <v>60000</v>
      </c>
      <c r="K52" s="163">
        <v>60000</v>
      </c>
      <c r="L52" s="163">
        <f>+'Test Year Volumes'!I69</f>
        <v>60000</v>
      </c>
      <c r="M52" s="163">
        <f>+'Test Year Volumes'!J69</f>
        <v>60000</v>
      </c>
      <c r="N52" s="163">
        <f>+'Test Year Volumes'!K69</f>
        <v>60000</v>
      </c>
      <c r="O52" s="163">
        <f>+'Test Year Volumes'!L69</f>
        <v>58539</v>
      </c>
      <c r="P52" s="163">
        <f>+'Test Year Volumes'!M69</f>
        <v>56699</v>
      </c>
      <c r="Q52" s="163">
        <f>+'Test Year Volumes'!N69</f>
        <v>57038</v>
      </c>
      <c r="R52" s="163">
        <f>+'Test Year Volumes'!O69</f>
        <v>60000</v>
      </c>
      <c r="S52" s="163">
        <f>+'Test Year Volumes'!D69</f>
        <v>60000</v>
      </c>
      <c r="T52" s="164" t="s">
        <v>150</v>
      </c>
      <c r="U52" s="129"/>
      <c r="V52" s="143">
        <f t="shared" si="1"/>
        <v>0</v>
      </c>
      <c r="W52" s="143">
        <f t="shared" si="2"/>
        <v>0</v>
      </c>
      <c r="X52" s="143">
        <f t="shared" si="3"/>
        <v>0</v>
      </c>
      <c r="Y52" s="143">
        <f t="shared" si="4"/>
        <v>0</v>
      </c>
      <c r="Z52" s="143">
        <f t="shared" si="5"/>
        <v>0</v>
      </c>
      <c r="AA52" s="143">
        <f t="shared" si="6"/>
        <v>0</v>
      </c>
      <c r="AB52" s="143">
        <f t="shared" si="7"/>
        <v>0</v>
      </c>
      <c r="AC52" s="143">
        <f t="shared" si="8"/>
        <v>0</v>
      </c>
      <c r="AD52" s="143">
        <f t="shared" si="9"/>
        <v>0</v>
      </c>
      <c r="AE52" s="143">
        <f t="shared" si="10"/>
        <v>0</v>
      </c>
      <c r="AF52" s="143">
        <f t="shared" si="11"/>
        <v>0</v>
      </c>
      <c r="AG52" s="143">
        <f t="shared" si="12"/>
        <v>0</v>
      </c>
      <c r="AH52" s="148" t="s">
        <v>150</v>
      </c>
      <c r="AI52" s="226">
        <f t="shared" si="13"/>
        <v>0</v>
      </c>
      <c r="AK52" s="143">
        <f t="shared" si="14"/>
        <v>0</v>
      </c>
      <c r="AL52" s="143">
        <f t="shared" si="15"/>
        <v>0</v>
      </c>
      <c r="AM52" s="230">
        <f>'2017-18 Amort Detail'!AI52</f>
        <v>0</v>
      </c>
      <c r="AN52" s="230">
        <f>'2016-17 Amort Detail'!AI52</f>
        <v>0</v>
      </c>
      <c r="AO52" s="230">
        <f>'2015-16 Amort Detail'!AI52</f>
        <v>0</v>
      </c>
      <c r="AP52" s="236">
        <f t="shared" si="16"/>
        <v>0</v>
      </c>
    </row>
    <row r="53" spans="1:42" x14ac:dyDescent="0.25">
      <c r="A53" s="121">
        <f t="shared" si="0"/>
        <v>47</v>
      </c>
      <c r="B53" s="159"/>
      <c r="C53" s="159" t="s">
        <v>84</v>
      </c>
      <c r="D53" s="159" t="s">
        <v>120</v>
      </c>
      <c r="E53" s="159" t="s">
        <v>112</v>
      </c>
      <c r="F53" s="150">
        <v>0</v>
      </c>
      <c r="G53" s="129"/>
      <c r="H53" s="163">
        <v>20249</v>
      </c>
      <c r="I53" s="163">
        <v>125063</v>
      </c>
      <c r="J53" s="163">
        <v>128237</v>
      </c>
      <c r="K53" s="163">
        <v>119303</v>
      </c>
      <c r="L53" s="163">
        <f>+'Test Year Volumes'!I70</f>
        <v>120509</v>
      </c>
      <c r="M53" s="163">
        <f>+'Test Year Volumes'!J70</f>
        <v>116009</v>
      </c>
      <c r="N53" s="163">
        <f>+'Test Year Volumes'!K70</f>
        <v>96859</v>
      </c>
      <c r="O53" s="163">
        <f>+'Test Year Volumes'!L70</f>
        <v>94926</v>
      </c>
      <c r="P53" s="163">
        <f>+'Test Year Volumes'!M70</f>
        <v>86421</v>
      </c>
      <c r="Q53" s="163">
        <f>+'Test Year Volumes'!N70</f>
        <v>86752</v>
      </c>
      <c r="R53" s="163">
        <f>+'Test Year Volumes'!O70</f>
        <v>95322</v>
      </c>
      <c r="S53" s="163">
        <f>+'Test Year Volumes'!D70</f>
        <v>120501</v>
      </c>
      <c r="T53" s="164" t="s">
        <v>150</v>
      </c>
      <c r="U53" s="129"/>
      <c r="V53" s="143">
        <f t="shared" si="1"/>
        <v>0</v>
      </c>
      <c r="W53" s="143">
        <f t="shared" si="2"/>
        <v>0</v>
      </c>
      <c r="X53" s="143">
        <f t="shared" si="3"/>
        <v>0</v>
      </c>
      <c r="Y53" s="143">
        <f t="shared" si="4"/>
        <v>0</v>
      </c>
      <c r="Z53" s="143">
        <f t="shared" si="5"/>
        <v>0</v>
      </c>
      <c r="AA53" s="143">
        <f t="shared" si="6"/>
        <v>0</v>
      </c>
      <c r="AB53" s="143">
        <f t="shared" si="7"/>
        <v>0</v>
      </c>
      <c r="AC53" s="143">
        <f t="shared" si="8"/>
        <v>0</v>
      </c>
      <c r="AD53" s="143">
        <f t="shared" si="9"/>
        <v>0</v>
      </c>
      <c r="AE53" s="143">
        <f t="shared" si="10"/>
        <v>0</v>
      </c>
      <c r="AF53" s="143">
        <f t="shared" si="11"/>
        <v>0</v>
      </c>
      <c r="AG53" s="143">
        <f t="shared" si="12"/>
        <v>0</v>
      </c>
      <c r="AH53" s="148" t="s">
        <v>150</v>
      </c>
      <c r="AI53" s="226">
        <f t="shared" si="13"/>
        <v>0</v>
      </c>
      <c r="AK53" s="143">
        <f t="shared" si="14"/>
        <v>0</v>
      </c>
      <c r="AL53" s="143">
        <f t="shared" si="15"/>
        <v>0</v>
      </c>
      <c r="AM53" s="230">
        <f>'2017-18 Amort Detail'!AI53</f>
        <v>0</v>
      </c>
      <c r="AN53" s="230">
        <f>'2016-17 Amort Detail'!AI53</f>
        <v>0</v>
      </c>
      <c r="AO53" s="230">
        <f>'2015-16 Amort Detail'!AI53</f>
        <v>0</v>
      </c>
      <c r="AP53" s="236">
        <f t="shared" si="16"/>
        <v>0</v>
      </c>
    </row>
    <row r="54" spans="1:42" x14ac:dyDescent="0.25">
      <c r="A54" s="121">
        <f t="shared" si="0"/>
        <v>48</v>
      </c>
      <c r="B54" s="159"/>
      <c r="C54" s="159" t="s">
        <v>84</v>
      </c>
      <c r="D54" s="159" t="s">
        <v>120</v>
      </c>
      <c r="E54" s="159" t="s">
        <v>113</v>
      </c>
      <c r="F54" s="150">
        <v>0</v>
      </c>
      <c r="G54" s="129"/>
      <c r="H54" s="163">
        <v>0</v>
      </c>
      <c r="I54" s="163">
        <v>89708</v>
      </c>
      <c r="J54" s="163">
        <v>94214</v>
      </c>
      <c r="K54" s="163">
        <v>151598</v>
      </c>
      <c r="L54" s="163">
        <f>+'Test Year Volumes'!I71</f>
        <v>64553</v>
      </c>
      <c r="M54" s="163">
        <f>+'Test Year Volumes'!J71</f>
        <v>32993</v>
      </c>
      <c r="N54" s="163">
        <f>+'Test Year Volumes'!K71</f>
        <v>0</v>
      </c>
      <c r="O54" s="163">
        <f>+'Test Year Volumes'!L71</f>
        <v>0</v>
      </c>
      <c r="P54" s="163">
        <f>+'Test Year Volumes'!M71</f>
        <v>0</v>
      </c>
      <c r="Q54" s="163">
        <f>+'Test Year Volumes'!N71</f>
        <v>0</v>
      </c>
      <c r="R54" s="163">
        <f>+'Test Year Volumes'!O71</f>
        <v>0</v>
      </c>
      <c r="S54" s="163">
        <f>+'Test Year Volumes'!D71</f>
        <v>0</v>
      </c>
      <c r="T54" s="164" t="s">
        <v>150</v>
      </c>
      <c r="U54" s="129"/>
      <c r="V54" s="143">
        <f t="shared" si="1"/>
        <v>0</v>
      </c>
      <c r="W54" s="143">
        <f t="shared" si="2"/>
        <v>0</v>
      </c>
      <c r="X54" s="143">
        <f t="shared" si="3"/>
        <v>0</v>
      </c>
      <c r="Y54" s="143">
        <f t="shared" si="4"/>
        <v>0</v>
      </c>
      <c r="Z54" s="143">
        <f t="shared" si="5"/>
        <v>0</v>
      </c>
      <c r="AA54" s="143">
        <f t="shared" si="6"/>
        <v>0</v>
      </c>
      <c r="AB54" s="143">
        <f t="shared" si="7"/>
        <v>0</v>
      </c>
      <c r="AC54" s="143">
        <f t="shared" si="8"/>
        <v>0</v>
      </c>
      <c r="AD54" s="143">
        <f t="shared" si="9"/>
        <v>0</v>
      </c>
      <c r="AE54" s="143">
        <f t="shared" si="10"/>
        <v>0</v>
      </c>
      <c r="AF54" s="143">
        <f t="shared" si="11"/>
        <v>0</v>
      </c>
      <c r="AG54" s="143">
        <f t="shared" si="12"/>
        <v>0</v>
      </c>
      <c r="AH54" s="148" t="s">
        <v>150</v>
      </c>
      <c r="AI54" s="226">
        <f t="shared" si="13"/>
        <v>0</v>
      </c>
      <c r="AK54" s="143">
        <f t="shared" si="14"/>
        <v>0</v>
      </c>
      <c r="AL54" s="143">
        <f t="shared" si="15"/>
        <v>0</v>
      </c>
      <c r="AM54" s="230">
        <f>'2017-18 Amort Detail'!AI54</f>
        <v>0</v>
      </c>
      <c r="AN54" s="230">
        <f>'2016-17 Amort Detail'!AI54</f>
        <v>0</v>
      </c>
      <c r="AO54" s="230">
        <f>'2015-16 Amort Detail'!AI54</f>
        <v>0</v>
      </c>
      <c r="AP54" s="236">
        <f t="shared" si="16"/>
        <v>0</v>
      </c>
    </row>
    <row r="55" spans="1:42" x14ac:dyDescent="0.25">
      <c r="A55" s="121">
        <f t="shared" si="0"/>
        <v>49</v>
      </c>
      <c r="B55" s="160"/>
      <c r="C55" s="160" t="s">
        <v>84</v>
      </c>
      <c r="D55" s="160" t="s">
        <v>120</v>
      </c>
      <c r="E55" s="160" t="s">
        <v>114</v>
      </c>
      <c r="F55" s="149">
        <v>0</v>
      </c>
      <c r="G55" s="127"/>
      <c r="H55" s="166">
        <v>0</v>
      </c>
      <c r="I55" s="166">
        <v>0</v>
      </c>
      <c r="J55" s="161">
        <v>0</v>
      </c>
      <c r="K55" s="161">
        <v>0</v>
      </c>
      <c r="L55" s="161">
        <f>+'Test Year Volumes'!I72</f>
        <v>0</v>
      </c>
      <c r="M55" s="161">
        <f>+'Test Year Volumes'!J72</f>
        <v>0</v>
      </c>
      <c r="N55" s="161">
        <f>+'Test Year Volumes'!K72</f>
        <v>0</v>
      </c>
      <c r="O55" s="161">
        <f>+'Test Year Volumes'!L72</f>
        <v>0</v>
      </c>
      <c r="P55" s="161">
        <f>+'Test Year Volumes'!M72</f>
        <v>0</v>
      </c>
      <c r="Q55" s="161">
        <f>+'Test Year Volumes'!N72</f>
        <v>0</v>
      </c>
      <c r="R55" s="161">
        <f>+'Test Year Volumes'!O72</f>
        <v>0</v>
      </c>
      <c r="S55" s="161">
        <f>+'Test Year Volumes'!D72</f>
        <v>0</v>
      </c>
      <c r="T55" s="162" t="s">
        <v>150</v>
      </c>
      <c r="U55" s="127"/>
      <c r="V55" s="145">
        <f t="shared" si="1"/>
        <v>0</v>
      </c>
      <c r="W55" s="145">
        <f t="shared" si="2"/>
        <v>0</v>
      </c>
      <c r="X55" s="145">
        <f t="shared" si="3"/>
        <v>0</v>
      </c>
      <c r="Y55" s="145">
        <f t="shared" si="4"/>
        <v>0</v>
      </c>
      <c r="Z55" s="145">
        <f t="shared" si="5"/>
        <v>0</v>
      </c>
      <c r="AA55" s="145">
        <f t="shared" si="6"/>
        <v>0</v>
      </c>
      <c r="AB55" s="145">
        <f t="shared" si="7"/>
        <v>0</v>
      </c>
      <c r="AC55" s="145">
        <f t="shared" si="8"/>
        <v>0</v>
      </c>
      <c r="AD55" s="145">
        <f t="shared" si="9"/>
        <v>0</v>
      </c>
      <c r="AE55" s="145">
        <f t="shared" si="10"/>
        <v>0</v>
      </c>
      <c r="AF55" s="145">
        <f t="shared" si="11"/>
        <v>0</v>
      </c>
      <c r="AG55" s="145">
        <f t="shared" si="12"/>
        <v>0</v>
      </c>
      <c r="AH55" s="147" t="s">
        <v>150</v>
      </c>
      <c r="AI55" s="228">
        <f t="shared" si="13"/>
        <v>0</v>
      </c>
      <c r="AK55" s="145">
        <f t="shared" si="14"/>
        <v>0</v>
      </c>
      <c r="AL55" s="145">
        <f t="shared" si="15"/>
        <v>0</v>
      </c>
      <c r="AM55" s="230">
        <f>'2017-18 Amort Detail'!AI55</f>
        <v>0</v>
      </c>
      <c r="AN55" s="230">
        <f>'2016-17 Amort Detail'!AI55</f>
        <v>0</v>
      </c>
      <c r="AO55" s="230">
        <f>'2015-16 Amort Detail'!AI55</f>
        <v>0</v>
      </c>
      <c r="AP55" s="236">
        <f t="shared" si="16"/>
        <v>0</v>
      </c>
    </row>
    <row r="56" spans="1:42" x14ac:dyDescent="0.25">
      <c r="A56" s="121">
        <f t="shared" si="0"/>
        <v>50</v>
      </c>
      <c r="B56" s="159" t="s">
        <v>121</v>
      </c>
      <c r="C56" s="159" t="s">
        <v>84</v>
      </c>
      <c r="D56" s="159" t="s">
        <v>122</v>
      </c>
      <c r="E56" s="159" t="s">
        <v>97</v>
      </c>
      <c r="F56" s="150">
        <v>-1.0290000000000001E-2</v>
      </c>
      <c r="G56" s="129"/>
      <c r="H56" s="163">
        <v>20000</v>
      </c>
      <c r="I56" s="163">
        <v>20000</v>
      </c>
      <c r="J56" s="163">
        <v>20000</v>
      </c>
      <c r="K56" s="163">
        <v>20000</v>
      </c>
      <c r="L56" s="204"/>
      <c r="M56" s="163"/>
      <c r="N56" s="163"/>
      <c r="O56" s="163"/>
      <c r="P56" s="163"/>
      <c r="Q56" s="163"/>
      <c r="R56" s="163"/>
      <c r="S56" s="163"/>
      <c r="T56" s="164" t="s">
        <v>150</v>
      </c>
      <c r="U56" s="129"/>
      <c r="V56" s="143">
        <f t="shared" si="1"/>
        <v>-205.8</v>
      </c>
      <c r="W56" s="143">
        <f t="shared" si="2"/>
        <v>-205.8</v>
      </c>
      <c r="X56" s="143">
        <f t="shared" si="3"/>
        <v>-205.8</v>
      </c>
      <c r="Y56" s="143">
        <f t="shared" si="4"/>
        <v>-205.8</v>
      </c>
      <c r="Z56" s="143">
        <f t="shared" si="5"/>
        <v>0</v>
      </c>
      <c r="AA56" s="143">
        <f t="shared" si="6"/>
        <v>0</v>
      </c>
      <c r="AB56" s="143">
        <f t="shared" si="7"/>
        <v>0</v>
      </c>
      <c r="AC56" s="143">
        <f t="shared" si="8"/>
        <v>0</v>
      </c>
      <c r="AD56" s="143">
        <f t="shared" si="9"/>
        <v>0</v>
      </c>
      <c r="AE56" s="143">
        <f t="shared" si="10"/>
        <v>0</v>
      </c>
      <c r="AF56" s="143">
        <f t="shared" si="11"/>
        <v>0</v>
      </c>
      <c r="AG56" s="143">
        <f t="shared" si="12"/>
        <v>0</v>
      </c>
      <c r="AH56" s="148" t="s">
        <v>150</v>
      </c>
      <c r="AI56" s="226">
        <f>+SUM(V56:AH56)</f>
        <v>-823.2</v>
      </c>
      <c r="AK56" s="143">
        <f t="shared" si="14"/>
        <v>-860.83573848663571</v>
      </c>
      <c r="AL56" s="143">
        <f t="shared" si="15"/>
        <v>-860.83573848663571</v>
      </c>
      <c r="AM56" s="230">
        <f>'2017-18 Amort Detail'!AI56</f>
        <v>-1711.1999999999996</v>
      </c>
      <c r="AN56" s="230">
        <f>'2016-17 Amort Detail'!AI56</f>
        <v>-1857.5999999999997</v>
      </c>
      <c r="AO56" s="230">
        <f>'2015-16 Amort Detail'!AI56</f>
        <v>-1435.1999999999998</v>
      </c>
      <c r="AP56" s="236">
        <f t="shared" si="16"/>
        <v>-5827.1999999999989</v>
      </c>
    </row>
    <row r="57" spans="1:42" x14ac:dyDescent="0.25">
      <c r="A57" s="121">
        <f t="shared" si="0"/>
        <v>51</v>
      </c>
      <c r="B57" s="159" t="s">
        <v>122</v>
      </c>
      <c r="C57" s="159" t="s">
        <v>84</v>
      </c>
      <c r="D57" s="159" t="s">
        <v>122</v>
      </c>
      <c r="E57" s="159" t="s">
        <v>98</v>
      </c>
      <c r="F57" s="150">
        <v>-9.2099999999999994E-3</v>
      </c>
      <c r="G57" s="129"/>
      <c r="H57" s="163">
        <v>40000</v>
      </c>
      <c r="I57" s="163">
        <v>40000</v>
      </c>
      <c r="J57" s="163">
        <v>40000</v>
      </c>
      <c r="K57" s="163">
        <v>40000</v>
      </c>
      <c r="L57" s="204"/>
      <c r="M57" s="163"/>
      <c r="N57" s="163"/>
      <c r="O57" s="163"/>
      <c r="P57" s="163"/>
      <c r="Q57" s="163"/>
      <c r="R57" s="163"/>
      <c r="S57" s="163"/>
      <c r="T57" s="164" t="s">
        <v>150</v>
      </c>
      <c r="U57" s="129"/>
      <c r="V57" s="143">
        <f t="shared" si="1"/>
        <v>-368.4</v>
      </c>
      <c r="W57" s="143">
        <f t="shared" si="2"/>
        <v>-368.4</v>
      </c>
      <c r="X57" s="143">
        <f t="shared" si="3"/>
        <v>-368.4</v>
      </c>
      <c r="Y57" s="143">
        <f t="shared" si="4"/>
        <v>-368.4</v>
      </c>
      <c r="Z57" s="143">
        <f t="shared" si="5"/>
        <v>0</v>
      </c>
      <c r="AA57" s="143">
        <f t="shared" si="6"/>
        <v>0</v>
      </c>
      <c r="AB57" s="143">
        <f t="shared" si="7"/>
        <v>0</v>
      </c>
      <c r="AC57" s="143">
        <f t="shared" si="8"/>
        <v>0</v>
      </c>
      <c r="AD57" s="143">
        <f t="shared" si="9"/>
        <v>0</v>
      </c>
      <c r="AE57" s="143">
        <f t="shared" si="10"/>
        <v>0</v>
      </c>
      <c r="AF57" s="143">
        <f t="shared" si="11"/>
        <v>0</v>
      </c>
      <c r="AG57" s="143">
        <f t="shared" si="12"/>
        <v>0</v>
      </c>
      <c r="AH57" s="148" t="s">
        <v>150</v>
      </c>
      <c r="AI57" s="226">
        <f t="shared" si="13"/>
        <v>-1473.6</v>
      </c>
      <c r="AK57" s="143">
        <f t="shared" si="14"/>
        <v>-1540.9712636466306</v>
      </c>
      <c r="AL57" s="143">
        <f t="shared" si="15"/>
        <v>-1540.9712636466306</v>
      </c>
      <c r="AM57" s="230">
        <f>'2017-18 Amort Detail'!AI57</f>
        <v>-3010.75</v>
      </c>
      <c r="AN57" s="230">
        <f>'2016-17 Amort Detail'!AI57</f>
        <v>-3235.4700000000003</v>
      </c>
      <c r="AO57" s="230">
        <f>'2015-16 Amort Detail'!AI57</f>
        <v>-2549.3700000000003</v>
      </c>
      <c r="AP57" s="236">
        <f t="shared" si="16"/>
        <v>-10269.19</v>
      </c>
    </row>
    <row r="58" spans="1:42" x14ac:dyDescent="0.25">
      <c r="A58" s="121">
        <f t="shared" si="0"/>
        <v>52</v>
      </c>
      <c r="B58" s="159"/>
      <c r="C58" s="159" t="s">
        <v>84</v>
      </c>
      <c r="D58" s="159" t="s">
        <v>122</v>
      </c>
      <c r="E58" s="159" t="s">
        <v>111</v>
      </c>
      <c r="F58" s="150">
        <v>-7.0600000000000003E-3</v>
      </c>
      <c r="G58" s="129"/>
      <c r="H58" s="163">
        <v>27106</v>
      </c>
      <c r="I58" s="163">
        <v>31624</v>
      </c>
      <c r="J58" s="163">
        <v>33090</v>
      </c>
      <c r="K58" s="163">
        <v>24099</v>
      </c>
      <c r="L58" s="204"/>
      <c r="M58" s="163"/>
      <c r="N58" s="163"/>
      <c r="O58" s="163"/>
      <c r="P58" s="163"/>
      <c r="Q58" s="163"/>
      <c r="R58" s="163"/>
      <c r="S58" s="163"/>
      <c r="T58" s="164" t="s">
        <v>150</v>
      </c>
      <c r="U58" s="129"/>
      <c r="V58" s="143">
        <f t="shared" si="1"/>
        <v>-191.37</v>
      </c>
      <c r="W58" s="143">
        <f t="shared" si="2"/>
        <v>-223.27</v>
      </c>
      <c r="X58" s="143">
        <f t="shared" si="3"/>
        <v>-233.62</v>
      </c>
      <c r="Y58" s="143">
        <f t="shared" si="4"/>
        <v>-170.14</v>
      </c>
      <c r="Z58" s="143">
        <f t="shared" si="5"/>
        <v>0</v>
      </c>
      <c r="AA58" s="143">
        <f t="shared" si="6"/>
        <v>0</v>
      </c>
      <c r="AB58" s="143">
        <f t="shared" si="7"/>
        <v>0</v>
      </c>
      <c r="AC58" s="143">
        <f t="shared" si="8"/>
        <v>0</v>
      </c>
      <c r="AD58" s="143">
        <f t="shared" si="9"/>
        <v>0</v>
      </c>
      <c r="AE58" s="143">
        <f t="shared" si="10"/>
        <v>0</v>
      </c>
      <c r="AF58" s="143">
        <f t="shared" si="11"/>
        <v>0</v>
      </c>
      <c r="AG58" s="143">
        <f t="shared" si="12"/>
        <v>0</v>
      </c>
      <c r="AH58" s="148" t="s">
        <v>150</v>
      </c>
      <c r="AI58" s="226">
        <f t="shared" si="13"/>
        <v>-818.4</v>
      </c>
      <c r="AK58" s="143">
        <f t="shared" si="14"/>
        <v>-855.81628811645123</v>
      </c>
      <c r="AL58" s="143">
        <f t="shared" si="15"/>
        <v>-855.81628811645123</v>
      </c>
      <c r="AM58" s="230">
        <f>'2017-18 Amort Detail'!AI58</f>
        <v>-1198.8999999999999</v>
      </c>
      <c r="AN58" s="230">
        <f>'2016-17 Amort Detail'!AI58</f>
        <v>-1241.18</v>
      </c>
      <c r="AO58" s="230">
        <f>'2015-16 Amort Detail'!AI58</f>
        <v>-901.63999999999987</v>
      </c>
      <c r="AP58" s="236">
        <f t="shared" si="16"/>
        <v>-4160.119999999999</v>
      </c>
    </row>
    <row r="59" spans="1:42" x14ac:dyDescent="0.25">
      <c r="A59" s="121">
        <f t="shared" si="0"/>
        <v>53</v>
      </c>
      <c r="B59" s="159"/>
      <c r="C59" s="159" t="s">
        <v>84</v>
      </c>
      <c r="D59" s="159" t="s">
        <v>122</v>
      </c>
      <c r="E59" s="159" t="s">
        <v>112</v>
      </c>
      <c r="F59" s="150">
        <v>-5.6499999999999996E-3</v>
      </c>
      <c r="G59" s="129"/>
      <c r="H59" s="163">
        <v>3167</v>
      </c>
      <c r="I59" s="163">
        <v>14274</v>
      </c>
      <c r="J59" s="163">
        <v>13625</v>
      </c>
      <c r="K59" s="163">
        <v>8773</v>
      </c>
      <c r="L59" s="204"/>
      <c r="M59" s="163"/>
      <c r="N59" s="163"/>
      <c r="O59" s="163"/>
      <c r="P59" s="163"/>
      <c r="Q59" s="163"/>
      <c r="R59" s="163"/>
      <c r="S59" s="163"/>
      <c r="T59" s="164" t="s">
        <v>150</v>
      </c>
      <c r="U59" s="129"/>
      <c r="V59" s="143">
        <f t="shared" si="1"/>
        <v>-17.89</v>
      </c>
      <c r="W59" s="143">
        <f t="shared" si="2"/>
        <v>-80.650000000000006</v>
      </c>
      <c r="X59" s="143">
        <f t="shared" si="3"/>
        <v>-76.98</v>
      </c>
      <c r="Y59" s="143">
        <f t="shared" si="4"/>
        <v>-49.57</v>
      </c>
      <c r="Z59" s="143">
        <f t="shared" si="5"/>
        <v>0</v>
      </c>
      <c r="AA59" s="143">
        <f t="shared" si="6"/>
        <v>0</v>
      </c>
      <c r="AB59" s="143">
        <f t="shared" si="7"/>
        <v>0</v>
      </c>
      <c r="AC59" s="143">
        <f t="shared" si="8"/>
        <v>0</v>
      </c>
      <c r="AD59" s="143">
        <f t="shared" si="9"/>
        <v>0</v>
      </c>
      <c r="AE59" s="143">
        <f t="shared" si="10"/>
        <v>0</v>
      </c>
      <c r="AF59" s="143">
        <f t="shared" si="11"/>
        <v>0</v>
      </c>
      <c r="AG59" s="143">
        <f t="shared" si="12"/>
        <v>0</v>
      </c>
      <c r="AH59" s="148" t="s">
        <v>150</v>
      </c>
      <c r="AI59" s="226">
        <f t="shared" si="13"/>
        <v>-225.09</v>
      </c>
      <c r="AK59" s="143">
        <f t="shared" si="14"/>
        <v>-235.38085079683773</v>
      </c>
      <c r="AL59" s="143">
        <f t="shared" si="15"/>
        <v>-235.38085079683773</v>
      </c>
      <c r="AM59" s="230">
        <f>'2017-18 Amort Detail'!AI59</f>
        <v>-194.21</v>
      </c>
      <c r="AN59" s="230">
        <f>'2016-17 Amort Detail'!AI59</f>
        <v>-376.69</v>
      </c>
      <c r="AO59" s="230">
        <f>'2015-16 Amort Detail'!AI59</f>
        <v>-236.18999999999997</v>
      </c>
      <c r="AP59" s="236">
        <f t="shared" si="16"/>
        <v>-1032.18</v>
      </c>
    </row>
    <row r="60" spans="1:42" x14ac:dyDescent="0.25">
      <c r="A60" s="121">
        <f t="shared" si="0"/>
        <v>54</v>
      </c>
      <c r="B60" s="159"/>
      <c r="C60" s="159" t="s">
        <v>84</v>
      </c>
      <c r="D60" s="159" t="s">
        <v>122</v>
      </c>
      <c r="E60" s="159" t="s">
        <v>113</v>
      </c>
      <c r="F60" s="150">
        <v>-3.7699999999999999E-3</v>
      </c>
      <c r="G60" s="129"/>
      <c r="H60" s="163">
        <v>0</v>
      </c>
      <c r="I60" s="163">
        <v>0</v>
      </c>
      <c r="J60" s="163">
        <v>0</v>
      </c>
      <c r="K60" s="163">
        <v>0</v>
      </c>
      <c r="L60" s="204"/>
      <c r="M60" s="163"/>
      <c r="N60" s="163"/>
      <c r="O60" s="163"/>
      <c r="P60" s="163"/>
      <c r="Q60" s="163"/>
      <c r="R60" s="163"/>
      <c r="S60" s="163"/>
      <c r="T60" s="164" t="s">
        <v>150</v>
      </c>
      <c r="U60" s="129"/>
      <c r="V60" s="143">
        <f t="shared" si="1"/>
        <v>0</v>
      </c>
      <c r="W60" s="143">
        <f t="shared" si="2"/>
        <v>0</v>
      </c>
      <c r="X60" s="143">
        <f t="shared" si="3"/>
        <v>0</v>
      </c>
      <c r="Y60" s="143">
        <f t="shared" si="4"/>
        <v>0</v>
      </c>
      <c r="Z60" s="143">
        <f t="shared" si="5"/>
        <v>0</v>
      </c>
      <c r="AA60" s="143">
        <f t="shared" si="6"/>
        <v>0</v>
      </c>
      <c r="AB60" s="143">
        <f t="shared" si="7"/>
        <v>0</v>
      </c>
      <c r="AC60" s="143">
        <f t="shared" si="8"/>
        <v>0</v>
      </c>
      <c r="AD60" s="143">
        <f t="shared" si="9"/>
        <v>0</v>
      </c>
      <c r="AE60" s="143">
        <f t="shared" si="10"/>
        <v>0</v>
      </c>
      <c r="AF60" s="143">
        <f t="shared" si="11"/>
        <v>0</v>
      </c>
      <c r="AG60" s="143">
        <f t="shared" si="12"/>
        <v>0</v>
      </c>
      <c r="AH60" s="148" t="s">
        <v>150</v>
      </c>
      <c r="AI60" s="226">
        <f t="shared" si="13"/>
        <v>0</v>
      </c>
      <c r="AK60" s="143">
        <f t="shared" si="14"/>
        <v>0</v>
      </c>
      <c r="AL60" s="143">
        <f t="shared" si="15"/>
        <v>0</v>
      </c>
      <c r="AM60" s="230">
        <f>'2017-18 Amort Detail'!AI60</f>
        <v>0</v>
      </c>
      <c r="AN60" s="230">
        <f>'2016-17 Amort Detail'!AI60</f>
        <v>0</v>
      </c>
      <c r="AO60" s="230">
        <f>'2015-16 Amort Detail'!AI60</f>
        <v>0</v>
      </c>
      <c r="AP60" s="236">
        <f t="shared" si="16"/>
        <v>0</v>
      </c>
    </row>
    <row r="61" spans="1:42" x14ac:dyDescent="0.25">
      <c r="A61" s="121">
        <f t="shared" si="0"/>
        <v>55</v>
      </c>
      <c r="B61" s="160"/>
      <c r="C61" s="160" t="s">
        <v>84</v>
      </c>
      <c r="D61" s="160" t="s">
        <v>122</v>
      </c>
      <c r="E61" s="160" t="s">
        <v>114</v>
      </c>
      <c r="F61" s="149">
        <v>-1.42E-3</v>
      </c>
      <c r="G61" s="127"/>
      <c r="H61" s="161">
        <v>0</v>
      </c>
      <c r="I61" s="161">
        <v>0</v>
      </c>
      <c r="J61" s="161">
        <v>0</v>
      </c>
      <c r="K61" s="161">
        <v>0</v>
      </c>
      <c r="L61" s="205"/>
      <c r="M61" s="161"/>
      <c r="N61" s="161"/>
      <c r="O61" s="161"/>
      <c r="P61" s="161"/>
      <c r="Q61" s="161"/>
      <c r="R61" s="161"/>
      <c r="S61" s="161"/>
      <c r="T61" s="162" t="s">
        <v>150</v>
      </c>
      <c r="U61" s="127"/>
      <c r="V61" s="142">
        <f t="shared" si="1"/>
        <v>0</v>
      </c>
      <c r="W61" s="142">
        <f t="shared" si="2"/>
        <v>0</v>
      </c>
      <c r="X61" s="142">
        <f t="shared" si="3"/>
        <v>0</v>
      </c>
      <c r="Y61" s="142">
        <f t="shared" si="4"/>
        <v>0</v>
      </c>
      <c r="Z61" s="142">
        <f t="shared" si="5"/>
        <v>0</v>
      </c>
      <c r="AA61" s="142">
        <f t="shared" si="6"/>
        <v>0</v>
      </c>
      <c r="AB61" s="142">
        <f t="shared" si="7"/>
        <v>0</v>
      </c>
      <c r="AC61" s="142">
        <f t="shared" si="8"/>
        <v>0</v>
      </c>
      <c r="AD61" s="142">
        <f t="shared" si="9"/>
        <v>0</v>
      </c>
      <c r="AE61" s="142">
        <f t="shared" si="10"/>
        <v>0</v>
      </c>
      <c r="AF61" s="142">
        <f t="shared" si="11"/>
        <v>0</v>
      </c>
      <c r="AG61" s="142">
        <f t="shared" si="12"/>
        <v>0</v>
      </c>
      <c r="AH61" s="147" t="s">
        <v>150</v>
      </c>
      <c r="AI61" s="225">
        <f t="shared" si="13"/>
        <v>0</v>
      </c>
      <c r="AK61" s="142">
        <f t="shared" si="14"/>
        <v>0</v>
      </c>
      <c r="AL61" s="142">
        <f t="shared" si="15"/>
        <v>0</v>
      </c>
      <c r="AM61" s="230">
        <f>'2017-18 Amort Detail'!AI61</f>
        <v>0</v>
      </c>
      <c r="AN61" s="230">
        <f>'2016-17 Amort Detail'!AI61</f>
        <v>0</v>
      </c>
      <c r="AO61" s="230">
        <f>'2015-16 Amort Detail'!AI61</f>
        <v>0</v>
      </c>
      <c r="AP61" s="236">
        <f t="shared" si="16"/>
        <v>0</v>
      </c>
    </row>
    <row r="62" spans="1:42" x14ac:dyDescent="0.25">
      <c r="A62" s="121">
        <f t="shared" si="0"/>
        <v>56</v>
      </c>
      <c r="B62" s="159" t="s">
        <v>123</v>
      </c>
      <c r="C62" s="159" t="s">
        <v>84</v>
      </c>
      <c r="D62" s="159" t="s">
        <v>124</v>
      </c>
      <c r="E62" s="159" t="s">
        <v>97</v>
      </c>
      <c r="F62" s="150">
        <v>0</v>
      </c>
      <c r="G62" s="129"/>
      <c r="H62" s="163">
        <v>16605</v>
      </c>
      <c r="I62" s="163">
        <v>18391</v>
      </c>
      <c r="J62" s="163">
        <v>20402</v>
      </c>
      <c r="K62" s="163">
        <v>18184</v>
      </c>
      <c r="L62" s="204"/>
      <c r="M62" s="163"/>
      <c r="N62" s="163"/>
      <c r="O62" s="163"/>
      <c r="P62" s="163"/>
      <c r="Q62" s="163"/>
      <c r="R62" s="163"/>
      <c r="S62" s="163"/>
      <c r="T62" s="164" t="s">
        <v>150</v>
      </c>
      <c r="U62" s="129"/>
      <c r="V62" s="143">
        <f t="shared" si="1"/>
        <v>0</v>
      </c>
      <c r="W62" s="143">
        <f t="shared" si="2"/>
        <v>0</v>
      </c>
      <c r="X62" s="143">
        <f t="shared" si="3"/>
        <v>0</v>
      </c>
      <c r="Y62" s="143">
        <f t="shared" si="4"/>
        <v>0</v>
      </c>
      <c r="Z62" s="143">
        <f t="shared" si="5"/>
        <v>0</v>
      </c>
      <c r="AA62" s="143">
        <f t="shared" si="6"/>
        <v>0</v>
      </c>
      <c r="AB62" s="143">
        <f t="shared" si="7"/>
        <v>0</v>
      </c>
      <c r="AC62" s="143">
        <f t="shared" si="8"/>
        <v>0</v>
      </c>
      <c r="AD62" s="143">
        <f t="shared" si="9"/>
        <v>0</v>
      </c>
      <c r="AE62" s="143">
        <f t="shared" si="10"/>
        <v>0</v>
      </c>
      <c r="AF62" s="143">
        <f t="shared" si="11"/>
        <v>0</v>
      </c>
      <c r="AG62" s="143">
        <f t="shared" si="12"/>
        <v>0</v>
      </c>
      <c r="AH62" s="148" t="s">
        <v>150</v>
      </c>
      <c r="AI62" s="226">
        <f t="shared" si="13"/>
        <v>0</v>
      </c>
      <c r="AK62" s="143">
        <f t="shared" si="14"/>
        <v>0</v>
      </c>
      <c r="AL62" s="143">
        <f t="shared" si="15"/>
        <v>0</v>
      </c>
      <c r="AM62" s="230">
        <f>'2017-18 Amort Detail'!AI62</f>
        <v>0</v>
      </c>
      <c r="AN62" s="230">
        <f>'2016-17 Amort Detail'!AI62</f>
        <v>0</v>
      </c>
      <c r="AO62" s="230">
        <f>'2015-16 Amort Detail'!AI62</f>
        <v>0</v>
      </c>
      <c r="AP62" s="236">
        <f t="shared" si="16"/>
        <v>0</v>
      </c>
    </row>
    <row r="63" spans="1:42" x14ac:dyDescent="0.25">
      <c r="A63" s="121">
        <f t="shared" si="0"/>
        <v>57</v>
      </c>
      <c r="B63" s="159" t="s">
        <v>124</v>
      </c>
      <c r="C63" s="159" t="s">
        <v>84</v>
      </c>
      <c r="D63" s="159" t="s">
        <v>124</v>
      </c>
      <c r="E63" s="159" t="s">
        <v>98</v>
      </c>
      <c r="F63" s="150">
        <v>0</v>
      </c>
      <c r="G63" s="129"/>
      <c r="H63" s="163">
        <v>13392</v>
      </c>
      <c r="I63" s="163">
        <v>13708</v>
      </c>
      <c r="J63" s="163">
        <v>18846</v>
      </c>
      <c r="K63" s="163">
        <v>13035</v>
      </c>
      <c r="L63" s="204"/>
      <c r="M63" s="163"/>
      <c r="N63" s="163"/>
      <c r="O63" s="163"/>
      <c r="P63" s="163"/>
      <c r="Q63" s="163"/>
      <c r="R63" s="163"/>
      <c r="S63" s="163"/>
      <c r="T63" s="164" t="s">
        <v>150</v>
      </c>
      <c r="U63" s="129"/>
      <c r="V63" s="143">
        <f t="shared" si="1"/>
        <v>0</v>
      </c>
      <c r="W63" s="143">
        <f t="shared" si="2"/>
        <v>0</v>
      </c>
      <c r="X63" s="143">
        <f t="shared" si="3"/>
        <v>0</v>
      </c>
      <c r="Y63" s="143">
        <f t="shared" si="4"/>
        <v>0</v>
      </c>
      <c r="Z63" s="143">
        <f t="shared" si="5"/>
        <v>0</v>
      </c>
      <c r="AA63" s="143">
        <f t="shared" si="6"/>
        <v>0</v>
      </c>
      <c r="AB63" s="143">
        <f t="shared" si="7"/>
        <v>0</v>
      </c>
      <c r="AC63" s="143">
        <f t="shared" si="8"/>
        <v>0</v>
      </c>
      <c r="AD63" s="143">
        <f t="shared" si="9"/>
        <v>0</v>
      </c>
      <c r="AE63" s="143">
        <f t="shared" si="10"/>
        <v>0</v>
      </c>
      <c r="AF63" s="143">
        <f t="shared" si="11"/>
        <v>0</v>
      </c>
      <c r="AG63" s="143">
        <f t="shared" si="12"/>
        <v>0</v>
      </c>
      <c r="AH63" s="148" t="s">
        <v>150</v>
      </c>
      <c r="AI63" s="226">
        <f t="shared" si="13"/>
        <v>0</v>
      </c>
      <c r="AK63" s="143">
        <f t="shared" si="14"/>
        <v>0</v>
      </c>
      <c r="AL63" s="143">
        <f t="shared" si="15"/>
        <v>0</v>
      </c>
      <c r="AM63" s="230">
        <f>'2017-18 Amort Detail'!AI63</f>
        <v>0</v>
      </c>
      <c r="AN63" s="230">
        <f>'2016-17 Amort Detail'!AI63</f>
        <v>0</v>
      </c>
      <c r="AO63" s="230">
        <f>'2015-16 Amort Detail'!AI63</f>
        <v>0</v>
      </c>
      <c r="AP63" s="236">
        <f t="shared" si="16"/>
        <v>0</v>
      </c>
    </row>
    <row r="64" spans="1:42" x14ac:dyDescent="0.25">
      <c r="A64" s="121">
        <f t="shared" si="0"/>
        <v>58</v>
      </c>
      <c r="B64" s="159"/>
      <c r="C64" s="159" t="s">
        <v>84</v>
      </c>
      <c r="D64" s="159" t="s">
        <v>124</v>
      </c>
      <c r="E64" s="159" t="s">
        <v>111</v>
      </c>
      <c r="F64" s="150">
        <v>0</v>
      </c>
      <c r="G64" s="129"/>
      <c r="H64" s="163">
        <v>0</v>
      </c>
      <c r="I64" s="163">
        <v>0</v>
      </c>
      <c r="J64" s="163">
        <v>0</v>
      </c>
      <c r="K64" s="163">
        <v>0</v>
      </c>
      <c r="L64" s="204"/>
      <c r="M64" s="163"/>
      <c r="N64" s="163"/>
      <c r="O64" s="163"/>
      <c r="P64" s="163"/>
      <c r="Q64" s="163"/>
      <c r="R64" s="163"/>
      <c r="S64" s="163"/>
      <c r="T64" s="164" t="s">
        <v>150</v>
      </c>
      <c r="U64" s="129"/>
      <c r="V64" s="143">
        <f t="shared" si="1"/>
        <v>0</v>
      </c>
      <c r="W64" s="143">
        <f t="shared" si="2"/>
        <v>0</v>
      </c>
      <c r="X64" s="143">
        <f t="shared" si="3"/>
        <v>0</v>
      </c>
      <c r="Y64" s="143">
        <f t="shared" si="4"/>
        <v>0</v>
      </c>
      <c r="Z64" s="143">
        <f t="shared" si="5"/>
        <v>0</v>
      </c>
      <c r="AA64" s="143">
        <f t="shared" si="6"/>
        <v>0</v>
      </c>
      <c r="AB64" s="143">
        <f t="shared" si="7"/>
        <v>0</v>
      </c>
      <c r="AC64" s="143">
        <f t="shared" si="8"/>
        <v>0</v>
      </c>
      <c r="AD64" s="143">
        <f t="shared" si="9"/>
        <v>0</v>
      </c>
      <c r="AE64" s="143">
        <f t="shared" si="10"/>
        <v>0</v>
      </c>
      <c r="AF64" s="143">
        <f t="shared" si="11"/>
        <v>0</v>
      </c>
      <c r="AG64" s="143">
        <f t="shared" si="12"/>
        <v>0</v>
      </c>
      <c r="AH64" s="148" t="s">
        <v>150</v>
      </c>
      <c r="AI64" s="226">
        <f t="shared" si="13"/>
        <v>0</v>
      </c>
      <c r="AK64" s="143">
        <f t="shared" si="14"/>
        <v>0</v>
      </c>
      <c r="AL64" s="143">
        <f t="shared" si="15"/>
        <v>0</v>
      </c>
      <c r="AM64" s="230">
        <f>'2017-18 Amort Detail'!AI64</f>
        <v>0</v>
      </c>
      <c r="AN64" s="230">
        <f>'2016-17 Amort Detail'!AI64</f>
        <v>0</v>
      </c>
      <c r="AO64" s="230">
        <f>'2015-16 Amort Detail'!AI64</f>
        <v>0</v>
      </c>
      <c r="AP64" s="236">
        <f t="shared" si="16"/>
        <v>0</v>
      </c>
    </row>
    <row r="65" spans="1:42" x14ac:dyDescent="0.25">
      <c r="A65" s="121">
        <f t="shared" si="0"/>
        <v>59</v>
      </c>
      <c r="B65" s="159"/>
      <c r="C65" s="159" t="s">
        <v>84</v>
      </c>
      <c r="D65" s="159" t="s">
        <v>124</v>
      </c>
      <c r="E65" s="159" t="s">
        <v>112</v>
      </c>
      <c r="F65" s="150">
        <v>0</v>
      </c>
      <c r="G65" s="129"/>
      <c r="H65" s="163">
        <v>0</v>
      </c>
      <c r="I65" s="163">
        <v>0</v>
      </c>
      <c r="J65" s="163">
        <v>0</v>
      </c>
      <c r="K65" s="163">
        <v>0</v>
      </c>
      <c r="L65" s="204"/>
      <c r="M65" s="163"/>
      <c r="N65" s="163"/>
      <c r="O65" s="163"/>
      <c r="P65" s="163"/>
      <c r="Q65" s="163"/>
      <c r="R65" s="163"/>
      <c r="S65" s="163"/>
      <c r="T65" s="164" t="s">
        <v>150</v>
      </c>
      <c r="U65" s="129"/>
      <c r="V65" s="143">
        <f t="shared" si="1"/>
        <v>0</v>
      </c>
      <c r="W65" s="143">
        <f t="shared" si="2"/>
        <v>0</v>
      </c>
      <c r="X65" s="143">
        <f t="shared" si="3"/>
        <v>0</v>
      </c>
      <c r="Y65" s="143">
        <f t="shared" si="4"/>
        <v>0</v>
      </c>
      <c r="Z65" s="143">
        <f t="shared" si="5"/>
        <v>0</v>
      </c>
      <c r="AA65" s="143">
        <f t="shared" si="6"/>
        <v>0</v>
      </c>
      <c r="AB65" s="143">
        <f t="shared" si="7"/>
        <v>0</v>
      </c>
      <c r="AC65" s="143">
        <f t="shared" si="8"/>
        <v>0</v>
      </c>
      <c r="AD65" s="143">
        <f t="shared" si="9"/>
        <v>0</v>
      </c>
      <c r="AE65" s="143">
        <f t="shared" si="10"/>
        <v>0</v>
      </c>
      <c r="AF65" s="143">
        <f t="shared" si="11"/>
        <v>0</v>
      </c>
      <c r="AG65" s="143">
        <f t="shared" si="12"/>
        <v>0</v>
      </c>
      <c r="AH65" s="148" t="s">
        <v>150</v>
      </c>
      <c r="AI65" s="226">
        <f t="shared" si="13"/>
        <v>0</v>
      </c>
      <c r="AK65" s="143">
        <f t="shared" si="14"/>
        <v>0</v>
      </c>
      <c r="AL65" s="143">
        <f t="shared" si="15"/>
        <v>0</v>
      </c>
      <c r="AM65" s="230">
        <f>'2017-18 Amort Detail'!AI65</f>
        <v>0</v>
      </c>
      <c r="AN65" s="230">
        <f>'2016-17 Amort Detail'!AI65</f>
        <v>0</v>
      </c>
      <c r="AO65" s="230">
        <f>'2015-16 Amort Detail'!AI65</f>
        <v>0</v>
      </c>
      <c r="AP65" s="236">
        <f t="shared" si="16"/>
        <v>0</v>
      </c>
    </row>
    <row r="66" spans="1:42" x14ac:dyDescent="0.25">
      <c r="A66" s="121">
        <f t="shared" si="0"/>
        <v>60</v>
      </c>
      <c r="B66" s="159"/>
      <c r="C66" s="159" t="s">
        <v>84</v>
      </c>
      <c r="D66" s="159" t="s">
        <v>124</v>
      </c>
      <c r="E66" s="159" t="s">
        <v>113</v>
      </c>
      <c r="F66" s="150">
        <v>0</v>
      </c>
      <c r="G66" s="129"/>
      <c r="H66" s="163">
        <v>0</v>
      </c>
      <c r="I66" s="163">
        <v>0</v>
      </c>
      <c r="J66" s="163">
        <v>0</v>
      </c>
      <c r="K66" s="163">
        <v>0</v>
      </c>
      <c r="L66" s="204"/>
      <c r="M66" s="163"/>
      <c r="N66" s="163"/>
      <c r="O66" s="163"/>
      <c r="P66" s="163"/>
      <c r="Q66" s="163"/>
      <c r="R66" s="163"/>
      <c r="S66" s="163"/>
      <c r="T66" s="164" t="s">
        <v>150</v>
      </c>
      <c r="U66" s="129"/>
      <c r="V66" s="143">
        <f t="shared" si="1"/>
        <v>0</v>
      </c>
      <c r="W66" s="143">
        <f t="shared" si="2"/>
        <v>0</v>
      </c>
      <c r="X66" s="143">
        <f t="shared" si="3"/>
        <v>0</v>
      </c>
      <c r="Y66" s="143">
        <f t="shared" si="4"/>
        <v>0</v>
      </c>
      <c r="Z66" s="143">
        <f t="shared" si="5"/>
        <v>0</v>
      </c>
      <c r="AA66" s="143">
        <f t="shared" si="6"/>
        <v>0</v>
      </c>
      <c r="AB66" s="143">
        <f t="shared" si="7"/>
        <v>0</v>
      </c>
      <c r="AC66" s="143">
        <f t="shared" si="8"/>
        <v>0</v>
      </c>
      <c r="AD66" s="143">
        <f t="shared" si="9"/>
        <v>0</v>
      </c>
      <c r="AE66" s="143">
        <f t="shared" si="10"/>
        <v>0</v>
      </c>
      <c r="AF66" s="143">
        <f t="shared" si="11"/>
        <v>0</v>
      </c>
      <c r="AG66" s="143">
        <f t="shared" si="12"/>
        <v>0</v>
      </c>
      <c r="AH66" s="148" t="s">
        <v>150</v>
      </c>
      <c r="AI66" s="226">
        <f t="shared" si="13"/>
        <v>0</v>
      </c>
      <c r="AK66" s="143">
        <f t="shared" si="14"/>
        <v>0</v>
      </c>
      <c r="AL66" s="143">
        <f t="shared" si="15"/>
        <v>0</v>
      </c>
      <c r="AM66" s="230">
        <f>'2017-18 Amort Detail'!AI66</f>
        <v>0</v>
      </c>
      <c r="AN66" s="230">
        <f>'2016-17 Amort Detail'!AI66</f>
        <v>0</v>
      </c>
      <c r="AO66" s="230">
        <f>'2015-16 Amort Detail'!AI66</f>
        <v>0</v>
      </c>
      <c r="AP66" s="236">
        <f t="shared" si="16"/>
        <v>0</v>
      </c>
    </row>
    <row r="67" spans="1:42" x14ac:dyDescent="0.25">
      <c r="A67" s="121">
        <f t="shared" si="0"/>
        <v>61</v>
      </c>
      <c r="B67" s="160"/>
      <c r="C67" s="160" t="s">
        <v>84</v>
      </c>
      <c r="D67" s="160" t="s">
        <v>124</v>
      </c>
      <c r="E67" s="160" t="s">
        <v>114</v>
      </c>
      <c r="F67" s="149">
        <v>0</v>
      </c>
      <c r="G67" s="127"/>
      <c r="H67" s="166">
        <v>0</v>
      </c>
      <c r="I67" s="166">
        <v>0</v>
      </c>
      <c r="J67" s="161">
        <v>0</v>
      </c>
      <c r="K67" s="161">
        <v>0</v>
      </c>
      <c r="L67" s="205"/>
      <c r="M67" s="161"/>
      <c r="N67" s="161"/>
      <c r="O67" s="161"/>
      <c r="P67" s="161"/>
      <c r="Q67" s="161"/>
      <c r="R67" s="161"/>
      <c r="S67" s="161"/>
      <c r="T67" s="162" t="s">
        <v>150</v>
      </c>
      <c r="U67" s="127"/>
      <c r="V67" s="145">
        <f t="shared" si="1"/>
        <v>0</v>
      </c>
      <c r="W67" s="145">
        <f t="shared" si="2"/>
        <v>0</v>
      </c>
      <c r="X67" s="145">
        <f t="shared" si="3"/>
        <v>0</v>
      </c>
      <c r="Y67" s="145">
        <f t="shared" si="4"/>
        <v>0</v>
      </c>
      <c r="Z67" s="145">
        <f t="shared" si="5"/>
        <v>0</v>
      </c>
      <c r="AA67" s="145">
        <f t="shared" si="6"/>
        <v>0</v>
      </c>
      <c r="AB67" s="145">
        <f t="shared" si="7"/>
        <v>0</v>
      </c>
      <c r="AC67" s="145">
        <f t="shared" si="8"/>
        <v>0</v>
      </c>
      <c r="AD67" s="145">
        <f t="shared" si="9"/>
        <v>0</v>
      </c>
      <c r="AE67" s="145">
        <f t="shared" si="10"/>
        <v>0</v>
      </c>
      <c r="AF67" s="145">
        <f t="shared" si="11"/>
        <v>0</v>
      </c>
      <c r="AG67" s="145">
        <f t="shared" si="12"/>
        <v>0</v>
      </c>
      <c r="AH67" s="147" t="s">
        <v>150</v>
      </c>
      <c r="AI67" s="228">
        <f t="shared" si="13"/>
        <v>0</v>
      </c>
      <c r="AK67" s="145">
        <f t="shared" si="14"/>
        <v>0</v>
      </c>
      <c r="AL67" s="145">
        <f t="shared" si="15"/>
        <v>0</v>
      </c>
      <c r="AM67" s="230">
        <f>'2017-18 Amort Detail'!AI67</f>
        <v>0</v>
      </c>
      <c r="AN67" s="230">
        <f>'2016-17 Amort Detail'!AI67</f>
        <v>0</v>
      </c>
      <c r="AO67" s="230">
        <f>'2015-16 Amort Detail'!AI67</f>
        <v>0</v>
      </c>
      <c r="AP67" s="236">
        <f t="shared" si="16"/>
        <v>0</v>
      </c>
    </row>
    <row r="68" spans="1:42" x14ac:dyDescent="0.25">
      <c r="A68" s="121">
        <f t="shared" si="0"/>
        <v>62</v>
      </c>
      <c r="B68" s="159" t="s">
        <v>125</v>
      </c>
      <c r="C68" s="159" t="s">
        <v>84</v>
      </c>
      <c r="D68" s="159" t="s">
        <v>126</v>
      </c>
      <c r="E68" s="159" t="s">
        <v>97</v>
      </c>
      <c r="F68" s="150">
        <v>0</v>
      </c>
      <c r="G68" s="129"/>
      <c r="H68" s="163">
        <v>0</v>
      </c>
      <c r="I68" s="163">
        <v>0</v>
      </c>
      <c r="J68" s="163">
        <v>0</v>
      </c>
      <c r="K68" s="163">
        <v>20000</v>
      </c>
      <c r="L68" s="204"/>
      <c r="M68" s="163"/>
      <c r="N68" s="163"/>
      <c r="O68" s="163"/>
      <c r="P68" s="163"/>
      <c r="Q68" s="163"/>
      <c r="R68" s="163"/>
      <c r="S68" s="163"/>
      <c r="T68" s="164" t="s">
        <v>150</v>
      </c>
      <c r="U68" s="129"/>
      <c r="V68" s="143">
        <f t="shared" si="1"/>
        <v>0</v>
      </c>
      <c r="W68" s="143">
        <f t="shared" si="2"/>
        <v>0</v>
      </c>
      <c r="X68" s="143">
        <f t="shared" si="3"/>
        <v>0</v>
      </c>
      <c r="Y68" s="143">
        <f t="shared" si="4"/>
        <v>0</v>
      </c>
      <c r="Z68" s="143">
        <f t="shared" si="5"/>
        <v>0</v>
      </c>
      <c r="AA68" s="143">
        <f t="shared" si="6"/>
        <v>0</v>
      </c>
      <c r="AB68" s="143">
        <f t="shared" si="7"/>
        <v>0</v>
      </c>
      <c r="AC68" s="143">
        <f t="shared" si="8"/>
        <v>0</v>
      </c>
      <c r="AD68" s="143">
        <f t="shared" si="9"/>
        <v>0</v>
      </c>
      <c r="AE68" s="143">
        <f t="shared" si="10"/>
        <v>0</v>
      </c>
      <c r="AF68" s="143">
        <f t="shared" si="11"/>
        <v>0</v>
      </c>
      <c r="AG68" s="143">
        <f t="shared" si="12"/>
        <v>0</v>
      </c>
      <c r="AH68" s="148" t="s">
        <v>150</v>
      </c>
      <c r="AI68" s="226">
        <f t="shared" si="13"/>
        <v>0</v>
      </c>
      <c r="AK68" s="143">
        <f t="shared" si="14"/>
        <v>0</v>
      </c>
      <c r="AL68" s="143">
        <f t="shared" si="15"/>
        <v>0</v>
      </c>
      <c r="AM68" s="230">
        <f>'2017-18 Amort Detail'!AI68</f>
        <v>0</v>
      </c>
      <c r="AN68" s="230">
        <f>'2016-17 Amort Detail'!AI68</f>
        <v>0</v>
      </c>
      <c r="AO68" s="230">
        <f>'2015-16 Amort Detail'!AI68</f>
        <v>0</v>
      </c>
      <c r="AP68" s="236">
        <f t="shared" si="16"/>
        <v>0</v>
      </c>
    </row>
    <row r="69" spans="1:42" x14ac:dyDescent="0.25">
      <c r="A69" s="121">
        <f t="shared" si="0"/>
        <v>63</v>
      </c>
      <c r="B69" s="159" t="s">
        <v>126</v>
      </c>
      <c r="C69" s="159" t="s">
        <v>84</v>
      </c>
      <c r="D69" s="159" t="s">
        <v>126</v>
      </c>
      <c r="E69" s="159" t="s">
        <v>98</v>
      </c>
      <c r="F69" s="150">
        <v>0</v>
      </c>
      <c r="G69" s="129"/>
      <c r="H69" s="163">
        <v>0</v>
      </c>
      <c r="I69" s="163">
        <v>0</v>
      </c>
      <c r="J69" s="163">
        <v>0</v>
      </c>
      <c r="K69" s="163">
        <v>24189</v>
      </c>
      <c r="L69" s="204"/>
      <c r="M69" s="163"/>
      <c r="N69" s="163"/>
      <c r="O69" s="163"/>
      <c r="P69" s="163"/>
      <c r="Q69" s="163"/>
      <c r="R69" s="163"/>
      <c r="S69" s="163"/>
      <c r="T69" s="164" t="s">
        <v>150</v>
      </c>
      <c r="U69" s="129"/>
      <c r="V69" s="143">
        <f t="shared" si="1"/>
        <v>0</v>
      </c>
      <c r="W69" s="143">
        <f t="shared" si="2"/>
        <v>0</v>
      </c>
      <c r="X69" s="143">
        <f t="shared" si="3"/>
        <v>0</v>
      </c>
      <c r="Y69" s="143">
        <f t="shared" si="4"/>
        <v>0</v>
      </c>
      <c r="Z69" s="143">
        <f t="shared" si="5"/>
        <v>0</v>
      </c>
      <c r="AA69" s="143">
        <f t="shared" si="6"/>
        <v>0</v>
      </c>
      <c r="AB69" s="143">
        <f t="shared" si="7"/>
        <v>0</v>
      </c>
      <c r="AC69" s="143">
        <f t="shared" si="8"/>
        <v>0</v>
      </c>
      <c r="AD69" s="143">
        <f t="shared" si="9"/>
        <v>0</v>
      </c>
      <c r="AE69" s="143">
        <f t="shared" si="10"/>
        <v>0</v>
      </c>
      <c r="AF69" s="143">
        <f t="shared" si="11"/>
        <v>0</v>
      </c>
      <c r="AG69" s="143">
        <f t="shared" si="12"/>
        <v>0</v>
      </c>
      <c r="AH69" s="148" t="s">
        <v>150</v>
      </c>
      <c r="AI69" s="226">
        <f t="shared" si="13"/>
        <v>0</v>
      </c>
      <c r="AK69" s="143">
        <f t="shared" si="14"/>
        <v>0</v>
      </c>
      <c r="AL69" s="143">
        <f t="shared" si="15"/>
        <v>0</v>
      </c>
      <c r="AM69" s="230">
        <f>'2017-18 Amort Detail'!AI69</f>
        <v>0</v>
      </c>
      <c r="AN69" s="230">
        <f>'2016-17 Amort Detail'!AI69</f>
        <v>0</v>
      </c>
      <c r="AO69" s="230">
        <f>'2015-16 Amort Detail'!AI69</f>
        <v>0</v>
      </c>
      <c r="AP69" s="236">
        <f t="shared" si="16"/>
        <v>0</v>
      </c>
    </row>
    <row r="70" spans="1:42" x14ac:dyDescent="0.25">
      <c r="A70" s="121">
        <f t="shared" si="0"/>
        <v>64</v>
      </c>
      <c r="B70" s="159"/>
      <c r="C70" s="159" t="s">
        <v>84</v>
      </c>
      <c r="D70" s="159" t="s">
        <v>126</v>
      </c>
      <c r="E70" s="159" t="s">
        <v>111</v>
      </c>
      <c r="F70" s="150">
        <v>0</v>
      </c>
      <c r="G70" s="129"/>
      <c r="H70" s="163">
        <v>0</v>
      </c>
      <c r="I70" s="163">
        <v>0</v>
      </c>
      <c r="J70" s="163">
        <v>0</v>
      </c>
      <c r="K70" s="163">
        <v>20000</v>
      </c>
      <c r="L70" s="204"/>
      <c r="M70" s="163"/>
      <c r="N70" s="163"/>
      <c r="O70" s="163"/>
      <c r="P70" s="163"/>
      <c r="Q70" s="163"/>
      <c r="R70" s="163"/>
      <c r="S70" s="163"/>
      <c r="T70" s="164" t="s">
        <v>150</v>
      </c>
      <c r="U70" s="129"/>
      <c r="V70" s="143">
        <f t="shared" si="1"/>
        <v>0</v>
      </c>
      <c r="W70" s="143">
        <f t="shared" si="2"/>
        <v>0</v>
      </c>
      <c r="X70" s="143">
        <f t="shared" si="3"/>
        <v>0</v>
      </c>
      <c r="Y70" s="143">
        <f t="shared" si="4"/>
        <v>0</v>
      </c>
      <c r="Z70" s="143">
        <f t="shared" si="5"/>
        <v>0</v>
      </c>
      <c r="AA70" s="143">
        <f t="shared" si="6"/>
        <v>0</v>
      </c>
      <c r="AB70" s="143">
        <f t="shared" si="7"/>
        <v>0</v>
      </c>
      <c r="AC70" s="143">
        <f t="shared" si="8"/>
        <v>0</v>
      </c>
      <c r="AD70" s="143">
        <f t="shared" si="9"/>
        <v>0</v>
      </c>
      <c r="AE70" s="143">
        <f t="shared" si="10"/>
        <v>0</v>
      </c>
      <c r="AF70" s="143">
        <f t="shared" si="11"/>
        <v>0</v>
      </c>
      <c r="AG70" s="143">
        <f t="shared" si="12"/>
        <v>0</v>
      </c>
      <c r="AH70" s="148" t="s">
        <v>150</v>
      </c>
      <c r="AI70" s="226">
        <f t="shared" si="13"/>
        <v>0</v>
      </c>
      <c r="AK70" s="143">
        <f t="shared" si="14"/>
        <v>0</v>
      </c>
      <c r="AL70" s="143">
        <f t="shared" si="15"/>
        <v>0</v>
      </c>
      <c r="AM70" s="230">
        <f>'2017-18 Amort Detail'!AI70</f>
        <v>0</v>
      </c>
      <c r="AN70" s="230">
        <f>'2016-17 Amort Detail'!AI70</f>
        <v>0</v>
      </c>
      <c r="AO70" s="230">
        <f>'2015-16 Amort Detail'!AI70</f>
        <v>0</v>
      </c>
      <c r="AP70" s="236">
        <f t="shared" si="16"/>
        <v>0</v>
      </c>
    </row>
    <row r="71" spans="1:42" x14ac:dyDescent="0.25">
      <c r="A71" s="121">
        <f t="shared" si="0"/>
        <v>65</v>
      </c>
      <c r="B71" s="159"/>
      <c r="C71" s="159" t="s">
        <v>84</v>
      </c>
      <c r="D71" s="159" t="s">
        <v>126</v>
      </c>
      <c r="E71" s="159" t="s">
        <v>112</v>
      </c>
      <c r="F71" s="150">
        <v>0</v>
      </c>
      <c r="G71" s="129"/>
      <c r="H71" s="163">
        <v>0</v>
      </c>
      <c r="I71" s="163">
        <v>0</v>
      </c>
      <c r="J71" s="163">
        <v>0</v>
      </c>
      <c r="K71" s="163">
        <v>60941</v>
      </c>
      <c r="L71" s="204"/>
      <c r="M71" s="163"/>
      <c r="N71" s="163"/>
      <c r="O71" s="163"/>
      <c r="P71" s="163"/>
      <c r="Q71" s="163"/>
      <c r="R71" s="163"/>
      <c r="S71" s="163"/>
      <c r="T71" s="164" t="s">
        <v>150</v>
      </c>
      <c r="U71" s="129"/>
      <c r="V71" s="143">
        <f t="shared" si="1"/>
        <v>0</v>
      </c>
      <c r="W71" s="143">
        <f t="shared" si="2"/>
        <v>0</v>
      </c>
      <c r="X71" s="143">
        <f t="shared" si="3"/>
        <v>0</v>
      </c>
      <c r="Y71" s="143">
        <f t="shared" si="4"/>
        <v>0</v>
      </c>
      <c r="Z71" s="143">
        <f t="shared" si="5"/>
        <v>0</v>
      </c>
      <c r="AA71" s="143">
        <f t="shared" si="6"/>
        <v>0</v>
      </c>
      <c r="AB71" s="143">
        <f t="shared" si="7"/>
        <v>0</v>
      </c>
      <c r="AC71" s="143">
        <f t="shared" si="8"/>
        <v>0</v>
      </c>
      <c r="AD71" s="143">
        <f t="shared" si="9"/>
        <v>0</v>
      </c>
      <c r="AE71" s="143">
        <f t="shared" si="10"/>
        <v>0</v>
      </c>
      <c r="AF71" s="143">
        <f t="shared" si="11"/>
        <v>0</v>
      </c>
      <c r="AG71" s="143">
        <f t="shared" si="12"/>
        <v>0</v>
      </c>
      <c r="AH71" s="148" t="s">
        <v>150</v>
      </c>
      <c r="AI71" s="226">
        <f t="shared" si="13"/>
        <v>0</v>
      </c>
      <c r="AK71" s="143">
        <f t="shared" si="14"/>
        <v>0</v>
      </c>
      <c r="AL71" s="143">
        <f t="shared" si="15"/>
        <v>0</v>
      </c>
      <c r="AM71" s="230">
        <f>'2017-18 Amort Detail'!AI71</f>
        <v>0</v>
      </c>
      <c r="AN71" s="230">
        <f>'2016-17 Amort Detail'!AI71</f>
        <v>0</v>
      </c>
      <c r="AO71" s="230">
        <f>'2015-16 Amort Detail'!AI71</f>
        <v>0</v>
      </c>
      <c r="AP71" s="236">
        <f t="shared" si="16"/>
        <v>0</v>
      </c>
    </row>
    <row r="72" spans="1:42" x14ac:dyDescent="0.25">
      <c r="A72" s="121">
        <f t="shared" si="0"/>
        <v>66</v>
      </c>
      <c r="B72" s="159"/>
      <c r="C72" s="159" t="s">
        <v>84</v>
      </c>
      <c r="D72" s="159" t="s">
        <v>126</v>
      </c>
      <c r="E72" s="159" t="s">
        <v>113</v>
      </c>
      <c r="F72" s="150">
        <v>0</v>
      </c>
      <c r="G72" s="129"/>
      <c r="H72" s="163">
        <v>0</v>
      </c>
      <c r="I72" s="163">
        <v>0</v>
      </c>
      <c r="J72" s="163">
        <v>0</v>
      </c>
      <c r="K72" s="163">
        <v>0</v>
      </c>
      <c r="L72" s="204"/>
      <c r="M72" s="163"/>
      <c r="N72" s="163"/>
      <c r="O72" s="163"/>
      <c r="P72" s="163"/>
      <c r="Q72" s="163"/>
      <c r="R72" s="163"/>
      <c r="S72" s="163"/>
      <c r="T72" s="164" t="s">
        <v>150</v>
      </c>
      <c r="U72" s="129"/>
      <c r="V72" s="143">
        <f t="shared" si="1"/>
        <v>0</v>
      </c>
      <c r="W72" s="143">
        <f t="shared" si="2"/>
        <v>0</v>
      </c>
      <c r="X72" s="143">
        <f t="shared" si="3"/>
        <v>0</v>
      </c>
      <c r="Y72" s="143">
        <f t="shared" si="4"/>
        <v>0</v>
      </c>
      <c r="Z72" s="143">
        <f t="shared" si="5"/>
        <v>0</v>
      </c>
      <c r="AA72" s="143">
        <f t="shared" si="6"/>
        <v>0</v>
      </c>
      <c r="AB72" s="143">
        <f t="shared" si="7"/>
        <v>0</v>
      </c>
      <c r="AC72" s="143">
        <f t="shared" si="8"/>
        <v>0</v>
      </c>
      <c r="AD72" s="143">
        <f t="shared" si="9"/>
        <v>0</v>
      </c>
      <c r="AE72" s="143">
        <f t="shared" si="10"/>
        <v>0</v>
      </c>
      <c r="AF72" s="143">
        <f t="shared" si="11"/>
        <v>0</v>
      </c>
      <c r="AG72" s="143">
        <f t="shared" si="12"/>
        <v>0</v>
      </c>
      <c r="AH72" s="148" t="s">
        <v>150</v>
      </c>
      <c r="AI72" s="226">
        <f t="shared" si="13"/>
        <v>0</v>
      </c>
      <c r="AK72" s="143">
        <f t="shared" si="14"/>
        <v>0</v>
      </c>
      <c r="AL72" s="143">
        <f t="shared" si="15"/>
        <v>0</v>
      </c>
      <c r="AM72" s="230">
        <f>'2017-18 Amort Detail'!AI72</f>
        <v>0</v>
      </c>
      <c r="AN72" s="230">
        <f>'2016-17 Amort Detail'!AI72</f>
        <v>0</v>
      </c>
      <c r="AO72" s="230">
        <f>'2015-16 Amort Detail'!AI72</f>
        <v>0</v>
      </c>
      <c r="AP72" s="236">
        <f t="shared" si="16"/>
        <v>0</v>
      </c>
    </row>
    <row r="73" spans="1:42" x14ac:dyDescent="0.25">
      <c r="A73" s="121">
        <f t="shared" ref="A73:A95" si="17">+A72+1</f>
        <v>67</v>
      </c>
      <c r="B73" s="160"/>
      <c r="C73" s="160" t="s">
        <v>84</v>
      </c>
      <c r="D73" s="160" t="s">
        <v>126</v>
      </c>
      <c r="E73" s="160" t="s">
        <v>114</v>
      </c>
      <c r="F73" s="149">
        <v>0</v>
      </c>
      <c r="G73" s="127"/>
      <c r="H73" s="161">
        <v>0</v>
      </c>
      <c r="I73" s="161">
        <v>0</v>
      </c>
      <c r="J73" s="161">
        <v>0</v>
      </c>
      <c r="K73" s="161">
        <v>0</v>
      </c>
      <c r="L73" s="205"/>
      <c r="M73" s="161"/>
      <c r="N73" s="161"/>
      <c r="O73" s="161"/>
      <c r="P73" s="161"/>
      <c r="Q73" s="161"/>
      <c r="R73" s="161"/>
      <c r="S73" s="161"/>
      <c r="T73" s="162" t="s">
        <v>150</v>
      </c>
      <c r="U73" s="127"/>
      <c r="V73" s="142">
        <f t="shared" si="1"/>
        <v>0</v>
      </c>
      <c r="W73" s="142">
        <f t="shared" si="2"/>
        <v>0</v>
      </c>
      <c r="X73" s="142">
        <f t="shared" si="3"/>
        <v>0</v>
      </c>
      <c r="Y73" s="142">
        <f t="shared" si="4"/>
        <v>0</v>
      </c>
      <c r="Z73" s="142">
        <f t="shared" si="5"/>
        <v>0</v>
      </c>
      <c r="AA73" s="142">
        <f t="shared" si="6"/>
        <v>0</v>
      </c>
      <c r="AB73" s="142">
        <f t="shared" si="7"/>
        <v>0</v>
      </c>
      <c r="AC73" s="142">
        <f t="shared" si="8"/>
        <v>0</v>
      </c>
      <c r="AD73" s="142">
        <f t="shared" si="9"/>
        <v>0</v>
      </c>
      <c r="AE73" s="142">
        <f t="shared" si="10"/>
        <v>0</v>
      </c>
      <c r="AF73" s="142">
        <f t="shared" si="11"/>
        <v>0</v>
      </c>
      <c r="AG73" s="142">
        <f t="shared" si="12"/>
        <v>0</v>
      </c>
      <c r="AH73" s="147" t="s">
        <v>150</v>
      </c>
      <c r="AI73" s="225">
        <f t="shared" si="13"/>
        <v>0</v>
      </c>
      <c r="AK73" s="142">
        <f t="shared" si="14"/>
        <v>0</v>
      </c>
      <c r="AL73" s="142">
        <f t="shared" si="15"/>
        <v>0</v>
      </c>
      <c r="AM73" s="230">
        <f>'2017-18 Amort Detail'!AI73</f>
        <v>0</v>
      </c>
      <c r="AN73" s="230">
        <f>'2016-17 Amort Detail'!AI73</f>
        <v>0</v>
      </c>
      <c r="AO73" s="230">
        <f>'2015-16 Amort Detail'!AI73</f>
        <v>0</v>
      </c>
      <c r="AP73" s="236">
        <f t="shared" si="16"/>
        <v>0</v>
      </c>
    </row>
    <row r="74" spans="1:42" x14ac:dyDescent="0.25">
      <c r="A74" s="121">
        <f t="shared" si="17"/>
        <v>68</v>
      </c>
      <c r="B74" s="159" t="s">
        <v>127</v>
      </c>
      <c r="C74" s="159" t="s">
        <v>84</v>
      </c>
      <c r="D74" s="159" t="s">
        <v>128</v>
      </c>
      <c r="E74" s="159" t="s">
        <v>97</v>
      </c>
      <c r="F74" s="150">
        <v>0</v>
      </c>
      <c r="G74" s="129"/>
      <c r="H74" s="167">
        <v>81308</v>
      </c>
      <c r="I74" s="167">
        <v>75474</v>
      </c>
      <c r="J74" s="163">
        <v>69773</v>
      </c>
      <c r="K74" s="163">
        <v>49758</v>
      </c>
      <c r="L74" s="163">
        <f>+'Test Year Volumes'!I75</f>
        <v>67100</v>
      </c>
      <c r="M74" s="163">
        <f>+'Test Year Volumes'!J75</f>
        <v>81226</v>
      </c>
      <c r="N74" s="163">
        <f>+'Test Year Volumes'!K75</f>
        <v>75408</v>
      </c>
      <c r="O74" s="163">
        <f>+'Test Year Volumes'!L75</f>
        <v>75967</v>
      </c>
      <c r="P74" s="163">
        <f>+'Test Year Volumes'!M75</f>
        <v>81256</v>
      </c>
      <c r="Q74" s="163">
        <f>+'Test Year Volumes'!N75</f>
        <v>83846</v>
      </c>
      <c r="R74" s="163">
        <f>+'Test Year Volumes'!O75</f>
        <v>84876</v>
      </c>
      <c r="S74" s="163">
        <f>+'Test Year Volumes'!D75</f>
        <v>74229</v>
      </c>
      <c r="T74" s="164" t="s">
        <v>150</v>
      </c>
      <c r="U74" s="129"/>
      <c r="V74" s="146">
        <f t="shared" si="1"/>
        <v>0</v>
      </c>
      <c r="W74" s="146">
        <f t="shared" si="2"/>
        <v>0</v>
      </c>
      <c r="X74" s="146">
        <f t="shared" si="3"/>
        <v>0</v>
      </c>
      <c r="Y74" s="146">
        <f t="shared" si="4"/>
        <v>0</v>
      </c>
      <c r="Z74" s="146">
        <f t="shared" si="5"/>
        <v>0</v>
      </c>
      <c r="AA74" s="146">
        <f t="shared" si="6"/>
        <v>0</v>
      </c>
      <c r="AB74" s="146">
        <f t="shared" si="7"/>
        <v>0</v>
      </c>
      <c r="AC74" s="146">
        <f t="shared" si="8"/>
        <v>0</v>
      </c>
      <c r="AD74" s="146">
        <f t="shared" si="9"/>
        <v>0</v>
      </c>
      <c r="AE74" s="146">
        <f t="shared" si="10"/>
        <v>0</v>
      </c>
      <c r="AF74" s="146">
        <f t="shared" si="11"/>
        <v>0</v>
      </c>
      <c r="AG74" s="146">
        <f t="shared" si="12"/>
        <v>0</v>
      </c>
      <c r="AH74" s="151" t="s">
        <v>150</v>
      </c>
      <c r="AI74" s="229">
        <f t="shared" si="13"/>
        <v>0</v>
      </c>
      <c r="AK74" s="146">
        <f t="shared" si="14"/>
        <v>0</v>
      </c>
      <c r="AL74" s="146">
        <f t="shared" si="15"/>
        <v>0</v>
      </c>
      <c r="AM74" s="230">
        <f>'2017-18 Amort Detail'!AI74</f>
        <v>0</v>
      </c>
      <c r="AN74" s="230">
        <f>'2016-17 Amort Detail'!AI74</f>
        <v>0</v>
      </c>
      <c r="AO74" s="230">
        <f>'2015-16 Amort Detail'!AI74</f>
        <v>0</v>
      </c>
      <c r="AP74" s="236">
        <f t="shared" si="16"/>
        <v>0</v>
      </c>
    </row>
    <row r="75" spans="1:42" x14ac:dyDescent="0.25">
      <c r="A75" s="121">
        <f t="shared" si="17"/>
        <v>69</v>
      </c>
      <c r="B75" s="159" t="s">
        <v>128</v>
      </c>
      <c r="C75" s="159" t="s">
        <v>84</v>
      </c>
      <c r="D75" s="159" t="s">
        <v>128</v>
      </c>
      <c r="E75" s="159" t="s">
        <v>98</v>
      </c>
      <c r="F75" s="150">
        <v>0</v>
      </c>
      <c r="G75" s="129"/>
      <c r="H75" s="167">
        <v>123409</v>
      </c>
      <c r="I75" s="167">
        <v>113412</v>
      </c>
      <c r="J75" s="163">
        <v>113645</v>
      </c>
      <c r="K75" s="163">
        <v>61379</v>
      </c>
      <c r="L75" s="163">
        <f>+'Test Year Volumes'!I76</f>
        <v>115669</v>
      </c>
      <c r="M75" s="163">
        <f>+'Test Year Volumes'!J76</f>
        <v>135151</v>
      </c>
      <c r="N75" s="163">
        <f>+'Test Year Volumes'!K76</f>
        <v>142770</v>
      </c>
      <c r="O75" s="163">
        <f>+'Test Year Volumes'!L76</f>
        <v>134765</v>
      </c>
      <c r="P75" s="163">
        <f>+'Test Year Volumes'!M76</f>
        <v>151516</v>
      </c>
      <c r="Q75" s="163">
        <f>+'Test Year Volumes'!N76</f>
        <v>178327</v>
      </c>
      <c r="R75" s="163">
        <f>+'Test Year Volumes'!O76</f>
        <v>147383</v>
      </c>
      <c r="S75" s="163">
        <f>+'Test Year Volumes'!D76</f>
        <v>157759</v>
      </c>
      <c r="T75" s="164" t="s">
        <v>150</v>
      </c>
      <c r="U75" s="129"/>
      <c r="V75" s="146">
        <f t="shared" si="1"/>
        <v>0</v>
      </c>
      <c r="W75" s="146">
        <f t="shared" si="2"/>
        <v>0</v>
      </c>
      <c r="X75" s="146">
        <f t="shared" si="3"/>
        <v>0</v>
      </c>
      <c r="Y75" s="146">
        <f t="shared" si="4"/>
        <v>0</v>
      </c>
      <c r="Z75" s="146">
        <f t="shared" si="5"/>
        <v>0</v>
      </c>
      <c r="AA75" s="146">
        <f t="shared" si="6"/>
        <v>0</v>
      </c>
      <c r="AB75" s="146">
        <f t="shared" si="7"/>
        <v>0</v>
      </c>
      <c r="AC75" s="146">
        <f t="shared" si="8"/>
        <v>0</v>
      </c>
      <c r="AD75" s="146">
        <f t="shared" si="9"/>
        <v>0</v>
      </c>
      <c r="AE75" s="146">
        <f t="shared" si="10"/>
        <v>0</v>
      </c>
      <c r="AF75" s="146">
        <f t="shared" si="11"/>
        <v>0</v>
      </c>
      <c r="AG75" s="146">
        <f t="shared" si="12"/>
        <v>0</v>
      </c>
      <c r="AH75" s="151" t="s">
        <v>150</v>
      </c>
      <c r="AI75" s="229">
        <f t="shared" si="13"/>
        <v>0</v>
      </c>
      <c r="AK75" s="146">
        <f t="shared" si="14"/>
        <v>0</v>
      </c>
      <c r="AL75" s="146">
        <f t="shared" si="15"/>
        <v>0</v>
      </c>
      <c r="AM75" s="230">
        <f>'2017-18 Amort Detail'!AI75</f>
        <v>0</v>
      </c>
      <c r="AN75" s="230">
        <f>'2016-17 Amort Detail'!AI75</f>
        <v>0</v>
      </c>
      <c r="AO75" s="230">
        <f>'2015-16 Amort Detail'!AI75</f>
        <v>0</v>
      </c>
      <c r="AP75" s="236">
        <f t="shared" si="16"/>
        <v>0</v>
      </c>
    </row>
    <row r="76" spans="1:42" x14ac:dyDescent="0.25">
      <c r="A76" s="121">
        <f t="shared" si="17"/>
        <v>70</v>
      </c>
      <c r="B76" s="159"/>
      <c r="C76" s="159" t="s">
        <v>84</v>
      </c>
      <c r="D76" s="159" t="s">
        <v>128</v>
      </c>
      <c r="E76" s="159" t="s">
        <v>111</v>
      </c>
      <c r="F76" s="150">
        <v>0</v>
      </c>
      <c r="G76" s="129"/>
      <c r="H76" s="167">
        <v>100000</v>
      </c>
      <c r="I76" s="167">
        <v>84060</v>
      </c>
      <c r="J76" s="163">
        <v>100000</v>
      </c>
      <c r="K76" s="163">
        <v>40000</v>
      </c>
      <c r="L76" s="163">
        <f>+'Test Year Volumes'!I77</f>
        <v>104320</v>
      </c>
      <c r="M76" s="163">
        <f>+'Test Year Volumes'!J77</f>
        <v>113693</v>
      </c>
      <c r="N76" s="163">
        <f>+'Test Year Volumes'!K77</f>
        <v>112278</v>
      </c>
      <c r="O76" s="163">
        <f>+'Test Year Volumes'!L77</f>
        <v>117078</v>
      </c>
      <c r="P76" s="163">
        <f>+'Test Year Volumes'!M77</f>
        <v>139981</v>
      </c>
      <c r="Q76" s="163">
        <f>+'Test Year Volumes'!N77</f>
        <v>139140</v>
      </c>
      <c r="R76" s="163">
        <f>+'Test Year Volumes'!O77</f>
        <v>123947</v>
      </c>
      <c r="S76" s="163">
        <f>+'Test Year Volumes'!D77</f>
        <v>125444</v>
      </c>
      <c r="T76" s="164" t="s">
        <v>150</v>
      </c>
      <c r="U76" s="129"/>
      <c r="V76" s="146">
        <f t="shared" si="1"/>
        <v>0</v>
      </c>
      <c r="W76" s="146">
        <f t="shared" si="2"/>
        <v>0</v>
      </c>
      <c r="X76" s="146">
        <f t="shared" si="3"/>
        <v>0</v>
      </c>
      <c r="Y76" s="146">
        <f t="shared" si="4"/>
        <v>0</v>
      </c>
      <c r="Z76" s="146">
        <f t="shared" si="5"/>
        <v>0</v>
      </c>
      <c r="AA76" s="146">
        <f t="shared" si="6"/>
        <v>0</v>
      </c>
      <c r="AB76" s="146">
        <f t="shared" si="7"/>
        <v>0</v>
      </c>
      <c r="AC76" s="146">
        <f t="shared" si="8"/>
        <v>0</v>
      </c>
      <c r="AD76" s="146">
        <f t="shared" si="9"/>
        <v>0</v>
      </c>
      <c r="AE76" s="146">
        <f t="shared" si="10"/>
        <v>0</v>
      </c>
      <c r="AF76" s="146">
        <f t="shared" si="11"/>
        <v>0</v>
      </c>
      <c r="AG76" s="146">
        <f t="shared" si="12"/>
        <v>0</v>
      </c>
      <c r="AH76" s="151" t="s">
        <v>150</v>
      </c>
      <c r="AI76" s="229">
        <f t="shared" si="13"/>
        <v>0</v>
      </c>
      <c r="AK76" s="146">
        <f t="shared" si="14"/>
        <v>0</v>
      </c>
      <c r="AL76" s="146">
        <f t="shared" si="15"/>
        <v>0</v>
      </c>
      <c r="AM76" s="230">
        <f>'2017-18 Amort Detail'!AI76</f>
        <v>0</v>
      </c>
      <c r="AN76" s="230">
        <f>'2016-17 Amort Detail'!AI76</f>
        <v>0</v>
      </c>
      <c r="AO76" s="230">
        <f>'2015-16 Amort Detail'!AI76</f>
        <v>0</v>
      </c>
      <c r="AP76" s="236">
        <f t="shared" si="16"/>
        <v>0</v>
      </c>
    </row>
    <row r="77" spans="1:42" x14ac:dyDescent="0.25">
      <c r="A77" s="121">
        <f t="shared" si="17"/>
        <v>71</v>
      </c>
      <c r="B77" s="159"/>
      <c r="C77" s="159" t="s">
        <v>84</v>
      </c>
      <c r="D77" s="159" t="s">
        <v>128</v>
      </c>
      <c r="E77" s="159" t="s">
        <v>112</v>
      </c>
      <c r="F77" s="150">
        <v>0</v>
      </c>
      <c r="G77" s="129"/>
      <c r="H77" s="167">
        <v>385140</v>
      </c>
      <c r="I77" s="167">
        <v>318351</v>
      </c>
      <c r="J77" s="163">
        <v>440701</v>
      </c>
      <c r="K77" s="163">
        <v>252973</v>
      </c>
      <c r="L77" s="163">
        <f>+'Test Year Volumes'!I78</f>
        <v>375226</v>
      </c>
      <c r="M77" s="163">
        <f>+'Test Year Volumes'!J78</f>
        <v>340772</v>
      </c>
      <c r="N77" s="163">
        <f>+'Test Year Volumes'!K78</f>
        <v>342313</v>
      </c>
      <c r="O77" s="163">
        <f>+'Test Year Volumes'!L78</f>
        <v>330978</v>
      </c>
      <c r="P77" s="163">
        <f>+'Test Year Volumes'!M78</f>
        <v>364316</v>
      </c>
      <c r="Q77" s="163">
        <f>+'Test Year Volumes'!N78</f>
        <v>435051</v>
      </c>
      <c r="R77" s="163">
        <f>+'Test Year Volumes'!O78</f>
        <v>353430</v>
      </c>
      <c r="S77" s="163">
        <f>+'Test Year Volumes'!D78</f>
        <v>474474</v>
      </c>
      <c r="T77" s="164" t="s">
        <v>150</v>
      </c>
      <c r="U77" s="129"/>
      <c r="V77" s="146">
        <f t="shared" si="1"/>
        <v>0</v>
      </c>
      <c r="W77" s="146">
        <f t="shared" si="2"/>
        <v>0</v>
      </c>
      <c r="X77" s="146">
        <f t="shared" si="3"/>
        <v>0</v>
      </c>
      <c r="Y77" s="146">
        <f t="shared" si="4"/>
        <v>0</v>
      </c>
      <c r="Z77" s="146">
        <f t="shared" si="5"/>
        <v>0</v>
      </c>
      <c r="AA77" s="146">
        <f t="shared" si="6"/>
        <v>0</v>
      </c>
      <c r="AB77" s="146">
        <f t="shared" si="7"/>
        <v>0</v>
      </c>
      <c r="AC77" s="146">
        <f t="shared" si="8"/>
        <v>0</v>
      </c>
      <c r="AD77" s="146">
        <f t="shared" si="9"/>
        <v>0</v>
      </c>
      <c r="AE77" s="146">
        <f t="shared" si="10"/>
        <v>0</v>
      </c>
      <c r="AF77" s="146">
        <f t="shared" si="11"/>
        <v>0</v>
      </c>
      <c r="AG77" s="146">
        <f t="shared" si="12"/>
        <v>0</v>
      </c>
      <c r="AH77" s="151" t="s">
        <v>150</v>
      </c>
      <c r="AI77" s="229">
        <f t="shared" si="13"/>
        <v>0</v>
      </c>
      <c r="AK77" s="146">
        <f t="shared" si="14"/>
        <v>0</v>
      </c>
      <c r="AL77" s="146">
        <f t="shared" si="15"/>
        <v>0</v>
      </c>
      <c r="AM77" s="230">
        <f>'2017-18 Amort Detail'!AI77</f>
        <v>0</v>
      </c>
      <c r="AN77" s="230">
        <f>'2016-17 Amort Detail'!AI77</f>
        <v>0</v>
      </c>
      <c r="AO77" s="230">
        <f>'2015-16 Amort Detail'!AI77</f>
        <v>0</v>
      </c>
      <c r="AP77" s="236">
        <f t="shared" si="16"/>
        <v>0</v>
      </c>
    </row>
    <row r="78" spans="1:42" x14ac:dyDescent="0.25">
      <c r="A78" s="121">
        <f t="shared" si="17"/>
        <v>72</v>
      </c>
      <c r="B78" s="159"/>
      <c r="C78" s="159" t="s">
        <v>84</v>
      </c>
      <c r="D78" s="159" t="s">
        <v>128</v>
      </c>
      <c r="E78" s="159" t="s">
        <v>113</v>
      </c>
      <c r="F78" s="150">
        <v>0</v>
      </c>
      <c r="G78" s="129"/>
      <c r="H78" s="167">
        <v>234406</v>
      </c>
      <c r="I78" s="167">
        <v>271296</v>
      </c>
      <c r="J78" s="163">
        <v>299730</v>
      </c>
      <c r="K78" s="163">
        <v>245426</v>
      </c>
      <c r="L78" s="163">
        <f>+'Test Year Volumes'!I79</f>
        <v>235257</v>
      </c>
      <c r="M78" s="163">
        <f>+'Test Year Volumes'!J79</f>
        <v>189908</v>
      </c>
      <c r="N78" s="163">
        <f>+'Test Year Volumes'!K79</f>
        <v>176194</v>
      </c>
      <c r="O78" s="163">
        <f>+'Test Year Volumes'!L79</f>
        <v>154147</v>
      </c>
      <c r="P78" s="163">
        <f>+'Test Year Volumes'!M79</f>
        <v>102913</v>
      </c>
      <c r="Q78" s="163">
        <f>+'Test Year Volumes'!N79</f>
        <v>140580</v>
      </c>
      <c r="R78" s="163">
        <f>+'Test Year Volumes'!O79</f>
        <v>255506</v>
      </c>
      <c r="S78" s="163">
        <f>+'Test Year Volumes'!D79</f>
        <v>368036</v>
      </c>
      <c r="T78" s="164" t="s">
        <v>150</v>
      </c>
      <c r="U78" s="129"/>
      <c r="V78" s="146">
        <f t="shared" si="1"/>
        <v>0</v>
      </c>
      <c r="W78" s="146">
        <f t="shared" si="2"/>
        <v>0</v>
      </c>
      <c r="X78" s="146">
        <f t="shared" si="3"/>
        <v>0</v>
      </c>
      <c r="Y78" s="146">
        <f t="shared" si="4"/>
        <v>0</v>
      </c>
      <c r="Z78" s="146">
        <f t="shared" si="5"/>
        <v>0</v>
      </c>
      <c r="AA78" s="146">
        <f t="shared" si="6"/>
        <v>0</v>
      </c>
      <c r="AB78" s="146">
        <f t="shared" si="7"/>
        <v>0</v>
      </c>
      <c r="AC78" s="146">
        <f t="shared" si="8"/>
        <v>0</v>
      </c>
      <c r="AD78" s="146">
        <f t="shared" si="9"/>
        <v>0</v>
      </c>
      <c r="AE78" s="146">
        <f t="shared" si="10"/>
        <v>0</v>
      </c>
      <c r="AF78" s="146">
        <f t="shared" si="11"/>
        <v>0</v>
      </c>
      <c r="AG78" s="146">
        <f t="shared" si="12"/>
        <v>0</v>
      </c>
      <c r="AH78" s="151" t="s">
        <v>150</v>
      </c>
      <c r="AI78" s="229">
        <f t="shared" si="13"/>
        <v>0</v>
      </c>
      <c r="AK78" s="146">
        <f t="shared" si="14"/>
        <v>0</v>
      </c>
      <c r="AL78" s="146">
        <f t="shared" si="15"/>
        <v>0</v>
      </c>
      <c r="AM78" s="230">
        <f>'2017-18 Amort Detail'!AI78</f>
        <v>0</v>
      </c>
      <c r="AN78" s="230">
        <f>'2016-17 Amort Detail'!AI78</f>
        <v>0</v>
      </c>
      <c r="AO78" s="230">
        <f>'2015-16 Amort Detail'!AI78</f>
        <v>0</v>
      </c>
      <c r="AP78" s="236">
        <f t="shared" si="16"/>
        <v>0</v>
      </c>
    </row>
    <row r="79" spans="1:42" x14ac:dyDescent="0.25">
      <c r="A79" s="121">
        <f t="shared" si="17"/>
        <v>73</v>
      </c>
      <c r="B79" s="160"/>
      <c r="C79" s="160" t="s">
        <v>84</v>
      </c>
      <c r="D79" s="160" t="s">
        <v>128</v>
      </c>
      <c r="E79" s="160" t="s">
        <v>114</v>
      </c>
      <c r="F79" s="149">
        <v>0</v>
      </c>
      <c r="G79" s="127"/>
      <c r="H79" s="166">
        <v>0</v>
      </c>
      <c r="I79" s="166">
        <v>0</v>
      </c>
      <c r="J79" s="161">
        <v>0</v>
      </c>
      <c r="K79" s="161">
        <v>0</v>
      </c>
      <c r="L79" s="161">
        <f>+'Test Year Volumes'!I80</f>
        <v>0</v>
      </c>
      <c r="M79" s="161">
        <f>+'Test Year Volumes'!J80</f>
        <v>0</v>
      </c>
      <c r="N79" s="161">
        <f>+'Test Year Volumes'!K80</f>
        <v>0</v>
      </c>
      <c r="O79" s="161">
        <f>+'Test Year Volumes'!L80</f>
        <v>0</v>
      </c>
      <c r="P79" s="161">
        <f>+'Test Year Volumes'!M80</f>
        <v>0</v>
      </c>
      <c r="Q79" s="161">
        <f>+'Test Year Volumes'!N80</f>
        <v>0</v>
      </c>
      <c r="R79" s="161">
        <f>+'Test Year Volumes'!O80</f>
        <v>0</v>
      </c>
      <c r="S79" s="161">
        <f>+'Test Year Volumes'!D80</f>
        <v>0</v>
      </c>
      <c r="T79" s="162" t="s">
        <v>150</v>
      </c>
      <c r="U79" s="127"/>
      <c r="V79" s="145">
        <f t="shared" ref="V79" si="18">ROUND($F79*$H79,2)</f>
        <v>0</v>
      </c>
      <c r="W79" s="145">
        <f t="shared" ref="W79" si="19">ROUND($F79*$I79,2)</f>
        <v>0</v>
      </c>
      <c r="X79" s="145">
        <f t="shared" ref="X79" si="20">ROUND($F79*$J79,2)</f>
        <v>0</v>
      </c>
      <c r="Y79" s="145">
        <f t="shared" ref="Y79" si="21">ROUND($F79*$K79,2)</f>
        <v>0</v>
      </c>
      <c r="Z79" s="145">
        <f t="shared" ref="Z79" si="22">ROUND($F79*$L79,2)</f>
        <v>0</v>
      </c>
      <c r="AA79" s="145">
        <f t="shared" ref="AA79" si="23">ROUND($F79*$M79,2)</f>
        <v>0</v>
      </c>
      <c r="AB79" s="145">
        <f t="shared" ref="AB79" si="24">ROUND($F79*$N79,2)</f>
        <v>0</v>
      </c>
      <c r="AC79" s="145">
        <f t="shared" ref="AC79" si="25">ROUND($F79*$O79,2)</f>
        <v>0</v>
      </c>
      <c r="AD79" s="145">
        <f t="shared" ref="AD79" si="26">ROUND($F79*$P79,2)</f>
        <v>0</v>
      </c>
      <c r="AE79" s="145">
        <f t="shared" ref="AE79" si="27">ROUND($F79*$Q79,2)</f>
        <v>0</v>
      </c>
      <c r="AF79" s="145">
        <f t="shared" ref="AF79" si="28">ROUND($F79*$R79,2)</f>
        <v>0</v>
      </c>
      <c r="AG79" s="145">
        <f t="shared" ref="AG79" si="29">ROUND($F79*$S79,2)</f>
        <v>0</v>
      </c>
      <c r="AH79" s="147" t="s">
        <v>150</v>
      </c>
      <c r="AI79" s="228">
        <f t="shared" ref="AI79" si="30">+SUM(V79:AH79)</f>
        <v>0</v>
      </c>
      <c r="AK79" s="145">
        <f t="shared" ref="AK79" si="31">+SUM(V79:Y79)/(1-0.04372)</f>
        <v>0</v>
      </c>
      <c r="AL79" s="145">
        <f t="shared" ref="AL79" si="32">+SUM(V79:AG79)/(1-0.04372)</f>
        <v>0</v>
      </c>
      <c r="AM79" s="230">
        <f>'2017-18 Amort Detail'!AI79</f>
        <v>0</v>
      </c>
      <c r="AN79" s="230">
        <f>'2016-17 Amort Detail'!AI79</f>
        <v>0</v>
      </c>
      <c r="AO79" s="230">
        <f>'2015-16 Amort Detail'!AI79</f>
        <v>0</v>
      </c>
      <c r="AP79" s="236">
        <f t="shared" ref="AP79:AP95" si="33">AI79+AM79+AN79+AO79</f>
        <v>0</v>
      </c>
    </row>
    <row r="80" spans="1:42" s="133" customFormat="1" x14ac:dyDescent="0.25">
      <c r="A80" s="121">
        <f t="shared" si="17"/>
        <v>74</v>
      </c>
      <c r="B80" s="120" t="s">
        <v>148</v>
      </c>
      <c r="C80" s="120"/>
      <c r="D80" s="120"/>
      <c r="E80" s="120"/>
      <c r="F80" s="152"/>
      <c r="G80" s="153"/>
      <c r="H80" s="168">
        <f>SUM(H14:H79)</f>
        <v>3832321.2000000007</v>
      </c>
      <c r="I80" s="168">
        <f t="shared" ref="I80:T80" si="34">SUM(I14:I79)</f>
        <v>12444145.5</v>
      </c>
      <c r="J80" s="168">
        <f t="shared" si="34"/>
        <v>14374378.600000003</v>
      </c>
      <c r="K80" s="168">
        <f t="shared" si="34"/>
        <v>14009524</v>
      </c>
      <c r="L80" s="168">
        <f t="shared" si="34"/>
        <v>10193541.646382974</v>
      </c>
      <c r="M80" s="168">
        <f t="shared" si="34"/>
        <v>7698414.5526365153</v>
      </c>
      <c r="N80" s="168">
        <f t="shared" si="34"/>
        <v>5240570.7251745332</v>
      </c>
      <c r="O80" s="168">
        <f t="shared" si="34"/>
        <v>3909867.3629683754</v>
      </c>
      <c r="P80" s="168">
        <f t="shared" si="34"/>
        <v>3540123.7627331438</v>
      </c>
      <c r="Q80" s="168">
        <f t="shared" si="34"/>
        <v>3659962.8276071739</v>
      </c>
      <c r="R80" s="168">
        <f t="shared" si="34"/>
        <v>3826489.1949581755</v>
      </c>
      <c r="S80" s="168">
        <f t="shared" si="34"/>
        <v>6529466.7537165834</v>
      </c>
      <c r="T80" s="168">
        <f t="shared" si="34"/>
        <v>0</v>
      </c>
      <c r="U80" s="153"/>
      <c r="V80" s="154">
        <f>SUM(V14:V79)</f>
        <v>-69241.359999999986</v>
      </c>
      <c r="W80" s="154">
        <f>SUM(W14:W79)</f>
        <v>-317716.05</v>
      </c>
      <c r="X80" s="154">
        <f>SUM(X14:X79)</f>
        <v>-369674.37</v>
      </c>
      <c r="Y80" s="154">
        <f>SUM(Y14:Y79)</f>
        <v>-365291.08999999991</v>
      </c>
      <c r="Z80" s="154">
        <f>SUM(Z14:Z79)</f>
        <v>-253862.38999999998</v>
      </c>
      <c r="AA80" s="154">
        <f t="shared" ref="AA80:AG80" si="35">SUM(AA14:AA79)</f>
        <v>-182082.59000000003</v>
      </c>
      <c r="AB80" s="154">
        <f t="shared" si="35"/>
        <v>-111641.92000000001</v>
      </c>
      <c r="AC80" s="154">
        <f t="shared" si="35"/>
        <v>-73401.91</v>
      </c>
      <c r="AD80" s="154">
        <f t="shared" si="35"/>
        <v>-62338.609999999993</v>
      </c>
      <c r="AE80" s="154">
        <f t="shared" si="35"/>
        <v>-61967.970000000008</v>
      </c>
      <c r="AF80" s="154">
        <f t="shared" si="35"/>
        <v>-66576.759999999995</v>
      </c>
      <c r="AG80" s="154">
        <f t="shared" si="35"/>
        <v>-138929.29999999999</v>
      </c>
      <c r="AH80" s="155">
        <f t="shared" ref="AH80:AI80" si="36">SUM(AH14:AH79)</f>
        <v>0</v>
      </c>
      <c r="AI80" s="230">
        <f t="shared" si="36"/>
        <v>-2072724.3199999996</v>
      </c>
      <c r="AK80" s="154">
        <f t="shared" ref="AK80:AL80" si="37">SUM(AK14:AK79)</f>
        <v>-1173215.8677374825</v>
      </c>
      <c r="AL80" s="154">
        <f t="shared" si="37"/>
        <v>-2167486.8448571549</v>
      </c>
      <c r="AM80" s="230">
        <f>'2017-18 Amort Detail'!AI80</f>
        <v>-1921683.8399999996</v>
      </c>
      <c r="AN80" s="230">
        <f>'2016-17 Amort Detail'!AI80</f>
        <v>-1938725.73</v>
      </c>
      <c r="AO80" s="230">
        <f>'2015-16 Amort Detail'!AI80</f>
        <v>-1216854.2999999998</v>
      </c>
      <c r="AP80" s="236">
        <f t="shared" si="33"/>
        <v>-7149988.1899999985</v>
      </c>
    </row>
    <row r="81" spans="1:42" x14ac:dyDescent="0.25">
      <c r="A81" s="121">
        <f t="shared" si="17"/>
        <v>75</v>
      </c>
      <c r="F81" s="141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AI81" s="231"/>
      <c r="AM81" s="230">
        <f>'2017-18 Amort Detail'!AI81</f>
        <v>0</v>
      </c>
      <c r="AN81" s="230">
        <f>'2016-17 Amort Detail'!AI81</f>
        <v>0</v>
      </c>
      <c r="AO81" s="230">
        <f>'2015-16 Amort Detail'!AI81</f>
        <v>0</v>
      </c>
      <c r="AP81" s="236">
        <f t="shared" si="33"/>
        <v>0</v>
      </c>
    </row>
    <row r="82" spans="1:42" x14ac:dyDescent="0.25">
      <c r="A82" s="121">
        <f t="shared" si="17"/>
        <v>76</v>
      </c>
      <c r="F82" s="141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AI82" s="231"/>
      <c r="AL82" s="206"/>
      <c r="AM82" s="230">
        <f>'2017-18 Amort Detail'!AI82</f>
        <v>0</v>
      </c>
      <c r="AN82" s="230">
        <f>'2016-17 Amort Detail'!AI82</f>
        <v>0</v>
      </c>
      <c r="AO82" s="230">
        <f>'2015-16 Amort Detail'!AI82</f>
        <v>0</v>
      </c>
      <c r="AP82" s="236">
        <f t="shared" si="33"/>
        <v>0</v>
      </c>
    </row>
    <row r="83" spans="1:42" x14ac:dyDescent="0.25">
      <c r="A83" s="121">
        <f t="shared" si="17"/>
        <v>77</v>
      </c>
      <c r="B83" s="120" t="s">
        <v>231</v>
      </c>
      <c r="F83" s="141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AI83" s="231"/>
      <c r="AM83" s="230">
        <f>'2017-18 Amort Detail'!AI83</f>
        <v>0</v>
      </c>
      <c r="AN83" s="230">
        <f>'2016-17 Amort Detail'!AI83</f>
        <v>0</v>
      </c>
      <c r="AO83" s="230">
        <f>'2015-16 Amort Detail'!AI83</f>
        <v>0</v>
      </c>
      <c r="AP83" s="236">
        <f t="shared" si="33"/>
        <v>0</v>
      </c>
    </row>
    <row r="84" spans="1:42" x14ac:dyDescent="0.25">
      <c r="A84" s="121">
        <f t="shared" si="17"/>
        <v>78</v>
      </c>
      <c r="B84" s="157" t="s">
        <v>232</v>
      </c>
      <c r="C84" s="207"/>
      <c r="D84" s="207"/>
      <c r="E84" s="207"/>
      <c r="F84" s="208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10">
        <f t="shared" ref="V84:AG84" si="38">+V14</f>
        <v>-331.54</v>
      </c>
      <c r="W84" s="210">
        <f t="shared" si="38"/>
        <v>-1496.88</v>
      </c>
      <c r="X84" s="210">
        <f t="shared" si="38"/>
        <v>-1692.86</v>
      </c>
      <c r="Y84" s="210">
        <f t="shared" si="38"/>
        <v>-1645.55</v>
      </c>
      <c r="Z84" s="210">
        <f t="shared" si="38"/>
        <v>-1130.5</v>
      </c>
      <c r="AA84" s="210">
        <f t="shared" si="38"/>
        <v>-846.9</v>
      </c>
      <c r="AB84" s="210">
        <f t="shared" si="38"/>
        <v>-570.87</v>
      </c>
      <c r="AC84" s="210">
        <f t="shared" si="38"/>
        <v>-413.39</v>
      </c>
      <c r="AD84" s="210">
        <f t="shared" si="38"/>
        <v>-348.51</v>
      </c>
      <c r="AE84" s="210">
        <f t="shared" si="38"/>
        <v>-346.77</v>
      </c>
      <c r="AF84" s="210">
        <f t="shared" si="38"/>
        <v>-360.98</v>
      </c>
      <c r="AG84" s="210">
        <f t="shared" si="38"/>
        <v>-670.37</v>
      </c>
      <c r="AH84" s="210">
        <f>+SUM(AH14)</f>
        <v>0</v>
      </c>
      <c r="AI84" s="232">
        <f t="shared" ref="AI84:AI89" si="39">+AI14</f>
        <v>-9855.1200000000008</v>
      </c>
      <c r="AK84" s="210">
        <f t="shared" ref="AK84:AL89" si="40">+AK14</f>
        <v>-5403.0514075375413</v>
      </c>
      <c r="AL84" s="210">
        <f t="shared" si="40"/>
        <v>-10305.684527544234</v>
      </c>
      <c r="AM84" s="230">
        <f>'2017-18 Amort Detail'!AI84</f>
        <v>-8277.7999999999993</v>
      </c>
      <c r="AN84" s="230">
        <f>'2016-17 Amort Detail'!AI84</f>
        <v>-8921.25</v>
      </c>
      <c r="AO84" s="230">
        <f>'2015-16 Amort Detail'!AI84</f>
        <v>-5951.5599999999995</v>
      </c>
      <c r="AP84" s="236">
        <f t="shared" si="33"/>
        <v>-33005.729999999996</v>
      </c>
    </row>
    <row r="85" spans="1:42" x14ac:dyDescent="0.25">
      <c r="A85" s="121">
        <f t="shared" si="17"/>
        <v>79</v>
      </c>
      <c r="B85" s="157" t="s">
        <v>233</v>
      </c>
      <c r="C85" s="207"/>
      <c r="D85" s="207"/>
      <c r="E85" s="207"/>
      <c r="F85" s="208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10">
        <f t="shared" ref="V85:AG85" si="41">+V15</f>
        <v>-56.31</v>
      </c>
      <c r="W85" s="210">
        <f t="shared" si="41"/>
        <v>-198.92</v>
      </c>
      <c r="X85" s="210">
        <f t="shared" si="41"/>
        <v>-307.52</v>
      </c>
      <c r="Y85" s="210">
        <f t="shared" si="41"/>
        <v>-207.11</v>
      </c>
      <c r="Z85" s="210">
        <f t="shared" si="41"/>
        <v>-213.33</v>
      </c>
      <c r="AA85" s="210">
        <f t="shared" si="41"/>
        <v>-155.72999999999999</v>
      </c>
      <c r="AB85" s="210">
        <f t="shared" si="41"/>
        <v>-96.09</v>
      </c>
      <c r="AC85" s="210">
        <f t="shared" si="41"/>
        <v>-67.61</v>
      </c>
      <c r="AD85" s="210">
        <f t="shared" si="41"/>
        <v>-76.510000000000005</v>
      </c>
      <c r="AE85" s="210">
        <f t="shared" si="41"/>
        <v>-76.28</v>
      </c>
      <c r="AF85" s="210">
        <f t="shared" si="41"/>
        <v>-77.760000000000005</v>
      </c>
      <c r="AG85" s="210">
        <f t="shared" si="41"/>
        <v>-124.18</v>
      </c>
      <c r="AH85" s="210">
        <f t="shared" ref="AH85:AH89" si="42">+SUM(AH15)</f>
        <v>0</v>
      </c>
      <c r="AI85" s="232">
        <f t="shared" si="39"/>
        <v>-1657.35</v>
      </c>
      <c r="AK85" s="210">
        <f t="shared" si="40"/>
        <v>-805.05709624796089</v>
      </c>
      <c r="AL85" s="210">
        <f t="shared" si="40"/>
        <v>-1733.1220981302547</v>
      </c>
      <c r="AM85" s="230">
        <f>'2017-18 Amort Detail'!AI85</f>
        <v>-1320.0100000000002</v>
      </c>
      <c r="AN85" s="230">
        <f>'2016-17 Amort Detail'!AI85</f>
        <v>-1294.07</v>
      </c>
      <c r="AO85" s="230">
        <f>'2015-16 Amort Detail'!AI85</f>
        <v>-613.95000000000005</v>
      </c>
      <c r="AP85" s="236">
        <f t="shared" si="33"/>
        <v>-4885.38</v>
      </c>
    </row>
    <row r="86" spans="1:42" x14ac:dyDescent="0.25">
      <c r="A86" s="121">
        <f t="shared" si="17"/>
        <v>80</v>
      </c>
      <c r="B86" s="157">
        <v>2</v>
      </c>
      <c r="C86" s="207"/>
      <c r="D86" s="207"/>
      <c r="E86" s="207"/>
      <c r="F86" s="208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10">
        <f t="shared" ref="V86:AG86" si="43">+V16</f>
        <v>-52456.88</v>
      </c>
      <c r="W86" s="210">
        <f t="shared" si="43"/>
        <v>-237704.67</v>
      </c>
      <c r="X86" s="210">
        <f t="shared" si="43"/>
        <v>-274168.18</v>
      </c>
      <c r="Y86" s="210">
        <f t="shared" si="43"/>
        <v>-271002.27</v>
      </c>
      <c r="Z86" s="210">
        <f t="shared" si="43"/>
        <v>-187543.63</v>
      </c>
      <c r="AA86" s="210">
        <f t="shared" si="43"/>
        <v>-133492.87</v>
      </c>
      <c r="AB86" s="210">
        <f t="shared" si="43"/>
        <v>-79630.02</v>
      </c>
      <c r="AC86" s="210">
        <f t="shared" si="43"/>
        <v>-50100.42</v>
      </c>
      <c r="AD86" s="210">
        <f t="shared" si="43"/>
        <v>-41880.5</v>
      </c>
      <c r="AE86" s="210">
        <f t="shared" si="43"/>
        <v>-41701.17</v>
      </c>
      <c r="AF86" s="210">
        <f t="shared" si="43"/>
        <v>-45810.64</v>
      </c>
      <c r="AG86" s="210">
        <f t="shared" si="43"/>
        <v>-101040.48</v>
      </c>
      <c r="AH86" s="210">
        <f t="shared" si="42"/>
        <v>0</v>
      </c>
      <c r="AI86" s="232">
        <f t="shared" si="39"/>
        <v>-1516531.7299999997</v>
      </c>
      <c r="AK86" s="210">
        <f t="shared" si="40"/>
        <v>-873522.39929727698</v>
      </c>
      <c r="AL86" s="210">
        <f t="shared" si="40"/>
        <v>-1585865.7819885386</v>
      </c>
      <c r="AM86" s="230">
        <f>'2017-18 Amort Detail'!AI86</f>
        <v>-1404827.0099999998</v>
      </c>
      <c r="AN86" s="230">
        <f>'2016-17 Amort Detail'!AI86</f>
        <v>-1424934.28</v>
      </c>
      <c r="AO86" s="230">
        <f>'2015-16 Amort Detail'!AI86</f>
        <v>-881433.62999999989</v>
      </c>
      <c r="AP86" s="236">
        <f t="shared" si="33"/>
        <v>-5227726.6499999994</v>
      </c>
    </row>
    <row r="87" spans="1:42" x14ac:dyDescent="0.25">
      <c r="A87" s="121">
        <f t="shared" si="17"/>
        <v>81</v>
      </c>
      <c r="B87" s="158" t="s">
        <v>234</v>
      </c>
      <c r="C87" s="207"/>
      <c r="D87" s="207"/>
      <c r="E87" s="207"/>
      <c r="F87" s="208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10">
        <f t="shared" ref="V87:AG87" si="44">+V17</f>
        <v>-12726.35</v>
      </c>
      <c r="W87" s="210">
        <f t="shared" si="44"/>
        <v>-65014.64</v>
      </c>
      <c r="X87" s="210">
        <f t="shared" si="44"/>
        <v>-78046.36</v>
      </c>
      <c r="Y87" s="210">
        <f t="shared" si="44"/>
        <v>-77427.75</v>
      </c>
      <c r="Z87" s="210">
        <f t="shared" si="44"/>
        <v>-54446.85</v>
      </c>
      <c r="AA87" s="210">
        <f t="shared" si="44"/>
        <v>-39473.15</v>
      </c>
      <c r="AB87" s="210">
        <f t="shared" si="44"/>
        <v>-25407.52</v>
      </c>
      <c r="AC87" s="210">
        <f t="shared" si="44"/>
        <v>-18197.240000000002</v>
      </c>
      <c r="AD87" s="210">
        <f t="shared" si="44"/>
        <v>-16444.05</v>
      </c>
      <c r="AE87" s="210">
        <f t="shared" si="44"/>
        <v>-16362.16</v>
      </c>
      <c r="AF87" s="210">
        <f t="shared" si="44"/>
        <v>-16766.5</v>
      </c>
      <c r="AG87" s="210">
        <f t="shared" si="44"/>
        <v>-30415.4</v>
      </c>
      <c r="AH87" s="210">
        <f t="shared" si="42"/>
        <v>0</v>
      </c>
      <c r="AI87" s="232">
        <f t="shared" si="39"/>
        <v>-450727.97000000003</v>
      </c>
      <c r="AK87" s="210">
        <f t="shared" si="40"/>
        <v>-243877.42083908478</v>
      </c>
      <c r="AL87" s="210">
        <f t="shared" si="40"/>
        <v>-471334.7241393734</v>
      </c>
      <c r="AM87" s="230">
        <f>'2017-18 Amort Detail'!AI87</f>
        <v>-410610.52999999997</v>
      </c>
      <c r="AN87" s="230">
        <f>'2016-17 Amort Detail'!AI87</f>
        <v>-419401.4800000001</v>
      </c>
      <c r="AO87" s="230">
        <f>'2015-16 Amort Detail'!AI87</f>
        <v>-272214.72000000003</v>
      </c>
      <c r="AP87" s="236">
        <f t="shared" si="33"/>
        <v>-1552954.7</v>
      </c>
    </row>
    <row r="88" spans="1:42" x14ac:dyDescent="0.25">
      <c r="A88" s="121">
        <f t="shared" si="17"/>
        <v>82</v>
      </c>
      <c r="B88" s="158" t="s">
        <v>235</v>
      </c>
      <c r="C88" s="207"/>
      <c r="D88" s="207"/>
      <c r="E88" s="207"/>
      <c r="F88" s="208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10">
        <f t="shared" ref="V88:AG88" si="45">+V18</f>
        <v>0</v>
      </c>
      <c r="W88" s="210">
        <f t="shared" si="45"/>
        <v>0</v>
      </c>
      <c r="X88" s="210">
        <f t="shared" si="45"/>
        <v>0</v>
      </c>
      <c r="Y88" s="210">
        <f t="shared" si="45"/>
        <v>0</v>
      </c>
      <c r="Z88" s="210">
        <f t="shared" si="45"/>
        <v>0</v>
      </c>
      <c r="AA88" s="210">
        <f t="shared" si="45"/>
        <v>0</v>
      </c>
      <c r="AB88" s="210">
        <f t="shared" si="45"/>
        <v>0</v>
      </c>
      <c r="AC88" s="210">
        <f t="shared" si="45"/>
        <v>0</v>
      </c>
      <c r="AD88" s="210">
        <f t="shared" si="45"/>
        <v>0</v>
      </c>
      <c r="AE88" s="210">
        <f t="shared" si="45"/>
        <v>0</v>
      </c>
      <c r="AF88" s="210">
        <f t="shared" si="45"/>
        <v>0</v>
      </c>
      <c r="AG88" s="210">
        <f t="shared" si="45"/>
        <v>0</v>
      </c>
      <c r="AH88" s="210">
        <f t="shared" si="42"/>
        <v>0</v>
      </c>
      <c r="AI88" s="232">
        <f t="shared" si="39"/>
        <v>0</v>
      </c>
      <c r="AK88" s="210">
        <f t="shared" si="40"/>
        <v>0</v>
      </c>
      <c r="AL88" s="210">
        <f t="shared" si="40"/>
        <v>0</v>
      </c>
      <c r="AM88" s="230">
        <f>'2017-18 Amort Detail'!AI88</f>
        <v>0</v>
      </c>
      <c r="AN88" s="230">
        <f>'2016-17 Amort Detail'!AI88</f>
        <v>0</v>
      </c>
      <c r="AO88" s="230">
        <f>'2015-16 Amort Detail'!AI88</f>
        <v>0</v>
      </c>
      <c r="AP88" s="236">
        <f t="shared" si="33"/>
        <v>0</v>
      </c>
    </row>
    <row r="89" spans="1:42" x14ac:dyDescent="0.25">
      <c r="A89" s="121">
        <f t="shared" si="17"/>
        <v>83</v>
      </c>
      <c r="B89" s="157">
        <v>27</v>
      </c>
      <c r="C89" s="207"/>
      <c r="D89" s="207"/>
      <c r="E89" s="207"/>
      <c r="F89" s="208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10">
        <f t="shared" ref="V89:AG89" si="46">+V19</f>
        <v>-515.23</v>
      </c>
      <c r="W89" s="210">
        <f t="shared" si="46"/>
        <v>-1865.05</v>
      </c>
      <c r="X89" s="210">
        <f t="shared" si="46"/>
        <v>-2295.69</v>
      </c>
      <c r="Y89" s="210">
        <f t="shared" si="46"/>
        <v>-2187.92</v>
      </c>
      <c r="Z89" s="210">
        <f t="shared" si="46"/>
        <v>-1357</v>
      </c>
      <c r="AA89" s="210">
        <f t="shared" si="46"/>
        <v>-942.07</v>
      </c>
      <c r="AB89" s="210">
        <f t="shared" si="46"/>
        <v>-536.86</v>
      </c>
      <c r="AC89" s="210">
        <f t="shared" si="46"/>
        <v>-341.89</v>
      </c>
      <c r="AD89" s="210">
        <f t="shared" si="46"/>
        <v>-82.9</v>
      </c>
      <c r="AE89" s="210">
        <f t="shared" si="46"/>
        <v>-83.42</v>
      </c>
      <c r="AF89" s="210">
        <f t="shared" si="46"/>
        <v>-111.16</v>
      </c>
      <c r="AG89" s="210">
        <f t="shared" si="46"/>
        <v>-722.74</v>
      </c>
      <c r="AH89" s="210">
        <f t="shared" si="42"/>
        <v>0</v>
      </c>
      <c r="AI89" s="232">
        <f t="shared" si="39"/>
        <v>-11041.929999999998</v>
      </c>
      <c r="AK89" s="210">
        <f t="shared" si="40"/>
        <v>-7177.6990002928005</v>
      </c>
      <c r="AL89" s="210">
        <f t="shared" si="40"/>
        <v>-11546.754088760612</v>
      </c>
      <c r="AM89" s="230">
        <f>'2017-18 Amort Detail'!AI89</f>
        <v>-9481.510000000002</v>
      </c>
      <c r="AN89" s="230">
        <f>'2016-17 Amort Detail'!AI89</f>
        <v>-9158.8799999999992</v>
      </c>
      <c r="AO89" s="230">
        <f>'2015-16 Amort Detail'!AI89</f>
        <v>-4619.7899999999991</v>
      </c>
      <c r="AP89" s="236">
        <f t="shared" si="33"/>
        <v>-34302.11</v>
      </c>
    </row>
    <row r="90" spans="1:42" x14ac:dyDescent="0.25">
      <c r="A90" s="121">
        <f t="shared" si="17"/>
        <v>84</v>
      </c>
      <c r="B90" s="157" t="s">
        <v>95</v>
      </c>
      <c r="C90" s="207"/>
      <c r="D90" s="207"/>
      <c r="E90" s="207"/>
      <c r="F90" s="208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10">
        <f t="shared" ref="V90:AI90" si="47">+SUM(V20:V21)</f>
        <v>-2169.34</v>
      </c>
      <c r="W90" s="210">
        <f t="shared" si="47"/>
        <v>-9055.41</v>
      </c>
      <c r="X90" s="210">
        <f t="shared" si="47"/>
        <v>-10527.26</v>
      </c>
      <c r="Y90" s="210">
        <f t="shared" si="47"/>
        <v>-10326.57</v>
      </c>
      <c r="Z90" s="210">
        <f t="shared" si="47"/>
        <v>-8219.08</v>
      </c>
      <c r="AA90" s="210">
        <f t="shared" si="47"/>
        <v>-6432.62</v>
      </c>
      <c r="AB90" s="210">
        <f t="shared" si="47"/>
        <v>-4845.6900000000005</v>
      </c>
      <c r="AC90" s="210">
        <f t="shared" si="47"/>
        <v>-3831.96</v>
      </c>
      <c r="AD90" s="210">
        <f t="shared" si="47"/>
        <v>-3200.77</v>
      </c>
      <c r="AE90" s="210">
        <f t="shared" si="47"/>
        <v>-3195.07</v>
      </c>
      <c r="AF90" s="210">
        <f t="shared" si="47"/>
        <v>-3193.45</v>
      </c>
      <c r="AG90" s="210">
        <f t="shared" si="47"/>
        <v>-5321.26</v>
      </c>
      <c r="AH90" s="210">
        <f t="shared" si="47"/>
        <v>0</v>
      </c>
      <c r="AI90" s="232">
        <f t="shared" si="47"/>
        <v>-70318.48000000001</v>
      </c>
      <c r="AK90" s="210">
        <f>+SUM(AK20:AK21)</f>
        <v>-33545.175053331659</v>
      </c>
      <c r="AL90" s="210">
        <f>+SUM(AL20:AL21)</f>
        <v>-73533.358430585184</v>
      </c>
      <c r="AM90" s="230">
        <f>'2017-18 Amort Detail'!AI90</f>
        <v>-67619.81</v>
      </c>
      <c r="AN90" s="230">
        <f>'2016-17 Amort Detail'!AI90</f>
        <v>-60490.159999999989</v>
      </c>
      <c r="AO90" s="230">
        <f>'2015-16 Amort Detail'!AI90</f>
        <v>-40807.880000000005</v>
      </c>
      <c r="AP90" s="236">
        <f t="shared" si="33"/>
        <v>-239236.33000000002</v>
      </c>
    </row>
    <row r="91" spans="1:42" x14ac:dyDescent="0.25">
      <c r="A91" s="121">
        <f t="shared" si="17"/>
        <v>85</v>
      </c>
      <c r="B91" s="157" t="s">
        <v>99</v>
      </c>
      <c r="C91" s="207"/>
      <c r="D91" s="207"/>
      <c r="E91" s="207"/>
      <c r="F91" s="208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10">
        <f t="shared" ref="V91:AI91" si="48">+SUM(V22:V23)</f>
        <v>0</v>
      </c>
      <c r="W91" s="210">
        <f t="shared" si="48"/>
        <v>0</v>
      </c>
      <c r="X91" s="210">
        <f t="shared" si="48"/>
        <v>0</v>
      </c>
      <c r="Y91" s="210">
        <f t="shared" si="48"/>
        <v>0</v>
      </c>
      <c r="Z91" s="210">
        <f t="shared" si="48"/>
        <v>0</v>
      </c>
      <c r="AA91" s="210">
        <f t="shared" si="48"/>
        <v>0</v>
      </c>
      <c r="AB91" s="210">
        <f t="shared" si="48"/>
        <v>0</v>
      </c>
      <c r="AC91" s="210">
        <f t="shared" si="48"/>
        <v>0</v>
      </c>
      <c r="AD91" s="210">
        <f t="shared" si="48"/>
        <v>0</v>
      </c>
      <c r="AE91" s="210">
        <f t="shared" si="48"/>
        <v>0</v>
      </c>
      <c r="AF91" s="210">
        <f t="shared" si="48"/>
        <v>0</v>
      </c>
      <c r="AG91" s="210">
        <f t="shared" si="48"/>
        <v>0</v>
      </c>
      <c r="AH91" s="210">
        <f t="shared" si="48"/>
        <v>0</v>
      </c>
      <c r="AI91" s="232">
        <f t="shared" si="48"/>
        <v>0</v>
      </c>
      <c r="AK91" s="210">
        <f>+SUM(AK22:AK23)</f>
        <v>0</v>
      </c>
      <c r="AL91" s="210">
        <f>+SUM(AL22:AL23)</f>
        <v>0</v>
      </c>
      <c r="AM91" s="230">
        <f>'2017-18 Amort Detail'!AI91</f>
        <v>0</v>
      </c>
      <c r="AN91" s="230">
        <f>'2016-17 Amort Detail'!AI91</f>
        <v>0</v>
      </c>
      <c r="AO91" s="230">
        <f>'2015-16 Amort Detail'!AI91</f>
        <v>0</v>
      </c>
      <c r="AP91" s="236">
        <f t="shared" si="33"/>
        <v>0</v>
      </c>
    </row>
    <row r="92" spans="1:42" x14ac:dyDescent="0.25">
      <c r="A92" s="121">
        <f t="shared" si="17"/>
        <v>86</v>
      </c>
      <c r="B92" s="157" t="s">
        <v>103</v>
      </c>
      <c r="C92" s="207"/>
      <c r="D92" s="207"/>
      <c r="E92" s="207"/>
      <c r="F92" s="208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10">
        <f t="shared" ref="V92:AI92" si="49">+SUM(V26:V27)</f>
        <v>0</v>
      </c>
      <c r="W92" s="210">
        <f t="shared" si="49"/>
        <v>0</v>
      </c>
      <c r="X92" s="210">
        <f t="shared" si="49"/>
        <v>0</v>
      </c>
      <c r="Y92" s="210">
        <f t="shared" si="49"/>
        <v>0</v>
      </c>
      <c r="Z92" s="210">
        <f t="shared" si="49"/>
        <v>0</v>
      </c>
      <c r="AA92" s="210">
        <f t="shared" si="49"/>
        <v>0</v>
      </c>
      <c r="AB92" s="210">
        <f t="shared" si="49"/>
        <v>0</v>
      </c>
      <c r="AC92" s="210">
        <f t="shared" si="49"/>
        <v>0</v>
      </c>
      <c r="AD92" s="210">
        <f t="shared" si="49"/>
        <v>0</v>
      </c>
      <c r="AE92" s="210">
        <f t="shared" si="49"/>
        <v>0</v>
      </c>
      <c r="AF92" s="210">
        <f t="shared" si="49"/>
        <v>0</v>
      </c>
      <c r="AG92" s="210">
        <f t="shared" si="49"/>
        <v>0</v>
      </c>
      <c r="AH92" s="210">
        <f t="shared" si="49"/>
        <v>0</v>
      </c>
      <c r="AI92" s="232">
        <f t="shared" si="49"/>
        <v>0</v>
      </c>
      <c r="AK92" s="210">
        <f>+SUM(AK26:AK27)</f>
        <v>0</v>
      </c>
      <c r="AL92" s="210">
        <f>+SUM(AL26:AL27)</f>
        <v>0</v>
      </c>
      <c r="AM92" s="230">
        <f>'2017-18 Amort Detail'!AI92</f>
        <v>0</v>
      </c>
      <c r="AN92" s="230">
        <f>'2016-17 Amort Detail'!AI92</f>
        <v>0</v>
      </c>
      <c r="AO92" s="230">
        <f>'2015-16 Amort Detail'!AI92</f>
        <v>0</v>
      </c>
      <c r="AP92" s="236">
        <f t="shared" si="33"/>
        <v>0</v>
      </c>
    </row>
    <row r="93" spans="1:42" x14ac:dyDescent="0.25">
      <c r="A93" s="121">
        <f t="shared" si="17"/>
        <v>87</v>
      </c>
      <c r="B93" s="157" t="s">
        <v>109</v>
      </c>
      <c r="C93" s="207"/>
      <c r="D93" s="207"/>
      <c r="E93" s="207"/>
      <c r="F93" s="208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10">
        <f t="shared" ref="V93:AI93" si="50">+SUM(V32:V37)</f>
        <v>-202.25</v>
      </c>
      <c r="W93" s="210">
        <f t="shared" si="50"/>
        <v>-1502.36</v>
      </c>
      <c r="X93" s="210">
        <f t="shared" si="50"/>
        <v>-1751.6999999999998</v>
      </c>
      <c r="Y93" s="210">
        <f t="shared" si="50"/>
        <v>-1700.01</v>
      </c>
      <c r="Z93" s="210">
        <f t="shared" si="50"/>
        <v>-951.99999999999989</v>
      </c>
      <c r="AA93" s="210">
        <f t="shared" si="50"/>
        <v>-739.25</v>
      </c>
      <c r="AB93" s="210">
        <f t="shared" si="50"/>
        <v>-554.87</v>
      </c>
      <c r="AC93" s="210">
        <f t="shared" si="50"/>
        <v>-449.40000000000003</v>
      </c>
      <c r="AD93" s="210">
        <f t="shared" si="50"/>
        <v>-305.37</v>
      </c>
      <c r="AE93" s="210">
        <f t="shared" si="50"/>
        <v>-203.1</v>
      </c>
      <c r="AF93" s="210">
        <f t="shared" si="50"/>
        <v>-256.27</v>
      </c>
      <c r="AG93" s="210">
        <f t="shared" si="50"/>
        <v>-634.87</v>
      </c>
      <c r="AH93" s="210">
        <f t="shared" si="50"/>
        <v>0</v>
      </c>
      <c r="AI93" s="232">
        <f t="shared" si="50"/>
        <v>-9251.4500000000007</v>
      </c>
      <c r="AK93" s="210">
        <f>+SUM(AK32:AK37)</f>
        <v>-5392.0609026644916</v>
      </c>
      <c r="AL93" s="210">
        <f>+SUM(AL32:AL37)</f>
        <v>-9674.4154431756378</v>
      </c>
      <c r="AM93" s="230">
        <f>'2017-18 Amort Detail'!AI93</f>
        <v>-13432.11</v>
      </c>
      <c r="AN93" s="230">
        <f>'2016-17 Amort Detail'!AI93</f>
        <v>-7814.6699999999992</v>
      </c>
      <c r="AO93" s="230">
        <f>'2015-16 Amort Detail'!AI93</f>
        <v>-6090.37</v>
      </c>
      <c r="AP93" s="236">
        <f t="shared" si="33"/>
        <v>-36588.6</v>
      </c>
    </row>
    <row r="94" spans="1:42" x14ac:dyDescent="0.25">
      <c r="A94" s="121">
        <f t="shared" si="17"/>
        <v>88</v>
      </c>
      <c r="B94" s="157" t="s">
        <v>121</v>
      </c>
      <c r="C94" s="207"/>
      <c r="D94" s="207"/>
      <c r="E94" s="207"/>
      <c r="F94" s="208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10">
        <f t="shared" ref="V94:AI94" si="51">+SUM(V56:V61)</f>
        <v>-783.46</v>
      </c>
      <c r="W94" s="210">
        <f t="shared" si="51"/>
        <v>-878.12</v>
      </c>
      <c r="X94" s="210">
        <f t="shared" si="51"/>
        <v>-884.80000000000007</v>
      </c>
      <c r="Y94" s="210">
        <f t="shared" si="51"/>
        <v>-793.91000000000008</v>
      </c>
      <c r="Z94" s="210">
        <f t="shared" si="51"/>
        <v>0</v>
      </c>
      <c r="AA94" s="210">
        <f t="shared" si="51"/>
        <v>0</v>
      </c>
      <c r="AB94" s="210">
        <f t="shared" si="51"/>
        <v>0</v>
      </c>
      <c r="AC94" s="210">
        <f t="shared" si="51"/>
        <v>0</v>
      </c>
      <c r="AD94" s="210">
        <f t="shared" si="51"/>
        <v>0</v>
      </c>
      <c r="AE94" s="210">
        <f t="shared" si="51"/>
        <v>0</v>
      </c>
      <c r="AF94" s="210">
        <f t="shared" si="51"/>
        <v>0</v>
      </c>
      <c r="AG94" s="210">
        <f t="shared" si="51"/>
        <v>0</v>
      </c>
      <c r="AH94" s="210">
        <f t="shared" si="51"/>
        <v>0</v>
      </c>
      <c r="AI94" s="232">
        <f t="shared" si="51"/>
        <v>-3340.2900000000004</v>
      </c>
      <c r="AK94" s="210">
        <f>+SUM(AK56:AK61)</f>
        <v>-3493.0041410465556</v>
      </c>
      <c r="AL94" s="210">
        <f>+SUM(AL56:AL61)</f>
        <v>-3493.0041410465556</v>
      </c>
      <c r="AM94" s="230">
        <f>'2017-18 Amort Detail'!AI94</f>
        <v>-6115.0599999999995</v>
      </c>
      <c r="AN94" s="230">
        <f>'2016-17 Amort Detail'!AI94</f>
        <v>-6710.94</v>
      </c>
      <c r="AO94" s="230">
        <f>'2015-16 Amort Detail'!AI94</f>
        <v>-5122.3999999999996</v>
      </c>
      <c r="AP94" s="236">
        <f t="shared" si="33"/>
        <v>-21288.690000000002</v>
      </c>
    </row>
    <row r="95" spans="1:42" ht="13.8" thickBot="1" x14ac:dyDescent="0.3">
      <c r="A95" s="121">
        <f t="shared" si="17"/>
        <v>89</v>
      </c>
      <c r="B95" s="120" t="s">
        <v>148</v>
      </c>
      <c r="F95" s="141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54">
        <f>SUM(V84:V94)</f>
        <v>-69241.36</v>
      </c>
      <c r="W95" s="154">
        <f t="shared" ref="W95:AL95" si="52">SUM(W84:W94)</f>
        <v>-317716.04999999993</v>
      </c>
      <c r="X95" s="154">
        <f t="shared" si="52"/>
        <v>-369674.37</v>
      </c>
      <c r="Y95" s="154">
        <f t="shared" si="52"/>
        <v>-365291.08999999997</v>
      </c>
      <c r="Z95" s="154">
        <f t="shared" si="52"/>
        <v>-253862.38999999998</v>
      </c>
      <c r="AA95" s="154">
        <f t="shared" si="52"/>
        <v>-182082.59</v>
      </c>
      <c r="AB95" s="154">
        <f t="shared" si="52"/>
        <v>-111641.92000000001</v>
      </c>
      <c r="AC95" s="154">
        <f t="shared" si="52"/>
        <v>-73401.91</v>
      </c>
      <c r="AD95" s="154">
        <f t="shared" si="52"/>
        <v>-62338.609999999993</v>
      </c>
      <c r="AE95" s="154">
        <f t="shared" si="52"/>
        <v>-61967.97</v>
      </c>
      <c r="AF95" s="154">
        <f t="shared" si="52"/>
        <v>-66576.760000000009</v>
      </c>
      <c r="AG95" s="154">
        <f t="shared" si="52"/>
        <v>-138929.29999999999</v>
      </c>
      <c r="AH95" s="154">
        <f t="shared" si="52"/>
        <v>0</v>
      </c>
      <c r="AI95" s="230">
        <f>SUM(AI84:AI94)</f>
        <v>-2072724.3199999996</v>
      </c>
      <c r="AK95" s="206">
        <f t="shared" si="52"/>
        <v>-1173215.8677374828</v>
      </c>
      <c r="AL95" s="206">
        <f t="shared" si="52"/>
        <v>-2167486.8448571544</v>
      </c>
      <c r="AM95" s="230">
        <f>'2017-18 Amort Detail'!AI95</f>
        <v>-1921683.84</v>
      </c>
      <c r="AN95" s="230">
        <f>'2016-17 Amort Detail'!AI95</f>
        <v>-1938725.7299999997</v>
      </c>
      <c r="AO95" s="230">
        <f>'2015-16 Amort Detail'!AI95</f>
        <v>-1216854.2999999998</v>
      </c>
      <c r="AP95" s="237">
        <f t="shared" si="33"/>
        <v>-7149988.1899999995</v>
      </c>
    </row>
    <row r="96" spans="1:42" x14ac:dyDescent="0.25">
      <c r="F96" s="141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</row>
    <row r="97" spans="6:21" x14ac:dyDescent="0.25">
      <c r="F97" s="141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</row>
    <row r="98" spans="6:21" x14ac:dyDescent="0.25">
      <c r="F98" s="141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</row>
    <row r="99" spans="6:21" x14ac:dyDescent="0.25">
      <c r="F99" s="141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</row>
    <row r="100" spans="6:21" x14ac:dyDescent="0.25">
      <c r="F100" s="141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</row>
    <row r="101" spans="6:21" x14ac:dyDescent="0.25">
      <c r="F101" s="141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</row>
    <row r="102" spans="6:21" x14ac:dyDescent="0.25">
      <c r="F102" s="141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</row>
    <row r="103" spans="6:21" x14ac:dyDescent="0.25">
      <c r="F103" s="141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</row>
    <row r="104" spans="6:21" x14ac:dyDescent="0.25">
      <c r="F104" s="141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</row>
    <row r="105" spans="6:21" x14ac:dyDescent="0.25">
      <c r="F105" s="141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</row>
    <row r="106" spans="6:21" x14ac:dyDescent="0.25">
      <c r="F106" s="141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</row>
    <row r="107" spans="6:21" x14ac:dyDescent="0.25">
      <c r="F107" s="141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</row>
    <row r="108" spans="6:21" x14ac:dyDescent="0.25">
      <c r="F108" s="141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</row>
    <row r="109" spans="6:21" x14ac:dyDescent="0.25">
      <c r="F109" s="141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</row>
    <row r="110" spans="6:21" x14ac:dyDescent="0.25">
      <c r="F110" s="141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</row>
    <row r="111" spans="6:21" x14ac:dyDescent="0.25">
      <c r="F111" s="141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</row>
    <row r="112" spans="6:21" x14ac:dyDescent="0.25">
      <c r="F112" s="141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</row>
    <row r="113" spans="6:21" x14ac:dyDescent="0.25">
      <c r="F113" s="141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</row>
    <row r="114" spans="6:21" x14ac:dyDescent="0.25">
      <c r="F114" s="141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</row>
    <row r="115" spans="6:21" x14ac:dyDescent="0.25">
      <c r="F115" s="141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</row>
    <row r="116" spans="6:21" x14ac:dyDescent="0.25">
      <c r="F116" s="141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</row>
    <row r="117" spans="6:21" x14ac:dyDescent="0.25">
      <c r="F117" s="141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</row>
    <row r="118" spans="6:21" x14ac:dyDescent="0.25">
      <c r="F118" s="141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</row>
    <row r="119" spans="6:21" x14ac:dyDescent="0.25">
      <c r="F119" s="141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</row>
    <row r="120" spans="6:21" x14ac:dyDescent="0.25">
      <c r="F120" s="141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</row>
    <row r="121" spans="6:21" x14ac:dyDescent="0.25">
      <c r="F121" s="141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6:21" x14ac:dyDescent="0.25">
      <c r="F122" s="14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6:21" x14ac:dyDescent="0.25">
      <c r="F123" s="141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6:21" x14ac:dyDescent="0.25">
      <c r="F124" s="141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  <row r="125" spans="6:21" x14ac:dyDescent="0.25">
      <c r="F125" s="141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</row>
    <row r="126" spans="6:21" x14ac:dyDescent="0.25">
      <c r="F126" s="141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</row>
    <row r="127" spans="6:21" x14ac:dyDescent="0.25">
      <c r="F127" s="141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</row>
    <row r="128" spans="6:21" x14ac:dyDescent="0.25">
      <c r="F128" s="141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</row>
    <row r="129" spans="6:21" x14ac:dyDescent="0.25">
      <c r="F129" s="141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</row>
    <row r="130" spans="6:21" x14ac:dyDescent="0.25">
      <c r="F130" s="141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</row>
    <row r="131" spans="6:21" x14ac:dyDescent="0.25">
      <c r="F131" s="141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</row>
    <row r="132" spans="6:21" x14ac:dyDescent="0.25">
      <c r="F132" s="141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</row>
    <row r="133" spans="6:21" x14ac:dyDescent="0.25">
      <c r="F133" s="141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</row>
    <row r="134" spans="6:21" x14ac:dyDescent="0.25">
      <c r="F134" s="141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</row>
    <row r="135" spans="6:21" x14ac:dyDescent="0.25">
      <c r="F135" s="141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</row>
    <row r="136" spans="6:21" x14ac:dyDescent="0.25">
      <c r="F136" s="141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6:21" x14ac:dyDescent="0.25">
      <c r="F137" s="141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</row>
    <row r="138" spans="6:21" x14ac:dyDescent="0.25">
      <c r="F138" s="141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</row>
    <row r="139" spans="6:21" x14ac:dyDescent="0.25">
      <c r="F139" s="141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</row>
    <row r="140" spans="6:21" x14ac:dyDescent="0.25">
      <c r="F140" s="141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</row>
    <row r="141" spans="6:21" x14ac:dyDescent="0.25">
      <c r="F141" s="141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</row>
    <row r="142" spans="6:21" x14ac:dyDescent="0.25">
      <c r="F142" s="141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</row>
    <row r="143" spans="6:21" x14ac:dyDescent="0.25">
      <c r="F143" s="141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</row>
    <row r="144" spans="6:21" x14ac:dyDescent="0.25">
      <c r="F144" s="141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</row>
    <row r="145" spans="6:21" x14ac:dyDescent="0.25">
      <c r="F145" s="141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</row>
    <row r="146" spans="6:21" x14ac:dyDescent="0.25">
      <c r="F146" s="141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</row>
    <row r="147" spans="6:21" x14ac:dyDescent="0.25">
      <c r="F147" s="141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</row>
    <row r="148" spans="6:21" x14ac:dyDescent="0.25">
      <c r="F148" s="141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</row>
    <row r="149" spans="6:21" x14ac:dyDescent="0.25">
      <c r="F149" s="141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</row>
    <row r="150" spans="6:21" x14ac:dyDescent="0.25">
      <c r="F150" s="141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</row>
    <row r="151" spans="6:21" x14ac:dyDescent="0.25">
      <c r="F151" s="141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</row>
    <row r="152" spans="6:21" x14ac:dyDescent="0.25">
      <c r="F152" s="141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</row>
    <row r="153" spans="6:21" x14ac:dyDescent="0.25">
      <c r="F153" s="141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</row>
    <row r="154" spans="6:21" x14ac:dyDescent="0.25">
      <c r="F154" s="141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</row>
    <row r="155" spans="6:21" x14ac:dyDescent="0.25">
      <c r="F155" s="141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</row>
    <row r="156" spans="6:21" x14ac:dyDescent="0.25">
      <c r="F156" s="141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</row>
  </sheetData>
  <mergeCells count="6">
    <mergeCell ref="V10:AH10"/>
    <mergeCell ref="V11:Y11"/>
    <mergeCell ref="Z11:AH11"/>
    <mergeCell ref="H11:K11"/>
    <mergeCell ref="L11:T11"/>
    <mergeCell ref="H10:T10"/>
  </mergeCells>
  <printOptions horizontalCentered="1" verticalCentered="1"/>
  <pageMargins left="0" right="0" top="0" bottom="0" header="0" footer="0.5"/>
  <pageSetup scale="55" orientation="portrait" r:id="rId1"/>
  <headerFooter alignWithMargins="0"/>
  <colBreaks count="2" manualBreakCount="2">
    <brk id="6" max="150" man="1"/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workbookViewId="0">
      <selection activeCell="H101" sqref="H101"/>
    </sheetView>
  </sheetViews>
  <sheetFormatPr defaultColWidth="9.109375" defaultRowHeight="13.2" x14ac:dyDescent="0.25"/>
  <cols>
    <col min="1" max="1" width="13.6640625" style="114" customWidth="1"/>
    <col min="2" max="2" width="12" style="114" bestFit="1" customWidth="1"/>
    <col min="3" max="3" width="32.6640625" style="114" bestFit="1" customWidth="1"/>
    <col min="4" max="15" width="14.6640625" style="114" customWidth="1"/>
    <col min="16" max="16" width="14.6640625" style="170" customWidth="1"/>
    <col min="17" max="18" width="14.6640625" style="114" customWidth="1"/>
    <col min="19" max="16384" width="9.109375" style="114"/>
  </cols>
  <sheetData>
    <row r="1" spans="1:18" ht="15" x14ac:dyDescent="0.25">
      <c r="A1" s="169" t="s">
        <v>151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8" ht="13.8" x14ac:dyDescent="0.25">
      <c r="A2" s="171"/>
      <c r="G2" s="132"/>
      <c r="H2" s="132"/>
      <c r="I2" s="132"/>
      <c r="J2" s="132"/>
      <c r="K2" s="132"/>
      <c r="L2" s="132"/>
      <c r="M2" s="132"/>
      <c r="N2" s="132"/>
      <c r="O2" s="132"/>
    </row>
    <row r="3" spans="1:18" x14ac:dyDescent="0.25">
      <c r="D3" s="119">
        <v>2017</v>
      </c>
      <c r="E3" s="119">
        <v>2017</v>
      </c>
      <c r="F3" s="119">
        <v>2017</v>
      </c>
      <c r="G3" s="119">
        <v>2018</v>
      </c>
      <c r="H3" s="119">
        <v>2018</v>
      </c>
      <c r="I3" s="119">
        <v>2018</v>
      </c>
      <c r="J3" s="119">
        <v>2018</v>
      </c>
      <c r="K3" s="119">
        <v>2018</v>
      </c>
      <c r="L3" s="119">
        <v>2018</v>
      </c>
      <c r="M3" s="119">
        <v>2018</v>
      </c>
      <c r="N3" s="119">
        <v>2018</v>
      </c>
      <c r="O3" s="119">
        <v>2018</v>
      </c>
      <c r="P3" s="172" t="s">
        <v>152</v>
      </c>
      <c r="Q3" s="119"/>
      <c r="R3" s="119"/>
    </row>
    <row r="4" spans="1:18" x14ac:dyDescent="0.25">
      <c r="C4" s="173"/>
      <c r="D4" s="119" t="s">
        <v>153</v>
      </c>
      <c r="E4" s="119" t="s">
        <v>154</v>
      </c>
      <c r="F4" s="119" t="s">
        <v>155</v>
      </c>
      <c r="G4" s="119" t="s">
        <v>156</v>
      </c>
      <c r="H4" s="119" t="s">
        <v>157</v>
      </c>
      <c r="I4" s="119" t="s">
        <v>158</v>
      </c>
      <c r="J4" s="119" t="s">
        <v>159</v>
      </c>
      <c r="K4" s="119" t="s">
        <v>160</v>
      </c>
      <c r="L4" s="119" t="s">
        <v>161</v>
      </c>
      <c r="M4" s="119" t="s">
        <v>162</v>
      </c>
      <c r="N4" s="119" t="s">
        <v>163</v>
      </c>
      <c r="O4" s="119" t="s">
        <v>164</v>
      </c>
      <c r="P4" s="172"/>
      <c r="Q4" s="119"/>
      <c r="R4" s="119"/>
    </row>
    <row r="6" spans="1:18" ht="13.8" x14ac:dyDescent="0.25">
      <c r="A6" s="174"/>
      <c r="B6" s="175" t="s">
        <v>165</v>
      </c>
      <c r="C6" s="176" t="s">
        <v>166</v>
      </c>
      <c r="D6" s="177">
        <v>12956.480979861035</v>
      </c>
      <c r="E6" s="177">
        <v>21703.683285770589</v>
      </c>
      <c r="F6" s="177">
        <v>29621.43717370569</v>
      </c>
      <c r="G6" s="177">
        <v>29450.809732212325</v>
      </c>
      <c r="H6" s="177">
        <v>24111.743852945488</v>
      </c>
      <c r="I6" s="185">
        <v>21849.670296842898</v>
      </c>
      <c r="J6" s="177">
        <v>16368.341609245726</v>
      </c>
      <c r="K6" s="177">
        <v>11033.420467211996</v>
      </c>
      <c r="L6" s="177">
        <v>7989.7326964442082</v>
      </c>
      <c r="M6" s="177">
        <v>6735.8823316682719</v>
      </c>
      <c r="N6" s="177">
        <v>6702.2481211922259</v>
      </c>
      <c r="O6" s="177">
        <v>6976.8774498172506</v>
      </c>
      <c r="P6" s="178">
        <f>SUM(D6:O6)</f>
        <v>195500.32799691771</v>
      </c>
      <c r="Q6" s="177"/>
      <c r="R6" s="177"/>
    </row>
    <row r="7" spans="1:18" ht="13.8" x14ac:dyDescent="0.25">
      <c r="A7" s="174"/>
      <c r="B7" s="175"/>
      <c r="C7" s="176" t="s">
        <v>167</v>
      </c>
      <c r="D7" s="177">
        <v>3136929.0421701102</v>
      </c>
      <c r="E7" s="177">
        <v>5875485.6121540396</v>
      </c>
      <c r="F7" s="177">
        <v>8301172.843677626</v>
      </c>
      <c r="G7" s="177">
        <v>8207401.5910515012</v>
      </c>
      <c r="H7" s="177">
        <v>6640405.7948552137</v>
      </c>
      <c r="I7" s="185">
        <v>5822528.0841272539</v>
      </c>
      <c r="J7" s="177">
        <v>4144454.1229169634</v>
      </c>
      <c r="K7" s="177">
        <v>2472214.2382290815</v>
      </c>
      <c r="L7" s="177">
        <v>1555430.5164252147</v>
      </c>
      <c r="M7" s="177">
        <v>1300232.82234002</v>
      </c>
      <c r="N7" s="177">
        <v>1294665.2298803527</v>
      </c>
      <c r="O7" s="177">
        <v>1422248.8931354135</v>
      </c>
      <c r="P7" s="178">
        <f t="shared" ref="P7:P10" si="0">SUM(D7:O7)</f>
        <v>50173168.790962793</v>
      </c>
      <c r="Q7" s="177"/>
      <c r="R7" s="177"/>
    </row>
    <row r="8" spans="1:18" x14ac:dyDescent="0.25">
      <c r="A8" s="175"/>
      <c r="B8" s="175"/>
      <c r="C8" s="179" t="s">
        <v>168</v>
      </c>
      <c r="D8" s="177">
        <v>2855.2554682601694</v>
      </c>
      <c r="E8" s="177">
        <v>5161.1959119392759</v>
      </c>
      <c r="F8" s="177">
        <v>7301.5186083272847</v>
      </c>
      <c r="G8" s="177">
        <v>7186.0728724598011</v>
      </c>
      <c r="H8" s="177">
        <v>5477.351001903965</v>
      </c>
      <c r="I8" s="185">
        <v>4905.3614147051685</v>
      </c>
      <c r="J8" s="177">
        <v>3580.8482515723167</v>
      </c>
      <c r="K8" s="177">
        <v>2209.5848755178113</v>
      </c>
      <c r="L8" s="177">
        <v>1554.7207878632348</v>
      </c>
      <c r="M8" s="177">
        <v>1759.1636723316321</v>
      </c>
      <c r="N8" s="177">
        <v>1754.0744171541789</v>
      </c>
      <c r="O8" s="177">
        <v>1788.0783854979602</v>
      </c>
      <c r="P8" s="178">
        <f t="shared" si="0"/>
        <v>45533.225667532795</v>
      </c>
      <c r="Q8" s="177"/>
      <c r="R8" s="177"/>
    </row>
    <row r="9" spans="1:18" x14ac:dyDescent="0.25">
      <c r="A9" s="175"/>
      <c r="B9" s="175"/>
      <c r="C9" s="179" t="s">
        <v>169</v>
      </c>
      <c r="D9" s="177">
        <v>1056457.124108118</v>
      </c>
      <c r="E9" s="177">
        <v>1888738.4155285291</v>
      </c>
      <c r="F9" s="177">
        <v>2658133.2272234042</v>
      </c>
      <c r="G9" s="177">
        <v>2644400.5211002515</v>
      </c>
      <c r="H9" s="177">
        <v>2145949.1697251941</v>
      </c>
      <c r="I9" s="185">
        <v>1891172.2441892126</v>
      </c>
      <c r="J9" s="177">
        <v>1371071.4054780083</v>
      </c>
      <c r="K9" s="177">
        <v>882511.99031729472</v>
      </c>
      <c r="L9" s="177">
        <v>632068.18692368048</v>
      </c>
      <c r="M9" s="177">
        <v>571172.13733501325</v>
      </c>
      <c r="N9" s="177">
        <v>568327.83601371257</v>
      </c>
      <c r="O9" s="177">
        <v>582372.28866625368</v>
      </c>
      <c r="P9" s="178">
        <f t="shared" si="0"/>
        <v>16892374.546608672</v>
      </c>
      <c r="Q9" s="177"/>
      <c r="R9" s="177"/>
    </row>
    <row r="10" spans="1:18" x14ac:dyDescent="0.25">
      <c r="A10" s="175"/>
      <c r="B10" s="175"/>
      <c r="C10" s="179" t="s">
        <v>170</v>
      </c>
      <c r="D10" s="177">
        <v>33460.105393483514</v>
      </c>
      <c r="E10" s="177">
        <v>65662.760754138464</v>
      </c>
      <c r="F10" s="177">
        <v>96059.695948290086</v>
      </c>
      <c r="G10" s="177">
        <v>88978.493674624347</v>
      </c>
      <c r="H10" s="177">
        <v>72981.617790224584</v>
      </c>
      <c r="I10" s="185">
        <v>62823.951575120787</v>
      </c>
      <c r="J10" s="177">
        <v>43614.528715114866</v>
      </c>
      <c r="K10" s="177">
        <v>24854.764876565896</v>
      </c>
      <c r="L10" s="177">
        <v>15828.381828621268</v>
      </c>
      <c r="M10" s="177">
        <v>3838.173529512761</v>
      </c>
      <c r="N10" s="177">
        <v>3861.8528937342621</v>
      </c>
      <c r="O10" s="177">
        <v>5146.3213168998327</v>
      </c>
      <c r="P10" s="178">
        <f t="shared" si="0"/>
        <v>517110.64829633071</v>
      </c>
      <c r="Q10" s="177"/>
      <c r="R10" s="177"/>
    </row>
    <row r="11" spans="1:18" x14ac:dyDescent="0.25">
      <c r="A11" s="175"/>
      <c r="B11" s="175"/>
      <c r="C11" s="179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8"/>
      <c r="Q11" s="177"/>
      <c r="R11" s="177"/>
    </row>
    <row r="12" spans="1:18" x14ac:dyDescent="0.25">
      <c r="A12" s="180"/>
      <c r="B12" s="175"/>
      <c r="C12" s="181" t="s">
        <v>171</v>
      </c>
      <c r="D12" s="182">
        <v>127322.45967226822</v>
      </c>
      <c r="E12" s="182">
        <v>196026.18357702921</v>
      </c>
      <c r="F12" s="182">
        <v>262918.11470485362</v>
      </c>
      <c r="G12" s="182">
        <v>256791.69296221959</v>
      </c>
      <c r="H12" s="182">
        <v>214662.61307189308</v>
      </c>
      <c r="I12" s="202">
        <v>196659.20156928882</v>
      </c>
      <c r="J12" s="182">
        <v>153914.24842065727</v>
      </c>
      <c r="K12" s="182">
        <v>115943.42348042765</v>
      </c>
      <c r="L12" s="182">
        <v>91687.863495131372</v>
      </c>
      <c r="M12" s="182">
        <v>76585.274374214394</v>
      </c>
      <c r="N12" s="182">
        <v>76448.909299498147</v>
      </c>
      <c r="O12" s="182">
        <v>76410.067477146265</v>
      </c>
      <c r="P12" s="178"/>
      <c r="Q12" s="177"/>
      <c r="R12" s="177"/>
    </row>
    <row r="13" spans="1:18" x14ac:dyDescent="0.25">
      <c r="A13" s="180"/>
      <c r="B13" s="175"/>
      <c r="C13" s="181" t="s">
        <v>172</v>
      </c>
      <c r="D13" s="183">
        <v>125728.68950233005</v>
      </c>
      <c r="E13" s="183">
        <v>193572.40845584421</v>
      </c>
      <c r="F13" s="183">
        <v>259627.01390903504</v>
      </c>
      <c r="G13" s="183">
        <v>253577.28019337603</v>
      </c>
      <c r="H13" s="183">
        <v>211975.55479328617</v>
      </c>
      <c r="I13" s="203">
        <v>194197.50258929923</v>
      </c>
      <c r="J13" s="183">
        <v>151987.61317898257</v>
      </c>
      <c r="K13" s="183">
        <v>114492.09140422317</v>
      </c>
      <c r="L13" s="183">
        <v>90540.152540127499</v>
      </c>
      <c r="M13" s="183">
        <v>75626.611416647153</v>
      </c>
      <c r="N13" s="183">
        <v>75491.95330383585</v>
      </c>
      <c r="O13" s="183">
        <v>75453.597687436704</v>
      </c>
      <c r="P13" s="184"/>
      <c r="Q13" s="182"/>
      <c r="R13" s="182"/>
    </row>
    <row r="14" spans="1:18" x14ac:dyDescent="0.25">
      <c r="A14" s="180"/>
      <c r="B14" s="175"/>
      <c r="C14" s="179" t="s">
        <v>173</v>
      </c>
      <c r="D14" s="177">
        <v>253051.14917459828</v>
      </c>
      <c r="E14" s="177">
        <v>389598.59203287342</v>
      </c>
      <c r="F14" s="177">
        <v>522545.12861388864</v>
      </c>
      <c r="G14" s="177">
        <v>510368.9731555956</v>
      </c>
      <c r="H14" s="177">
        <v>426638.16786517925</v>
      </c>
      <c r="I14" s="177">
        <v>390856.70415858808</v>
      </c>
      <c r="J14" s="177">
        <v>305901.86159963987</v>
      </c>
      <c r="K14" s="177">
        <v>230435.51488465082</v>
      </c>
      <c r="L14" s="177">
        <v>182228.01603525889</v>
      </c>
      <c r="M14" s="177">
        <v>152211.88579086156</v>
      </c>
      <c r="N14" s="177">
        <v>151940.86260333401</v>
      </c>
      <c r="O14" s="177">
        <v>151863.66516458296</v>
      </c>
      <c r="P14" s="178">
        <f t="shared" ref="P14" si="1">SUM(D14:O14)</f>
        <v>3667640.5210790518</v>
      </c>
      <c r="Q14" s="177"/>
      <c r="R14" s="177"/>
    </row>
    <row r="15" spans="1:18" x14ac:dyDescent="0.25">
      <c r="A15" s="180"/>
      <c r="B15" s="175"/>
      <c r="C15" s="179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177"/>
      <c r="R15" s="177"/>
    </row>
    <row r="16" spans="1:18" x14ac:dyDescent="0.25">
      <c r="A16" s="180"/>
      <c r="B16" s="175"/>
      <c r="C16" s="181" t="s">
        <v>174</v>
      </c>
      <c r="D16" s="182">
        <v>27650.187898451848</v>
      </c>
      <c r="E16" s="182">
        <v>41848.025594814419</v>
      </c>
      <c r="F16" s="182">
        <v>55263.939144870208</v>
      </c>
      <c r="G16" s="182">
        <v>54558.872047250552</v>
      </c>
      <c r="H16" s="182">
        <v>45001.984383736031</v>
      </c>
      <c r="I16" s="202">
        <v>41461.97100188108</v>
      </c>
      <c r="J16" s="182">
        <v>32196.299868149435</v>
      </c>
      <c r="K16" s="182">
        <v>24165.751575310009</v>
      </c>
      <c r="L16" s="182">
        <v>19572.169794814909</v>
      </c>
      <c r="M16" s="182">
        <v>13299.693567150405</v>
      </c>
      <c r="N16" s="182">
        <v>8845.7411590260745</v>
      </c>
      <c r="O16" s="182">
        <v>11161.53166684791</v>
      </c>
      <c r="P16" s="178"/>
      <c r="Q16" s="177"/>
      <c r="R16" s="177"/>
    </row>
    <row r="17" spans="1:18" x14ac:dyDescent="0.25">
      <c r="A17" s="180"/>
      <c r="B17" s="175"/>
      <c r="C17" s="181" t="s">
        <v>175</v>
      </c>
      <c r="D17" s="182">
        <v>21858.236043900299</v>
      </c>
      <c r="E17" s="182">
        <v>33082.018277128984</v>
      </c>
      <c r="F17" s="182">
        <v>43687.667909553325</v>
      </c>
      <c r="G17" s="182">
        <v>43130.2929252256</v>
      </c>
      <c r="H17" s="182">
        <v>35575.30967660054</v>
      </c>
      <c r="I17" s="202">
        <v>32776.831475174513</v>
      </c>
      <c r="J17" s="182">
        <v>25452.062924230973</v>
      </c>
      <c r="K17" s="182">
        <v>19103.693040037426</v>
      </c>
      <c r="L17" s="182">
        <v>15472.339965194718</v>
      </c>
      <c r="M17" s="182">
        <v>10513.774530935207</v>
      </c>
      <c r="N17" s="182">
        <v>6992.8023255155549</v>
      </c>
      <c r="O17" s="182">
        <v>8823.4985845824813</v>
      </c>
      <c r="P17" s="178"/>
      <c r="Q17" s="177"/>
      <c r="R17" s="177"/>
    </row>
    <row r="18" spans="1:18" x14ac:dyDescent="0.25">
      <c r="A18" s="180"/>
      <c r="B18" s="175"/>
      <c r="C18" s="181" t="s">
        <v>176</v>
      </c>
      <c r="D18" s="182">
        <v>5480.0509173680175</v>
      </c>
      <c r="E18" s="182">
        <v>8293.9512705352463</v>
      </c>
      <c r="F18" s="182">
        <v>10952.880375368914</v>
      </c>
      <c r="G18" s="182">
        <v>10813.141592786065</v>
      </c>
      <c r="H18" s="182">
        <v>8919.0412271766818</v>
      </c>
      <c r="I18" s="202">
        <v>8217.438270553901</v>
      </c>
      <c r="J18" s="182">
        <v>6381.054742784836</v>
      </c>
      <c r="K18" s="182">
        <v>4789.4628989693056</v>
      </c>
      <c r="L18" s="182">
        <v>3879.0509284373934</v>
      </c>
      <c r="M18" s="182">
        <v>2635.8952134808769</v>
      </c>
      <c r="N18" s="182">
        <v>1753.1566921480132</v>
      </c>
      <c r="O18" s="182">
        <v>2212.1282529717191</v>
      </c>
      <c r="P18" s="178"/>
      <c r="Q18" s="177"/>
      <c r="R18" s="177"/>
    </row>
    <row r="19" spans="1:18" x14ac:dyDescent="0.25">
      <c r="A19" s="180"/>
      <c r="B19" s="175"/>
      <c r="C19" s="181" t="s">
        <v>177</v>
      </c>
      <c r="D19" s="182">
        <v>88.221562431364589</v>
      </c>
      <c r="E19" s="182">
        <v>133.52163161426381</v>
      </c>
      <c r="F19" s="182">
        <v>176.32686893043794</v>
      </c>
      <c r="G19" s="182">
        <v>174.07725958964801</v>
      </c>
      <c r="H19" s="182">
        <v>143.58475209737557</v>
      </c>
      <c r="I19" s="202">
        <v>132.28987364222161</v>
      </c>
      <c r="J19" s="182">
        <v>102.72653080364481</v>
      </c>
      <c r="K19" s="182">
        <v>77.10400989432074</v>
      </c>
      <c r="L19" s="182">
        <v>62.44758284507752</v>
      </c>
      <c r="M19" s="182">
        <v>42.434422169625563</v>
      </c>
      <c r="N19" s="182">
        <v>28.223501003998763</v>
      </c>
      <c r="O19" s="182">
        <v>35.612335308275021</v>
      </c>
      <c r="P19" s="178"/>
      <c r="Q19" s="177"/>
      <c r="R19" s="177"/>
    </row>
    <row r="20" spans="1:18" x14ac:dyDescent="0.25">
      <c r="A20" s="180"/>
      <c r="B20" s="175"/>
      <c r="C20" s="181" t="s">
        <v>178</v>
      </c>
      <c r="D20" s="182">
        <v>0</v>
      </c>
      <c r="E20" s="182">
        <v>0</v>
      </c>
      <c r="F20" s="182">
        <v>0</v>
      </c>
      <c r="G20" s="182">
        <v>0</v>
      </c>
      <c r="H20" s="182">
        <v>0</v>
      </c>
      <c r="I20" s="20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78"/>
      <c r="Q20" s="177"/>
      <c r="R20" s="177"/>
    </row>
    <row r="21" spans="1:18" x14ac:dyDescent="0.25">
      <c r="A21" s="180"/>
      <c r="B21" s="175"/>
      <c r="C21" s="181" t="s">
        <v>179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20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4"/>
      <c r="Q21" s="182"/>
      <c r="R21" s="182"/>
    </row>
    <row r="22" spans="1:18" x14ac:dyDescent="0.25">
      <c r="A22" s="180"/>
      <c r="B22" s="175"/>
      <c r="C22" s="179" t="s">
        <v>180</v>
      </c>
      <c r="D22" s="177">
        <v>55076.69642215153</v>
      </c>
      <c r="E22" s="177">
        <v>83357.516774092903</v>
      </c>
      <c r="F22" s="177">
        <v>110080.81429872289</v>
      </c>
      <c r="G22" s="177">
        <v>108676.38382485186</v>
      </c>
      <c r="H22" s="177">
        <v>89639.920039610632</v>
      </c>
      <c r="I22" s="177">
        <v>82588.530621251717</v>
      </c>
      <c r="J22" s="177">
        <v>64132.144065968889</v>
      </c>
      <c r="K22" s="177">
        <v>48136.011524211062</v>
      </c>
      <c r="L22" s="177">
        <v>38986.008271292092</v>
      </c>
      <c r="M22" s="177">
        <v>26491.797733736119</v>
      </c>
      <c r="N22" s="177">
        <v>17619.923677693641</v>
      </c>
      <c r="O22" s="177">
        <v>22232.770839710389</v>
      </c>
      <c r="P22" s="178">
        <f t="shared" ref="P22" si="2">SUM(D22:O22)</f>
        <v>747018.51809329365</v>
      </c>
      <c r="Q22" s="177"/>
      <c r="R22" s="177"/>
    </row>
    <row r="23" spans="1:18" x14ac:dyDescent="0.25">
      <c r="B23" s="175"/>
      <c r="C23" s="179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8"/>
      <c r="Q23" s="177"/>
      <c r="R23" s="177"/>
    </row>
    <row r="24" spans="1:18" x14ac:dyDescent="0.25">
      <c r="B24" s="175"/>
      <c r="C24" s="179" t="s">
        <v>181</v>
      </c>
      <c r="D24" s="177">
        <v>25167.4</v>
      </c>
      <c r="E24" s="177">
        <v>39410.900000000009</v>
      </c>
      <c r="F24" s="177">
        <v>54104.800000000003</v>
      </c>
      <c r="G24" s="177">
        <v>71632.700000000012</v>
      </c>
      <c r="H24" s="177">
        <v>57320.999999999993</v>
      </c>
      <c r="I24" s="185">
        <v>56906.100000000006</v>
      </c>
      <c r="J24" s="177">
        <v>45634.9</v>
      </c>
      <c r="K24" s="177">
        <v>32808.300000000003</v>
      </c>
      <c r="L24" s="177">
        <v>26394.5</v>
      </c>
      <c r="M24" s="177">
        <v>24727.000000000004</v>
      </c>
      <c r="N24" s="177">
        <v>21904.600000000002</v>
      </c>
      <c r="O24" s="177">
        <v>22545.999999999993</v>
      </c>
      <c r="P24" s="178">
        <f t="shared" ref="P24" si="3">SUM(D24:O24)</f>
        <v>478558.2</v>
      </c>
      <c r="Q24" s="177"/>
      <c r="R24" s="177"/>
    </row>
    <row r="25" spans="1:18" x14ac:dyDescent="0.25">
      <c r="B25" s="175"/>
      <c r="C25" s="179"/>
    </row>
    <row r="26" spans="1:18" x14ac:dyDescent="0.25">
      <c r="B26" s="175"/>
      <c r="C26" s="181" t="s">
        <v>182</v>
      </c>
      <c r="D26" s="177">
        <v>27144.100000000002</v>
      </c>
      <c r="E26" s="177">
        <v>28989.5</v>
      </c>
      <c r="F26" s="177">
        <v>30000</v>
      </c>
      <c r="G26" s="177">
        <v>30000</v>
      </c>
      <c r="H26" s="177">
        <v>29943.8</v>
      </c>
      <c r="I26" s="185">
        <v>30000</v>
      </c>
      <c r="J26" s="177">
        <v>29800</v>
      </c>
      <c r="K26" s="177">
        <v>28490.799999999999</v>
      </c>
      <c r="L26" s="177">
        <v>23629.7</v>
      </c>
      <c r="M26" s="177">
        <v>22839.5</v>
      </c>
      <c r="N26" s="177">
        <v>20498.8</v>
      </c>
      <c r="O26" s="177">
        <v>20771.5</v>
      </c>
      <c r="P26" s="178"/>
      <c r="Q26" s="177"/>
      <c r="R26" s="177"/>
    </row>
    <row r="27" spans="1:18" x14ac:dyDescent="0.25">
      <c r="B27" s="175"/>
      <c r="C27" s="181" t="s">
        <v>183</v>
      </c>
      <c r="D27" s="183">
        <v>17821.499999999996</v>
      </c>
      <c r="E27" s="183">
        <v>23759.499999999993</v>
      </c>
      <c r="F27" s="183">
        <v>41340.399999999994</v>
      </c>
      <c r="G27" s="183">
        <v>51196</v>
      </c>
      <c r="H27" s="183">
        <v>44036.5</v>
      </c>
      <c r="I27" s="203">
        <v>46932.399999999994</v>
      </c>
      <c r="J27" s="183">
        <v>36555.399999999994</v>
      </c>
      <c r="K27" s="183">
        <v>23370.000000000011</v>
      </c>
      <c r="L27" s="183">
        <v>15775.3</v>
      </c>
      <c r="M27" s="183">
        <v>15584.800000000003</v>
      </c>
      <c r="N27" s="183">
        <v>13993.099999999995</v>
      </c>
      <c r="O27" s="183">
        <v>16201.800000000003</v>
      </c>
      <c r="P27" s="184"/>
      <c r="Q27" s="182"/>
      <c r="R27" s="182"/>
    </row>
    <row r="28" spans="1:18" x14ac:dyDescent="0.25">
      <c r="A28" s="175"/>
      <c r="B28" s="175"/>
      <c r="C28" s="179" t="s">
        <v>184</v>
      </c>
      <c r="D28" s="177">
        <v>44965.599999999999</v>
      </c>
      <c r="E28" s="177">
        <v>52748.999999999993</v>
      </c>
      <c r="F28" s="177">
        <v>71340.399999999994</v>
      </c>
      <c r="G28" s="177">
        <v>81196</v>
      </c>
      <c r="H28" s="177">
        <v>73980.3</v>
      </c>
      <c r="I28" s="177">
        <v>76932.399999999994</v>
      </c>
      <c r="J28" s="177">
        <v>66355.399999999994</v>
      </c>
      <c r="K28" s="177">
        <v>51860.80000000001</v>
      </c>
      <c r="L28" s="177">
        <v>39405</v>
      </c>
      <c r="M28" s="177">
        <v>38424.300000000003</v>
      </c>
      <c r="N28" s="177">
        <v>34491.899999999994</v>
      </c>
      <c r="O28" s="177">
        <v>36973.300000000003</v>
      </c>
      <c r="P28" s="178">
        <f t="shared" ref="P28" si="4">SUM(D28:O28)</f>
        <v>668674.4</v>
      </c>
      <c r="Q28" s="177"/>
      <c r="R28" s="177"/>
    </row>
    <row r="29" spans="1:18" x14ac:dyDescent="0.25">
      <c r="A29" s="175"/>
      <c r="B29" s="175"/>
      <c r="C29" s="179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8"/>
      <c r="Q29" s="177"/>
      <c r="R29" s="177"/>
    </row>
    <row r="30" spans="1:18" x14ac:dyDescent="0.25">
      <c r="A30" s="175"/>
      <c r="B30" s="175"/>
      <c r="C30" s="181" t="s">
        <v>185</v>
      </c>
      <c r="D30" s="182">
        <v>91448.200000000012</v>
      </c>
      <c r="E30" s="182">
        <v>105830.5</v>
      </c>
      <c r="F30" s="182">
        <v>112087.1</v>
      </c>
      <c r="G30" s="182">
        <v>112320.8</v>
      </c>
      <c r="H30" s="182">
        <v>105677.8</v>
      </c>
      <c r="I30" s="202">
        <v>104675.2</v>
      </c>
      <c r="J30" s="182">
        <v>105097.7</v>
      </c>
      <c r="K30" s="182">
        <v>89207.2</v>
      </c>
      <c r="L30" s="182">
        <v>76220.399999999994</v>
      </c>
      <c r="M30" s="182">
        <v>75223.599999999991</v>
      </c>
      <c r="N30" s="182">
        <v>69689</v>
      </c>
      <c r="O30" s="182">
        <v>69364.899999999994</v>
      </c>
      <c r="P30" s="178"/>
      <c r="Q30" s="177"/>
      <c r="R30" s="177"/>
    </row>
    <row r="31" spans="1:18" x14ac:dyDescent="0.25">
      <c r="A31" s="175"/>
      <c r="B31" s="175"/>
      <c r="C31" s="181" t="s">
        <v>186</v>
      </c>
      <c r="D31" s="182">
        <v>46101.7</v>
      </c>
      <c r="E31" s="182">
        <v>56570.700000000004</v>
      </c>
      <c r="F31" s="182">
        <v>78801.299999999988</v>
      </c>
      <c r="G31" s="182">
        <v>99806.2</v>
      </c>
      <c r="H31" s="182">
        <v>80439</v>
      </c>
      <c r="I31" s="202">
        <v>81043.600000000006</v>
      </c>
      <c r="J31" s="182">
        <v>68562.3</v>
      </c>
      <c r="K31" s="182">
        <v>42669.899999999994</v>
      </c>
      <c r="L31" s="182">
        <v>43368.9</v>
      </c>
      <c r="M31" s="182">
        <v>42118</v>
      </c>
      <c r="N31" s="182">
        <v>39050.300000000003</v>
      </c>
      <c r="O31" s="182">
        <v>40146.699999999997</v>
      </c>
      <c r="P31" s="178"/>
      <c r="Q31" s="177"/>
      <c r="R31" s="177"/>
    </row>
    <row r="32" spans="1:18" x14ac:dyDescent="0.25">
      <c r="A32" s="175"/>
      <c r="B32" s="175"/>
      <c r="C32" s="181" t="s">
        <v>187</v>
      </c>
      <c r="D32" s="182">
        <v>3945</v>
      </c>
      <c r="E32" s="182">
        <v>378</v>
      </c>
      <c r="F32" s="182">
        <v>7855.1999999999971</v>
      </c>
      <c r="G32" s="182">
        <v>30782.800000000003</v>
      </c>
      <c r="H32" s="182">
        <v>6265.3000000000029</v>
      </c>
      <c r="I32" s="202">
        <v>13304.800000000003</v>
      </c>
      <c r="J32" s="182">
        <v>6660</v>
      </c>
      <c r="K32" s="182">
        <v>6076</v>
      </c>
      <c r="L32" s="182">
        <v>2248</v>
      </c>
      <c r="M32" s="182">
        <v>1000</v>
      </c>
      <c r="N32" s="182">
        <v>1304</v>
      </c>
      <c r="O32" s="182">
        <v>2329.4000000000015</v>
      </c>
      <c r="P32" s="178"/>
      <c r="Q32" s="177"/>
      <c r="R32" s="177"/>
    </row>
    <row r="33" spans="1:18" x14ac:dyDescent="0.25">
      <c r="A33" s="175"/>
      <c r="B33" s="175"/>
      <c r="C33" s="181" t="s">
        <v>188</v>
      </c>
      <c r="D33" s="182">
        <v>0</v>
      </c>
      <c r="E33" s="182">
        <v>0</v>
      </c>
      <c r="F33" s="182">
        <v>0</v>
      </c>
      <c r="G33" s="182">
        <v>0</v>
      </c>
      <c r="H33" s="182">
        <v>0</v>
      </c>
      <c r="I33" s="20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78"/>
      <c r="Q33" s="177"/>
      <c r="R33" s="177"/>
    </row>
    <row r="34" spans="1:18" x14ac:dyDescent="0.25">
      <c r="A34" s="175"/>
      <c r="B34" s="175"/>
      <c r="C34" s="181" t="s">
        <v>189</v>
      </c>
      <c r="D34" s="182">
        <v>0</v>
      </c>
      <c r="E34" s="182">
        <v>0</v>
      </c>
      <c r="F34" s="182">
        <v>0</v>
      </c>
      <c r="G34" s="182">
        <v>0</v>
      </c>
      <c r="H34" s="182">
        <v>0</v>
      </c>
      <c r="I34" s="202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0</v>
      </c>
      <c r="O34" s="182">
        <v>0</v>
      </c>
      <c r="P34" s="178"/>
      <c r="Q34" s="177"/>
      <c r="R34" s="177"/>
    </row>
    <row r="35" spans="1:18" x14ac:dyDescent="0.25">
      <c r="A35" s="175"/>
      <c r="B35" s="175"/>
      <c r="C35" s="181" t="s">
        <v>190</v>
      </c>
      <c r="D35" s="183">
        <v>0</v>
      </c>
      <c r="E35" s="183">
        <v>0</v>
      </c>
      <c r="F35" s="183">
        <v>0</v>
      </c>
      <c r="G35" s="183">
        <v>0</v>
      </c>
      <c r="H35" s="183">
        <v>0</v>
      </c>
      <c r="I35" s="203">
        <v>0</v>
      </c>
      <c r="J35" s="183">
        <v>0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4"/>
      <c r="Q35" s="182"/>
      <c r="R35" s="182"/>
    </row>
    <row r="36" spans="1:18" x14ac:dyDescent="0.25">
      <c r="A36" s="175"/>
      <c r="B36" s="175"/>
      <c r="C36" s="179" t="s">
        <v>191</v>
      </c>
      <c r="D36" s="177">
        <v>141494.90000000002</v>
      </c>
      <c r="E36" s="177">
        <v>162779.20000000001</v>
      </c>
      <c r="F36" s="177">
        <v>198743.59999999998</v>
      </c>
      <c r="G36" s="177">
        <v>242909.8</v>
      </c>
      <c r="H36" s="177">
        <v>192382.09999999998</v>
      </c>
      <c r="I36" s="177">
        <v>199023.59999999998</v>
      </c>
      <c r="J36" s="177">
        <v>180320</v>
      </c>
      <c r="K36" s="177">
        <v>137953.09999999998</v>
      </c>
      <c r="L36" s="177">
        <v>121837.29999999999</v>
      </c>
      <c r="M36" s="177">
        <v>118341.59999999999</v>
      </c>
      <c r="N36" s="177">
        <v>110043.3</v>
      </c>
      <c r="O36" s="177">
        <v>111841</v>
      </c>
      <c r="P36" s="178">
        <f t="shared" ref="P36" si="5">SUM(D36:O36)</f>
        <v>1917669.5</v>
      </c>
      <c r="Q36" s="177"/>
      <c r="R36" s="177"/>
    </row>
    <row r="37" spans="1:18" x14ac:dyDescent="0.25">
      <c r="A37" s="175"/>
      <c r="B37" s="175"/>
      <c r="C37" s="179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8"/>
      <c r="Q37" s="177"/>
      <c r="R37" s="177"/>
    </row>
    <row r="38" spans="1:18" x14ac:dyDescent="0.25">
      <c r="A38" s="175"/>
      <c r="B38" s="185"/>
      <c r="C38" s="181"/>
      <c r="D38" s="182">
        <v>0</v>
      </c>
      <c r="E38" s="182">
        <v>0</v>
      </c>
      <c r="F38" s="182">
        <v>0</v>
      </c>
      <c r="G38" s="182">
        <v>0</v>
      </c>
      <c r="H38" s="182">
        <v>0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78"/>
      <c r="Q38" s="177"/>
      <c r="R38" s="177"/>
    </row>
    <row r="39" spans="1:18" x14ac:dyDescent="0.25">
      <c r="A39" s="175"/>
      <c r="B39" s="175"/>
      <c r="C39" s="181"/>
      <c r="D39" s="183">
        <v>0</v>
      </c>
      <c r="E39" s="183">
        <v>0</v>
      </c>
      <c r="F39" s="183">
        <v>0</v>
      </c>
      <c r="G39" s="183">
        <v>0</v>
      </c>
      <c r="H39" s="183">
        <v>0</v>
      </c>
      <c r="I39" s="183">
        <v>0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4"/>
      <c r="Q39" s="182"/>
      <c r="R39" s="182"/>
    </row>
    <row r="40" spans="1:18" x14ac:dyDescent="0.25">
      <c r="A40" s="175"/>
      <c r="B40" s="175"/>
      <c r="C40" s="176"/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8">
        <f t="shared" ref="P40" si="6">SUM(D40:O40)</f>
        <v>0</v>
      </c>
      <c r="Q40" s="177"/>
      <c r="R40" s="177"/>
    </row>
    <row r="41" spans="1:18" x14ac:dyDescent="0.25">
      <c r="A41" s="175"/>
      <c r="B41" s="175"/>
      <c r="C41" s="176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8"/>
      <c r="Q41" s="177"/>
      <c r="R41" s="177"/>
    </row>
    <row r="42" spans="1:18" x14ac:dyDescent="0.25">
      <c r="A42" s="175"/>
      <c r="B42" s="175"/>
      <c r="C42" s="181" t="s">
        <v>192</v>
      </c>
      <c r="D42" s="177">
        <v>31105</v>
      </c>
      <c r="E42" s="177">
        <v>39252</v>
      </c>
      <c r="F42" s="177">
        <v>39281</v>
      </c>
      <c r="G42" s="177">
        <v>38542</v>
      </c>
      <c r="H42" s="177">
        <v>39389</v>
      </c>
      <c r="I42" s="177">
        <v>37573</v>
      </c>
      <c r="J42" s="177">
        <v>34741</v>
      </c>
      <c r="K42" s="177">
        <v>31880</v>
      </c>
      <c r="L42" s="177">
        <v>30177</v>
      </c>
      <c r="M42" s="177">
        <v>30080</v>
      </c>
      <c r="N42" s="177">
        <v>30000</v>
      </c>
      <c r="O42" s="177">
        <v>30000</v>
      </c>
      <c r="P42" s="178"/>
      <c r="Q42" s="177"/>
      <c r="R42" s="177"/>
    </row>
    <row r="43" spans="1:18" x14ac:dyDescent="0.25">
      <c r="A43" s="175"/>
      <c r="B43" s="175"/>
      <c r="C43" s="181" t="s">
        <v>193</v>
      </c>
      <c r="D43" s="177">
        <v>49973</v>
      </c>
      <c r="E43" s="177">
        <v>50389</v>
      </c>
      <c r="F43" s="177">
        <v>51507</v>
      </c>
      <c r="G43" s="177">
        <v>55979</v>
      </c>
      <c r="H43" s="177">
        <v>54326</v>
      </c>
      <c r="I43" s="177">
        <v>48908</v>
      </c>
      <c r="J43" s="177">
        <v>52307</v>
      </c>
      <c r="K43" s="177">
        <v>51054</v>
      </c>
      <c r="L43" s="177">
        <v>54002</v>
      </c>
      <c r="M43" s="177">
        <v>43183</v>
      </c>
      <c r="N43" s="177">
        <v>46300</v>
      </c>
      <c r="O43" s="177">
        <v>50227</v>
      </c>
      <c r="P43" s="178"/>
      <c r="Q43" s="177"/>
      <c r="R43" s="177"/>
    </row>
    <row r="44" spans="1:18" x14ac:dyDescent="0.25">
      <c r="A44" s="175"/>
      <c r="B44" s="175"/>
      <c r="C44" s="181" t="s">
        <v>194</v>
      </c>
      <c r="D44" s="177">
        <v>21339</v>
      </c>
      <c r="E44" s="177">
        <v>26782</v>
      </c>
      <c r="F44" s="177">
        <v>33981</v>
      </c>
      <c r="G44" s="177">
        <v>31525</v>
      </c>
      <c r="H44" s="177">
        <v>28961</v>
      </c>
      <c r="I44" s="177">
        <v>29321</v>
      </c>
      <c r="J44" s="177">
        <v>20815</v>
      </c>
      <c r="K44" s="177">
        <v>13522</v>
      </c>
      <c r="L44" s="177">
        <v>10062</v>
      </c>
      <c r="M44" s="177">
        <v>7708</v>
      </c>
      <c r="N44" s="177">
        <v>10420</v>
      </c>
      <c r="O44" s="177">
        <v>12644</v>
      </c>
      <c r="P44" s="178"/>
      <c r="Q44" s="177"/>
      <c r="R44" s="177"/>
    </row>
    <row r="45" spans="1:18" x14ac:dyDescent="0.25">
      <c r="A45" s="175"/>
      <c r="B45" s="175"/>
      <c r="C45" s="181" t="s">
        <v>195</v>
      </c>
      <c r="D45" s="177">
        <v>2402</v>
      </c>
      <c r="E45" s="177">
        <v>9846</v>
      </c>
      <c r="F45" s="177">
        <v>22762</v>
      </c>
      <c r="G45" s="177">
        <v>5137</v>
      </c>
      <c r="H45" s="177">
        <v>7433</v>
      </c>
      <c r="I45" s="177">
        <v>4363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8"/>
      <c r="Q45" s="177"/>
      <c r="R45" s="177"/>
    </row>
    <row r="46" spans="1:18" x14ac:dyDescent="0.25">
      <c r="A46" s="175"/>
      <c r="B46" s="175"/>
      <c r="C46" s="181" t="s">
        <v>196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8"/>
      <c r="Q46" s="177"/>
      <c r="R46" s="177"/>
    </row>
    <row r="47" spans="1:18" x14ac:dyDescent="0.25">
      <c r="A47" s="180"/>
      <c r="B47" s="175"/>
      <c r="C47" s="181" t="s">
        <v>197</v>
      </c>
      <c r="D47" s="183">
        <v>0</v>
      </c>
      <c r="E47" s="183">
        <v>0</v>
      </c>
      <c r="F47" s="183">
        <v>0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4"/>
      <c r="Q47" s="182"/>
      <c r="R47" s="182"/>
    </row>
    <row r="48" spans="1:18" x14ac:dyDescent="0.25">
      <c r="A48" s="180"/>
      <c r="B48" s="175"/>
      <c r="C48" s="176" t="s">
        <v>198</v>
      </c>
      <c r="D48" s="182">
        <v>104819</v>
      </c>
      <c r="E48" s="182">
        <v>126269</v>
      </c>
      <c r="F48" s="182">
        <v>147531</v>
      </c>
      <c r="G48" s="182">
        <v>131183</v>
      </c>
      <c r="H48" s="182">
        <v>130109</v>
      </c>
      <c r="I48" s="182">
        <v>120165</v>
      </c>
      <c r="J48" s="182">
        <v>107863</v>
      </c>
      <c r="K48" s="182">
        <v>96456</v>
      </c>
      <c r="L48" s="182">
        <v>94241</v>
      </c>
      <c r="M48" s="182">
        <v>80971</v>
      </c>
      <c r="N48" s="182">
        <v>86720</v>
      </c>
      <c r="O48" s="182">
        <v>92871</v>
      </c>
      <c r="P48" s="178">
        <f t="shared" ref="P48" si="7">SUM(D48:O48)</f>
        <v>1319198</v>
      </c>
      <c r="Q48" s="182"/>
      <c r="R48" s="182"/>
    </row>
    <row r="49" spans="1:18" x14ac:dyDescent="0.25">
      <c r="A49" s="180"/>
      <c r="B49" s="175"/>
      <c r="C49" s="176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8"/>
      <c r="Q49" s="177"/>
      <c r="R49" s="177"/>
    </row>
    <row r="50" spans="1:18" x14ac:dyDescent="0.25">
      <c r="A50" s="180"/>
      <c r="B50" s="186"/>
      <c r="C50" s="17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8"/>
      <c r="Q50" s="177"/>
      <c r="R50" s="177"/>
    </row>
    <row r="51" spans="1:18" x14ac:dyDescent="0.25">
      <c r="A51" s="180"/>
      <c r="B51" s="187" t="s">
        <v>199</v>
      </c>
      <c r="C51" s="181" t="s">
        <v>200</v>
      </c>
      <c r="D51" s="177">
        <v>33682</v>
      </c>
      <c r="E51" s="177">
        <v>34000</v>
      </c>
      <c r="F51" s="177">
        <v>34000</v>
      </c>
      <c r="G51" s="177">
        <v>34000</v>
      </c>
      <c r="H51" s="177">
        <v>34000</v>
      </c>
      <c r="I51" s="185">
        <v>34000</v>
      </c>
      <c r="J51" s="177">
        <v>33916</v>
      </c>
      <c r="K51" s="177">
        <v>30904</v>
      </c>
      <c r="L51" s="177">
        <v>29011</v>
      </c>
      <c r="M51" s="177">
        <v>23334</v>
      </c>
      <c r="N51" s="177">
        <v>24130</v>
      </c>
      <c r="O51" s="177">
        <v>28307</v>
      </c>
      <c r="P51" s="178"/>
      <c r="Q51" s="177"/>
      <c r="R51" s="177"/>
    </row>
    <row r="52" spans="1:18" x14ac:dyDescent="0.25">
      <c r="A52" s="175"/>
      <c r="B52" s="186"/>
      <c r="C52" s="181" t="s">
        <v>201</v>
      </c>
      <c r="D52" s="183">
        <v>42959</v>
      </c>
      <c r="E52" s="183">
        <v>71111</v>
      </c>
      <c r="F52" s="183">
        <v>112463</v>
      </c>
      <c r="G52" s="183">
        <v>87896</v>
      </c>
      <c r="H52" s="183">
        <v>86418</v>
      </c>
      <c r="I52" s="203">
        <v>80087</v>
      </c>
      <c r="J52" s="183">
        <v>49539</v>
      </c>
      <c r="K52" s="183">
        <v>19141</v>
      </c>
      <c r="L52" s="183">
        <v>14417</v>
      </c>
      <c r="M52" s="183">
        <v>6034</v>
      </c>
      <c r="N52" s="183">
        <v>6106</v>
      </c>
      <c r="O52" s="183">
        <v>13980</v>
      </c>
      <c r="P52" s="184"/>
      <c r="Q52" s="182"/>
      <c r="R52" s="182"/>
    </row>
    <row r="53" spans="1:18" x14ac:dyDescent="0.25">
      <c r="A53" s="175"/>
      <c r="B53" s="186"/>
      <c r="C53" s="176" t="s">
        <v>173</v>
      </c>
      <c r="D53" s="177">
        <v>76641</v>
      </c>
      <c r="E53" s="177">
        <v>105111</v>
      </c>
      <c r="F53" s="177">
        <v>146463</v>
      </c>
      <c r="G53" s="177">
        <v>121896</v>
      </c>
      <c r="H53" s="177">
        <v>120418</v>
      </c>
      <c r="I53" s="177">
        <v>114087</v>
      </c>
      <c r="J53" s="177">
        <v>83455</v>
      </c>
      <c r="K53" s="177">
        <v>50045</v>
      </c>
      <c r="L53" s="177">
        <v>43428</v>
      </c>
      <c r="M53" s="177">
        <v>29368</v>
      </c>
      <c r="N53" s="177">
        <v>30236</v>
      </c>
      <c r="O53" s="177">
        <v>42287</v>
      </c>
      <c r="P53" s="178">
        <f t="shared" ref="P53" si="8">SUM(D53:O53)</f>
        <v>963435</v>
      </c>
      <c r="Q53" s="177"/>
      <c r="R53" s="177"/>
    </row>
    <row r="54" spans="1:18" x14ac:dyDescent="0.25">
      <c r="A54" s="175"/>
      <c r="B54" s="186"/>
      <c r="C54" s="179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8"/>
      <c r="Q54" s="177"/>
      <c r="R54" s="177"/>
    </row>
    <row r="55" spans="1:18" x14ac:dyDescent="0.25">
      <c r="A55" s="175"/>
      <c r="B55" s="187"/>
      <c r="C55" s="181" t="s">
        <v>202</v>
      </c>
      <c r="D55" s="182">
        <v>40000</v>
      </c>
      <c r="E55" s="182">
        <v>40000</v>
      </c>
      <c r="F55" s="182">
        <v>40000</v>
      </c>
      <c r="G55" s="182">
        <v>40000</v>
      </c>
      <c r="H55" s="182">
        <v>40000</v>
      </c>
      <c r="I55" s="202">
        <v>40000</v>
      </c>
      <c r="J55" s="182">
        <v>40000</v>
      </c>
      <c r="K55" s="182">
        <v>40000</v>
      </c>
      <c r="L55" s="182">
        <v>40000</v>
      </c>
      <c r="M55" s="182">
        <v>40000</v>
      </c>
      <c r="N55" s="182">
        <v>40000</v>
      </c>
      <c r="O55" s="182">
        <v>40000</v>
      </c>
      <c r="P55" s="178"/>
      <c r="Q55" s="177"/>
      <c r="R55" s="177"/>
    </row>
    <row r="56" spans="1:18" x14ac:dyDescent="0.25">
      <c r="A56" s="175"/>
      <c r="B56" s="186"/>
      <c r="C56" s="181" t="s">
        <v>203</v>
      </c>
      <c r="D56" s="182">
        <v>66739</v>
      </c>
      <c r="E56" s="182">
        <v>69611</v>
      </c>
      <c r="F56" s="182">
        <v>76102</v>
      </c>
      <c r="G56" s="182">
        <v>71989</v>
      </c>
      <c r="H56" s="182">
        <v>71341</v>
      </c>
      <c r="I56" s="202">
        <v>70775</v>
      </c>
      <c r="J56" s="182">
        <v>62472</v>
      </c>
      <c r="K56" s="182">
        <v>54201</v>
      </c>
      <c r="L56" s="182">
        <v>53527</v>
      </c>
      <c r="M56" s="182">
        <v>49796</v>
      </c>
      <c r="N56" s="182">
        <v>61676</v>
      </c>
      <c r="O56" s="182">
        <v>64087</v>
      </c>
      <c r="P56" s="178"/>
      <c r="Q56" s="177"/>
      <c r="R56" s="177"/>
    </row>
    <row r="57" spans="1:18" x14ac:dyDescent="0.25">
      <c r="A57" s="175"/>
      <c r="B57" s="186"/>
      <c r="C57" s="181" t="s">
        <v>204</v>
      </c>
      <c r="D57" s="182">
        <v>37546</v>
      </c>
      <c r="E57" s="182">
        <v>45401</v>
      </c>
      <c r="F57" s="182">
        <v>40332</v>
      </c>
      <c r="G57" s="182">
        <v>37839</v>
      </c>
      <c r="H57" s="182">
        <v>28163</v>
      </c>
      <c r="I57" s="202">
        <v>34729</v>
      </c>
      <c r="J57" s="182">
        <v>35917</v>
      </c>
      <c r="K57" s="182">
        <v>36816</v>
      </c>
      <c r="L57" s="182">
        <v>31629</v>
      </c>
      <c r="M57" s="182">
        <v>33882</v>
      </c>
      <c r="N57" s="182">
        <v>37032</v>
      </c>
      <c r="O57" s="182">
        <v>35795</v>
      </c>
      <c r="P57" s="178"/>
      <c r="Q57" s="177"/>
      <c r="R57" s="177"/>
    </row>
    <row r="58" spans="1:18" x14ac:dyDescent="0.25">
      <c r="A58" s="175"/>
      <c r="B58" s="186"/>
      <c r="C58" s="181" t="s">
        <v>205</v>
      </c>
      <c r="D58" s="182">
        <v>25390</v>
      </c>
      <c r="E58" s="182">
        <v>33463</v>
      </c>
      <c r="F58" s="182">
        <v>47952</v>
      </c>
      <c r="G58" s="182">
        <v>33852</v>
      </c>
      <c r="H58" s="182">
        <v>32913</v>
      </c>
      <c r="I58" s="202">
        <v>32672</v>
      </c>
      <c r="J58" s="182">
        <v>24651</v>
      </c>
      <c r="K58" s="182">
        <v>25953</v>
      </c>
      <c r="L58" s="182">
        <v>22830</v>
      </c>
      <c r="M58" s="182">
        <v>29323</v>
      </c>
      <c r="N58" s="182">
        <v>29999</v>
      </c>
      <c r="O58" s="182">
        <v>31574</v>
      </c>
      <c r="P58" s="178"/>
      <c r="Q58" s="177"/>
      <c r="R58" s="177"/>
    </row>
    <row r="59" spans="1:18" x14ac:dyDescent="0.25">
      <c r="A59" s="175"/>
      <c r="B59" s="186"/>
      <c r="C59" s="181" t="s">
        <v>206</v>
      </c>
      <c r="D59" s="182">
        <v>0</v>
      </c>
      <c r="E59" s="182">
        <v>0</v>
      </c>
      <c r="F59" s="182">
        <v>0</v>
      </c>
      <c r="G59" s="182">
        <v>0</v>
      </c>
      <c r="H59" s="182">
        <v>0</v>
      </c>
      <c r="I59" s="202">
        <v>0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182">
        <v>0</v>
      </c>
      <c r="P59" s="178"/>
      <c r="Q59" s="177"/>
      <c r="R59" s="177"/>
    </row>
    <row r="60" spans="1:18" x14ac:dyDescent="0.25">
      <c r="A60" s="175"/>
      <c r="B60" s="186"/>
      <c r="C60" s="181" t="s">
        <v>207</v>
      </c>
      <c r="D60" s="183">
        <v>0</v>
      </c>
      <c r="E60" s="183">
        <v>0</v>
      </c>
      <c r="F60" s="183">
        <v>0</v>
      </c>
      <c r="G60" s="183">
        <v>0</v>
      </c>
      <c r="H60" s="183">
        <v>0</v>
      </c>
      <c r="I60" s="203">
        <v>0</v>
      </c>
      <c r="J60" s="183">
        <v>0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4"/>
      <c r="Q60" s="182"/>
      <c r="R60" s="182"/>
    </row>
    <row r="61" spans="1:18" x14ac:dyDescent="0.25">
      <c r="A61" s="175"/>
      <c r="B61" s="187"/>
      <c r="C61" s="176" t="s">
        <v>180</v>
      </c>
      <c r="D61" s="177">
        <v>169675</v>
      </c>
      <c r="E61" s="177">
        <v>188475</v>
      </c>
      <c r="F61" s="177">
        <v>204386</v>
      </c>
      <c r="G61" s="177">
        <v>183680</v>
      </c>
      <c r="H61" s="177">
        <v>172417</v>
      </c>
      <c r="I61" s="177">
        <v>178176</v>
      </c>
      <c r="J61" s="177">
        <v>163040</v>
      </c>
      <c r="K61" s="177">
        <v>156970</v>
      </c>
      <c r="L61" s="177">
        <v>147986</v>
      </c>
      <c r="M61" s="177">
        <v>153001</v>
      </c>
      <c r="N61" s="177">
        <v>168707</v>
      </c>
      <c r="O61" s="177">
        <v>171456</v>
      </c>
      <c r="P61" s="178">
        <f t="shared" ref="P61" si="9">SUM(D61:O61)</f>
        <v>2057969</v>
      </c>
      <c r="Q61" s="177"/>
      <c r="R61" s="177"/>
    </row>
    <row r="62" spans="1:18" x14ac:dyDescent="0.25">
      <c r="A62" s="175"/>
      <c r="B62" s="187"/>
      <c r="C62" s="176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8"/>
      <c r="Q62" s="177"/>
      <c r="R62" s="177"/>
    </row>
    <row r="63" spans="1:18" x14ac:dyDescent="0.25">
      <c r="A63" s="175"/>
      <c r="B63" s="187"/>
      <c r="C63" s="181"/>
      <c r="D63" s="182">
        <v>0</v>
      </c>
      <c r="E63" s="182">
        <v>0</v>
      </c>
      <c r="F63" s="182">
        <v>0</v>
      </c>
      <c r="G63" s="182">
        <v>0</v>
      </c>
      <c r="H63" s="182">
        <v>0</v>
      </c>
      <c r="I63" s="182">
        <v>0</v>
      </c>
      <c r="J63" s="182">
        <v>0</v>
      </c>
      <c r="K63" s="182">
        <v>0</v>
      </c>
      <c r="L63" s="182">
        <v>0</v>
      </c>
      <c r="M63" s="182">
        <v>0</v>
      </c>
      <c r="N63" s="182">
        <v>0</v>
      </c>
      <c r="O63" s="182">
        <v>0</v>
      </c>
      <c r="P63" s="178"/>
      <c r="Q63" s="177"/>
      <c r="R63" s="177"/>
    </row>
    <row r="64" spans="1:18" x14ac:dyDescent="0.25">
      <c r="A64" s="175"/>
      <c r="B64" s="187"/>
      <c r="C64" s="181"/>
      <c r="D64" s="183"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4"/>
      <c r="Q64" s="182"/>
      <c r="R64" s="182"/>
    </row>
    <row r="65" spans="1:18" x14ac:dyDescent="0.25">
      <c r="A65" s="175"/>
      <c r="B65" s="187"/>
      <c r="C65" s="176"/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8">
        <f t="shared" ref="P65" si="10">SUM(D65:O65)</f>
        <v>0</v>
      </c>
      <c r="Q65" s="177"/>
      <c r="R65" s="177"/>
    </row>
    <row r="66" spans="1:18" x14ac:dyDescent="0.25">
      <c r="A66" s="175"/>
      <c r="B66" s="187"/>
      <c r="C66" s="176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8"/>
      <c r="Q66" s="177"/>
      <c r="R66" s="177"/>
    </row>
    <row r="67" spans="1:18" x14ac:dyDescent="0.25">
      <c r="A67" s="175"/>
      <c r="B67" s="187"/>
      <c r="C67" s="181" t="s">
        <v>208</v>
      </c>
      <c r="D67" s="182">
        <v>71082</v>
      </c>
      <c r="E67" s="182">
        <v>72406</v>
      </c>
      <c r="F67" s="182">
        <v>74755</v>
      </c>
      <c r="G67" s="182">
        <v>72726</v>
      </c>
      <c r="H67" s="182">
        <v>73679</v>
      </c>
      <c r="I67" s="202">
        <v>73600</v>
      </c>
      <c r="J67" s="182">
        <v>70453</v>
      </c>
      <c r="K67" s="182">
        <v>67643</v>
      </c>
      <c r="L67" s="182">
        <v>64424</v>
      </c>
      <c r="M67" s="182">
        <v>65624</v>
      </c>
      <c r="N67" s="182">
        <v>65336</v>
      </c>
      <c r="O67" s="182">
        <v>63847</v>
      </c>
      <c r="P67" s="178"/>
      <c r="Q67" s="177"/>
      <c r="R67" s="177"/>
    </row>
    <row r="68" spans="1:18" x14ac:dyDescent="0.25">
      <c r="A68" s="175"/>
      <c r="B68" s="187"/>
      <c r="C68" s="181" t="s">
        <v>209</v>
      </c>
      <c r="D68" s="182">
        <v>69212</v>
      </c>
      <c r="E68" s="182">
        <v>76164</v>
      </c>
      <c r="F68" s="182">
        <v>81019</v>
      </c>
      <c r="G68" s="182">
        <v>76262</v>
      </c>
      <c r="H68" s="182">
        <v>74441</v>
      </c>
      <c r="I68" s="202">
        <v>75458</v>
      </c>
      <c r="J68" s="182">
        <v>70281</v>
      </c>
      <c r="K68" s="182">
        <v>66073</v>
      </c>
      <c r="L68" s="182">
        <v>65907</v>
      </c>
      <c r="M68" s="182">
        <v>65094</v>
      </c>
      <c r="N68" s="182">
        <v>63638</v>
      </c>
      <c r="O68" s="182">
        <v>64446</v>
      </c>
      <c r="P68" s="178"/>
      <c r="Q68" s="177"/>
      <c r="R68" s="177"/>
    </row>
    <row r="69" spans="1:18" x14ac:dyDescent="0.25">
      <c r="A69" s="175"/>
      <c r="B69" s="187"/>
      <c r="C69" s="181" t="s">
        <v>210</v>
      </c>
      <c r="D69" s="182">
        <v>60000</v>
      </c>
      <c r="E69" s="182">
        <v>60000</v>
      </c>
      <c r="F69" s="182">
        <v>60000</v>
      </c>
      <c r="G69" s="182">
        <v>60000</v>
      </c>
      <c r="H69" s="182">
        <v>60000</v>
      </c>
      <c r="I69" s="202">
        <v>60000</v>
      </c>
      <c r="J69" s="182">
        <v>60000</v>
      </c>
      <c r="K69" s="182">
        <v>60000</v>
      </c>
      <c r="L69" s="182">
        <v>58539</v>
      </c>
      <c r="M69" s="182">
        <v>56699</v>
      </c>
      <c r="N69" s="182">
        <v>57038</v>
      </c>
      <c r="O69" s="182">
        <v>60000</v>
      </c>
      <c r="P69" s="178"/>
      <c r="Q69" s="177"/>
      <c r="R69" s="177"/>
    </row>
    <row r="70" spans="1:18" x14ac:dyDescent="0.25">
      <c r="A70" s="175"/>
      <c r="B70" s="187"/>
      <c r="C70" s="181" t="s">
        <v>211</v>
      </c>
      <c r="D70" s="182">
        <v>120501</v>
      </c>
      <c r="E70" s="182">
        <v>116313</v>
      </c>
      <c r="F70" s="182">
        <v>122597</v>
      </c>
      <c r="G70" s="182">
        <v>124210</v>
      </c>
      <c r="H70" s="182">
        <v>112809</v>
      </c>
      <c r="I70" s="202">
        <v>120509</v>
      </c>
      <c r="J70" s="182">
        <v>116009</v>
      </c>
      <c r="K70" s="182">
        <v>96859</v>
      </c>
      <c r="L70" s="182">
        <v>94926</v>
      </c>
      <c r="M70" s="182">
        <v>86421</v>
      </c>
      <c r="N70" s="182">
        <v>86752</v>
      </c>
      <c r="O70" s="182">
        <v>95322</v>
      </c>
      <c r="P70" s="178"/>
      <c r="Q70" s="177"/>
      <c r="R70" s="177"/>
    </row>
    <row r="71" spans="1:18" x14ac:dyDescent="0.25">
      <c r="A71" s="175"/>
      <c r="B71" s="187"/>
      <c r="C71" s="181" t="s">
        <v>212</v>
      </c>
      <c r="D71" s="182">
        <v>0</v>
      </c>
      <c r="E71" s="182">
        <v>35146</v>
      </c>
      <c r="F71" s="182">
        <v>99273</v>
      </c>
      <c r="G71" s="182">
        <v>58580</v>
      </c>
      <c r="H71" s="182">
        <v>64697</v>
      </c>
      <c r="I71" s="202">
        <v>64553</v>
      </c>
      <c r="J71" s="182">
        <v>32993</v>
      </c>
      <c r="K71" s="182">
        <v>0</v>
      </c>
      <c r="L71" s="182">
        <v>0</v>
      </c>
      <c r="M71" s="182">
        <v>0</v>
      </c>
      <c r="N71" s="182">
        <v>0</v>
      </c>
      <c r="O71" s="182">
        <v>0</v>
      </c>
      <c r="P71" s="178"/>
      <c r="Q71" s="177"/>
      <c r="R71" s="177"/>
    </row>
    <row r="72" spans="1:18" x14ac:dyDescent="0.25">
      <c r="A72" s="175"/>
      <c r="B72" s="187"/>
      <c r="C72" s="181" t="s">
        <v>213</v>
      </c>
      <c r="D72" s="183">
        <v>0</v>
      </c>
      <c r="E72" s="183">
        <v>0</v>
      </c>
      <c r="F72" s="183">
        <v>0</v>
      </c>
      <c r="G72" s="183">
        <v>0</v>
      </c>
      <c r="H72" s="183">
        <v>0</v>
      </c>
      <c r="I72" s="203">
        <v>0</v>
      </c>
      <c r="J72" s="183">
        <v>0</v>
      </c>
      <c r="K72" s="183">
        <v>0</v>
      </c>
      <c r="L72" s="183">
        <v>0</v>
      </c>
      <c r="M72" s="183">
        <v>0</v>
      </c>
      <c r="N72" s="183">
        <v>0</v>
      </c>
      <c r="O72" s="183">
        <v>0</v>
      </c>
      <c r="P72" s="184"/>
      <c r="Q72" s="182"/>
      <c r="R72" s="182"/>
    </row>
    <row r="73" spans="1:18" x14ac:dyDescent="0.25">
      <c r="A73" s="175"/>
      <c r="B73" s="187"/>
      <c r="C73" s="176" t="s">
        <v>214</v>
      </c>
      <c r="D73" s="177">
        <v>320795</v>
      </c>
      <c r="E73" s="177">
        <v>360029</v>
      </c>
      <c r="F73" s="177">
        <v>437644</v>
      </c>
      <c r="G73" s="177">
        <v>391778</v>
      </c>
      <c r="H73" s="177">
        <v>385626</v>
      </c>
      <c r="I73" s="177">
        <v>394120</v>
      </c>
      <c r="J73" s="177">
        <v>349736</v>
      </c>
      <c r="K73" s="177">
        <v>290575</v>
      </c>
      <c r="L73" s="177">
        <v>283796</v>
      </c>
      <c r="M73" s="177">
        <v>273838</v>
      </c>
      <c r="N73" s="177">
        <v>272764</v>
      </c>
      <c r="O73" s="177">
        <v>283615</v>
      </c>
      <c r="P73" s="178">
        <f t="shared" ref="P73" si="11">SUM(D73:O73)</f>
        <v>4044316</v>
      </c>
      <c r="Q73" s="177"/>
      <c r="R73" s="177"/>
    </row>
    <row r="74" spans="1:18" x14ac:dyDescent="0.25">
      <c r="A74" s="175"/>
      <c r="B74" s="187"/>
      <c r="C74" s="176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8"/>
      <c r="Q74" s="177"/>
      <c r="R74" s="177"/>
    </row>
    <row r="75" spans="1:18" x14ac:dyDescent="0.25">
      <c r="A75" s="175"/>
      <c r="B75" s="187"/>
      <c r="C75" s="181" t="s">
        <v>215</v>
      </c>
      <c r="D75" s="182">
        <v>74229</v>
      </c>
      <c r="E75" s="182">
        <v>84810</v>
      </c>
      <c r="F75" s="182">
        <v>75245</v>
      </c>
      <c r="G75" s="182">
        <v>66282</v>
      </c>
      <c r="H75" s="182">
        <v>74113</v>
      </c>
      <c r="I75" s="202">
        <v>67100</v>
      </c>
      <c r="J75" s="182">
        <v>81226</v>
      </c>
      <c r="K75" s="182">
        <v>75408</v>
      </c>
      <c r="L75" s="182">
        <v>75967</v>
      </c>
      <c r="M75" s="182">
        <v>81256</v>
      </c>
      <c r="N75" s="182">
        <v>83846</v>
      </c>
      <c r="O75" s="182">
        <v>84876</v>
      </c>
      <c r="P75" s="178"/>
      <c r="Q75" s="177"/>
      <c r="R75" s="177"/>
    </row>
    <row r="76" spans="1:18" x14ac:dyDescent="0.25">
      <c r="A76" s="175"/>
      <c r="B76" s="187"/>
      <c r="C76" s="181" t="s">
        <v>216</v>
      </c>
      <c r="D76" s="182">
        <v>157759</v>
      </c>
      <c r="E76" s="182">
        <v>125770</v>
      </c>
      <c r="F76" s="182">
        <v>126189</v>
      </c>
      <c r="G76" s="182">
        <v>118268</v>
      </c>
      <c r="H76" s="182">
        <v>127615</v>
      </c>
      <c r="I76" s="202">
        <v>115669</v>
      </c>
      <c r="J76" s="182">
        <v>135151</v>
      </c>
      <c r="K76" s="182">
        <v>142770</v>
      </c>
      <c r="L76" s="182">
        <v>134765</v>
      </c>
      <c r="M76" s="182">
        <v>151516</v>
      </c>
      <c r="N76" s="182">
        <v>178327</v>
      </c>
      <c r="O76" s="182">
        <v>147383</v>
      </c>
      <c r="P76" s="178"/>
      <c r="Q76" s="177"/>
      <c r="R76" s="177"/>
    </row>
    <row r="77" spans="1:18" x14ac:dyDescent="0.25">
      <c r="A77" s="175"/>
      <c r="B77" s="187"/>
      <c r="C77" s="181" t="s">
        <v>217</v>
      </c>
      <c r="D77" s="182">
        <v>125444</v>
      </c>
      <c r="E77" s="182">
        <v>100000</v>
      </c>
      <c r="F77" s="182">
        <v>109033</v>
      </c>
      <c r="G77" s="182">
        <v>114542</v>
      </c>
      <c r="H77" s="182">
        <v>96483</v>
      </c>
      <c r="I77" s="202">
        <v>104320</v>
      </c>
      <c r="J77" s="182">
        <v>113693</v>
      </c>
      <c r="K77" s="182">
        <v>112278</v>
      </c>
      <c r="L77" s="182">
        <v>117078</v>
      </c>
      <c r="M77" s="182">
        <v>139981</v>
      </c>
      <c r="N77" s="182">
        <v>139140</v>
      </c>
      <c r="O77" s="182">
        <v>123947</v>
      </c>
      <c r="P77" s="178"/>
      <c r="Q77" s="177"/>
      <c r="R77" s="177"/>
    </row>
    <row r="78" spans="1:18" x14ac:dyDescent="0.25">
      <c r="A78" s="175"/>
      <c r="B78" s="187"/>
      <c r="C78" s="181" t="s">
        <v>218</v>
      </c>
      <c r="D78" s="182">
        <v>474474</v>
      </c>
      <c r="E78" s="182">
        <v>362592</v>
      </c>
      <c r="F78" s="182">
        <v>338185</v>
      </c>
      <c r="G78" s="182">
        <v>343029</v>
      </c>
      <c r="H78" s="182">
        <v>282213</v>
      </c>
      <c r="I78" s="202">
        <v>375226</v>
      </c>
      <c r="J78" s="182">
        <v>340772</v>
      </c>
      <c r="K78" s="182">
        <v>342313</v>
      </c>
      <c r="L78" s="182">
        <v>330978</v>
      </c>
      <c r="M78" s="182">
        <v>364316</v>
      </c>
      <c r="N78" s="182">
        <v>435051</v>
      </c>
      <c r="O78" s="182">
        <v>353430</v>
      </c>
      <c r="P78" s="178"/>
      <c r="Q78" s="177"/>
      <c r="R78" s="177"/>
    </row>
    <row r="79" spans="1:18" x14ac:dyDescent="0.25">
      <c r="A79" s="175"/>
      <c r="B79" s="187"/>
      <c r="C79" s="181" t="s">
        <v>219</v>
      </c>
      <c r="D79" s="182">
        <v>368036</v>
      </c>
      <c r="E79" s="182">
        <v>217066</v>
      </c>
      <c r="F79" s="182">
        <v>310142</v>
      </c>
      <c r="G79" s="182">
        <v>266525</v>
      </c>
      <c r="H79" s="182">
        <v>168050</v>
      </c>
      <c r="I79" s="202">
        <v>235257</v>
      </c>
      <c r="J79" s="182">
        <v>189908</v>
      </c>
      <c r="K79" s="182">
        <v>176194</v>
      </c>
      <c r="L79" s="182">
        <v>154147</v>
      </c>
      <c r="M79" s="182">
        <v>102913</v>
      </c>
      <c r="N79" s="182">
        <v>140580</v>
      </c>
      <c r="O79" s="182">
        <v>255506</v>
      </c>
      <c r="P79" s="178"/>
      <c r="Q79" s="177"/>
      <c r="R79" s="177"/>
    </row>
    <row r="80" spans="1:18" x14ac:dyDescent="0.25">
      <c r="A80" s="175"/>
      <c r="B80" s="187"/>
      <c r="C80" s="181" t="s">
        <v>220</v>
      </c>
      <c r="D80" s="183">
        <v>0</v>
      </c>
      <c r="E80" s="183">
        <v>0</v>
      </c>
      <c r="F80" s="183">
        <v>0</v>
      </c>
      <c r="G80" s="183">
        <v>0</v>
      </c>
      <c r="H80" s="183">
        <v>0</v>
      </c>
      <c r="I80" s="20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4"/>
      <c r="Q80" s="182"/>
      <c r="R80" s="182"/>
    </row>
    <row r="81" spans="1:18" x14ac:dyDescent="0.25">
      <c r="A81" s="175"/>
      <c r="B81" s="187"/>
      <c r="C81" s="176" t="s">
        <v>198</v>
      </c>
      <c r="D81" s="177">
        <v>1199942</v>
      </c>
      <c r="E81" s="177">
        <v>890238</v>
      </c>
      <c r="F81" s="177">
        <v>958794</v>
      </c>
      <c r="G81" s="177">
        <v>908646</v>
      </c>
      <c r="H81" s="177">
        <v>748474</v>
      </c>
      <c r="I81" s="177">
        <v>897572</v>
      </c>
      <c r="J81" s="177">
        <v>860750</v>
      </c>
      <c r="K81" s="177">
        <v>848963</v>
      </c>
      <c r="L81" s="177">
        <v>812935</v>
      </c>
      <c r="M81" s="177">
        <v>839982</v>
      </c>
      <c r="N81" s="177">
        <v>976944</v>
      </c>
      <c r="O81" s="177">
        <v>965142</v>
      </c>
      <c r="P81" s="178">
        <f t="shared" ref="P81" si="12">SUM(D81:O81)</f>
        <v>10908382</v>
      </c>
      <c r="Q81" s="177"/>
      <c r="R81" s="177"/>
    </row>
    <row r="82" spans="1:18" x14ac:dyDescent="0.25">
      <c r="A82" s="175"/>
      <c r="B82" s="187"/>
      <c r="C82" s="176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8"/>
      <c r="Q82" s="177"/>
      <c r="R82" s="177"/>
    </row>
    <row r="83" spans="1:18" x14ac:dyDescent="0.25">
      <c r="A83" s="175"/>
      <c r="B83" s="187"/>
      <c r="C83" s="176" t="s">
        <v>221</v>
      </c>
      <c r="D83" s="182">
        <v>276323</v>
      </c>
      <c r="E83" s="182">
        <v>281278</v>
      </c>
      <c r="F83" s="182">
        <v>319867</v>
      </c>
      <c r="G83" s="182">
        <v>284628</v>
      </c>
      <c r="H83" s="182">
        <v>264283</v>
      </c>
      <c r="I83" s="182">
        <v>227606</v>
      </c>
      <c r="J83" s="182">
        <v>244695</v>
      </c>
      <c r="K83" s="182">
        <v>208807</v>
      </c>
      <c r="L83" s="182">
        <v>200568</v>
      </c>
      <c r="M83" s="182">
        <v>166545</v>
      </c>
      <c r="N83" s="182">
        <v>198265</v>
      </c>
      <c r="O83" s="182">
        <v>140290</v>
      </c>
      <c r="P83" s="178">
        <f t="shared" ref="P83" si="13">SUM(D83:O83)</f>
        <v>2813155</v>
      </c>
      <c r="Q83" s="177"/>
      <c r="R83" s="177"/>
    </row>
    <row r="84" spans="1:18" x14ac:dyDescent="0.25">
      <c r="A84" s="175"/>
      <c r="B84" s="187"/>
      <c r="C84" s="176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78"/>
      <c r="Q84" s="177"/>
      <c r="R84" s="177"/>
    </row>
    <row r="85" spans="1:18" ht="13.8" x14ac:dyDescent="0.25">
      <c r="A85" s="188"/>
      <c r="B85" s="187"/>
      <c r="C85" s="176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8"/>
      <c r="Q85" s="177"/>
      <c r="R85" s="177"/>
    </row>
    <row r="86" spans="1:18" x14ac:dyDescent="0.25">
      <c r="A86" s="189"/>
      <c r="B86" s="175"/>
      <c r="C86" s="179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8"/>
      <c r="Q86" s="177"/>
      <c r="R86" s="177"/>
    </row>
    <row r="87" spans="1:18" ht="15" x14ac:dyDescent="0.25">
      <c r="A87" s="190" t="s">
        <v>222</v>
      </c>
      <c r="B87" s="191"/>
      <c r="C87" s="192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  <c r="Q87" s="177"/>
      <c r="R87" s="177"/>
    </row>
    <row r="88" spans="1:18" x14ac:dyDescent="0.25">
      <c r="A88" s="175"/>
      <c r="B88" s="186"/>
      <c r="C88" s="179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8"/>
      <c r="Q88" s="177"/>
      <c r="R88" s="177"/>
    </row>
    <row r="89" spans="1:18" ht="13.8" x14ac:dyDescent="0.25">
      <c r="A89" s="174"/>
      <c r="B89" s="175" t="s">
        <v>165</v>
      </c>
      <c r="C89" s="179" t="s">
        <v>223</v>
      </c>
      <c r="D89" s="177">
        <v>3149885.5231499714</v>
      </c>
      <c r="E89" s="177">
        <v>5897189.2954398105</v>
      </c>
      <c r="F89" s="177">
        <v>8330794.2808513315</v>
      </c>
      <c r="G89" s="177">
        <v>8236852.4007837139</v>
      </c>
      <c r="H89" s="177">
        <v>6664517.5387081588</v>
      </c>
      <c r="I89" s="177">
        <v>5844377.754424097</v>
      </c>
      <c r="J89" s="177">
        <v>4160822.464526209</v>
      </c>
      <c r="K89" s="177">
        <v>2483247.6586962934</v>
      </c>
      <c r="L89" s="177">
        <v>1563420.249121659</v>
      </c>
      <c r="M89" s="177">
        <v>1306968.7046716881</v>
      </c>
      <c r="N89" s="177">
        <v>1301367.478001545</v>
      </c>
      <c r="O89" s="177">
        <v>1429225.7705852308</v>
      </c>
      <c r="P89" s="178">
        <f t="shared" ref="P89:P92" si="14">SUM(D89:O89)</f>
        <v>50368669.118959703</v>
      </c>
      <c r="Q89" s="177"/>
      <c r="R89" s="177"/>
    </row>
    <row r="90" spans="1:18" ht="13.8" x14ac:dyDescent="0.25">
      <c r="A90" s="188"/>
      <c r="B90" s="186"/>
      <c r="C90" s="179" t="s">
        <v>224</v>
      </c>
      <c r="D90" s="177">
        <v>1400900.3305666116</v>
      </c>
      <c r="E90" s="177">
        <v>2432518.4810015731</v>
      </c>
      <c r="F90" s="177">
        <v>3394120.3846926331</v>
      </c>
      <c r="G90" s="177">
        <v>3359610.4446277833</v>
      </c>
      <c r="H90" s="177">
        <v>2740686.2264221124</v>
      </c>
      <c r="I90" s="177">
        <v>2432346.7919588783</v>
      </c>
      <c r="J90" s="177">
        <v>1788300.7881103042</v>
      </c>
      <c r="K90" s="177">
        <v>1188147.8664782404</v>
      </c>
      <c r="L90" s="177">
        <v>870665.31384671596</v>
      </c>
      <c r="M90" s="177">
        <v>755473.15806145535</v>
      </c>
      <c r="N90" s="177">
        <v>743504.54960562871</v>
      </c>
      <c r="O90" s="177">
        <v>763403.12437294482</v>
      </c>
      <c r="P90" s="178">
        <f t="shared" si="14"/>
        <v>21869677.459744882</v>
      </c>
      <c r="Q90" s="177"/>
      <c r="R90" s="177"/>
    </row>
    <row r="91" spans="1:18" ht="13.8" x14ac:dyDescent="0.25">
      <c r="A91" s="188"/>
      <c r="B91" s="186"/>
      <c r="C91" s="179" t="s">
        <v>225</v>
      </c>
      <c r="D91" s="177">
        <v>211627.90000000002</v>
      </c>
      <c r="E91" s="177">
        <v>254939.1</v>
      </c>
      <c r="F91" s="177">
        <v>324188.79999999999</v>
      </c>
      <c r="G91" s="177">
        <v>395738.5</v>
      </c>
      <c r="H91" s="177">
        <v>323683.39999999997</v>
      </c>
      <c r="I91" s="177">
        <v>332862.09999999998</v>
      </c>
      <c r="J91" s="177">
        <v>292310.3</v>
      </c>
      <c r="K91" s="177">
        <v>222622.19999999998</v>
      </c>
      <c r="L91" s="177">
        <v>187636.8</v>
      </c>
      <c r="M91" s="177">
        <v>181492.9</v>
      </c>
      <c r="N91" s="177">
        <v>166439.79999999999</v>
      </c>
      <c r="O91" s="177">
        <v>171360.3</v>
      </c>
      <c r="P91" s="178">
        <f t="shared" si="14"/>
        <v>3064902.0999999992</v>
      </c>
      <c r="Q91" s="177"/>
      <c r="R91" s="177"/>
    </row>
    <row r="92" spans="1:18" ht="13.8" x14ac:dyDescent="0.25">
      <c r="A92" s="188"/>
      <c r="B92" s="175"/>
      <c r="C92" s="179" t="s">
        <v>226</v>
      </c>
      <c r="D92" s="183">
        <v>104819</v>
      </c>
      <c r="E92" s="183">
        <v>126269</v>
      </c>
      <c r="F92" s="183">
        <v>147531</v>
      </c>
      <c r="G92" s="183">
        <v>131183</v>
      </c>
      <c r="H92" s="183">
        <v>130109</v>
      </c>
      <c r="I92" s="183">
        <v>120165</v>
      </c>
      <c r="J92" s="183">
        <v>107863</v>
      </c>
      <c r="K92" s="183">
        <v>96456</v>
      </c>
      <c r="L92" s="183">
        <v>94241</v>
      </c>
      <c r="M92" s="183">
        <v>80971</v>
      </c>
      <c r="N92" s="183">
        <v>86720</v>
      </c>
      <c r="O92" s="183">
        <v>92871</v>
      </c>
      <c r="P92" s="184">
        <f t="shared" si="14"/>
        <v>1319198</v>
      </c>
      <c r="Q92" s="182"/>
      <c r="R92" s="182"/>
    </row>
    <row r="93" spans="1:18" ht="13.8" x14ac:dyDescent="0.25">
      <c r="A93" s="188"/>
      <c r="B93" s="175"/>
      <c r="C93" s="179"/>
      <c r="D93" s="177">
        <v>4867232.7537165834</v>
      </c>
      <c r="E93" s="177">
        <v>8710915.8764413837</v>
      </c>
      <c r="F93" s="177">
        <v>12196634.465543965</v>
      </c>
      <c r="G93" s="177">
        <v>12123384.345411498</v>
      </c>
      <c r="H93" s="177">
        <v>9858996.1651302706</v>
      </c>
      <c r="I93" s="177">
        <v>8729751.6463829745</v>
      </c>
      <c r="J93" s="177">
        <v>6349296.5526365126</v>
      </c>
      <c r="K93" s="177">
        <v>3990473.7251745341</v>
      </c>
      <c r="L93" s="177">
        <v>2715963.362968375</v>
      </c>
      <c r="M93" s="177">
        <v>2324905.7627331433</v>
      </c>
      <c r="N93" s="177">
        <v>2298031.8276071735</v>
      </c>
      <c r="O93" s="177">
        <v>2456860.1949581755</v>
      </c>
      <c r="P93" s="178">
        <f t="shared" ref="P93" si="15">SUM(P89:P92)</f>
        <v>76622446.678704575</v>
      </c>
      <c r="Q93" s="177"/>
      <c r="R93" s="177"/>
    </row>
    <row r="94" spans="1:18" ht="13.8" x14ac:dyDescent="0.25">
      <c r="A94" s="188"/>
      <c r="B94" s="175"/>
      <c r="C94" s="179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8"/>
      <c r="Q94" s="177"/>
      <c r="R94" s="177"/>
    </row>
    <row r="95" spans="1:18" ht="13.8" x14ac:dyDescent="0.25">
      <c r="A95" s="188"/>
      <c r="B95" s="187" t="s">
        <v>199</v>
      </c>
      <c r="C95" s="179" t="s">
        <v>224</v>
      </c>
      <c r="D95" s="177">
        <v>246316</v>
      </c>
      <c r="E95" s="177">
        <v>293586</v>
      </c>
      <c r="F95" s="177">
        <v>350849</v>
      </c>
      <c r="G95" s="177">
        <v>305576</v>
      </c>
      <c r="H95" s="177">
        <v>292835</v>
      </c>
      <c r="I95" s="177">
        <v>292263</v>
      </c>
      <c r="J95" s="177">
        <v>246495</v>
      </c>
      <c r="K95" s="177">
        <v>207015</v>
      </c>
      <c r="L95" s="177">
        <v>191414</v>
      </c>
      <c r="M95" s="177">
        <v>182369</v>
      </c>
      <c r="N95" s="177">
        <v>198943</v>
      </c>
      <c r="O95" s="177">
        <v>213743</v>
      </c>
      <c r="P95" s="178">
        <f t="shared" ref="P95:P98" si="16">SUM(D95:O95)</f>
        <v>3021404</v>
      </c>
      <c r="Q95" s="177"/>
      <c r="R95" s="177"/>
    </row>
    <row r="96" spans="1:18" ht="13.8" x14ac:dyDescent="0.25">
      <c r="A96" s="188"/>
      <c r="B96" s="187"/>
      <c r="C96" s="179" t="s">
        <v>225</v>
      </c>
      <c r="D96" s="177">
        <v>320795</v>
      </c>
      <c r="E96" s="177">
        <v>360029</v>
      </c>
      <c r="F96" s="177">
        <v>437644</v>
      </c>
      <c r="G96" s="177">
        <v>391778</v>
      </c>
      <c r="H96" s="177">
        <v>385626</v>
      </c>
      <c r="I96" s="177">
        <v>394120</v>
      </c>
      <c r="J96" s="177">
        <v>349736</v>
      </c>
      <c r="K96" s="177">
        <v>290575</v>
      </c>
      <c r="L96" s="177">
        <v>283796</v>
      </c>
      <c r="M96" s="177">
        <v>273838</v>
      </c>
      <c r="N96" s="177">
        <v>272764</v>
      </c>
      <c r="O96" s="177">
        <v>283615</v>
      </c>
      <c r="P96" s="178">
        <f t="shared" si="16"/>
        <v>4044316</v>
      </c>
      <c r="Q96" s="177"/>
      <c r="R96" s="177"/>
    </row>
    <row r="97" spans="1:18" ht="13.8" x14ac:dyDescent="0.25">
      <c r="A97" s="188"/>
      <c r="B97" s="187"/>
      <c r="C97" s="179" t="s">
        <v>226</v>
      </c>
      <c r="D97" s="182">
        <v>1199942</v>
      </c>
      <c r="E97" s="182">
        <v>890238</v>
      </c>
      <c r="F97" s="182">
        <v>958794</v>
      </c>
      <c r="G97" s="182">
        <v>908646</v>
      </c>
      <c r="H97" s="182">
        <v>748474</v>
      </c>
      <c r="I97" s="182">
        <v>897572</v>
      </c>
      <c r="J97" s="182">
        <v>860750</v>
      </c>
      <c r="K97" s="182">
        <v>848963</v>
      </c>
      <c r="L97" s="182">
        <v>812935</v>
      </c>
      <c r="M97" s="182">
        <v>839982</v>
      </c>
      <c r="N97" s="182">
        <v>976944</v>
      </c>
      <c r="O97" s="182">
        <v>965142</v>
      </c>
      <c r="P97" s="193">
        <f t="shared" si="16"/>
        <v>10908382</v>
      </c>
      <c r="Q97" s="177"/>
      <c r="R97" s="177"/>
    </row>
    <row r="98" spans="1:18" ht="13.8" x14ac:dyDescent="0.25">
      <c r="A98" s="188"/>
      <c r="B98" s="187"/>
      <c r="C98" s="176" t="s">
        <v>221</v>
      </c>
      <c r="D98" s="183">
        <v>276323</v>
      </c>
      <c r="E98" s="183">
        <v>281278</v>
      </c>
      <c r="F98" s="183">
        <v>319867</v>
      </c>
      <c r="G98" s="183">
        <v>284628</v>
      </c>
      <c r="H98" s="183">
        <v>264283</v>
      </c>
      <c r="I98" s="183">
        <v>227606</v>
      </c>
      <c r="J98" s="183">
        <v>244695</v>
      </c>
      <c r="K98" s="183">
        <v>208807</v>
      </c>
      <c r="L98" s="183">
        <v>200568</v>
      </c>
      <c r="M98" s="183">
        <v>166545</v>
      </c>
      <c r="N98" s="183">
        <v>198265</v>
      </c>
      <c r="O98" s="183">
        <v>140290</v>
      </c>
      <c r="P98" s="184">
        <f t="shared" si="16"/>
        <v>2813155</v>
      </c>
      <c r="Q98" s="177"/>
      <c r="R98" s="177"/>
    </row>
    <row r="99" spans="1:18" ht="13.8" x14ac:dyDescent="0.25">
      <c r="A99" s="188"/>
      <c r="B99" s="187"/>
      <c r="C99" s="179"/>
      <c r="D99" s="177">
        <v>2043376</v>
      </c>
      <c r="E99" s="177">
        <v>1825131</v>
      </c>
      <c r="F99" s="177">
        <v>2067154</v>
      </c>
      <c r="G99" s="177">
        <v>1890628</v>
      </c>
      <c r="H99" s="177">
        <v>1691218</v>
      </c>
      <c r="I99" s="177">
        <v>1811561</v>
      </c>
      <c r="J99" s="177">
        <v>1701676</v>
      </c>
      <c r="K99" s="177">
        <v>1555360</v>
      </c>
      <c r="L99" s="177">
        <v>1488713</v>
      </c>
      <c r="M99" s="177">
        <v>1462734</v>
      </c>
      <c r="N99" s="177">
        <v>1646916</v>
      </c>
      <c r="O99" s="177">
        <v>1602790</v>
      </c>
      <c r="P99" s="178">
        <f t="shared" ref="P99" si="17">SUM(P95:P98)</f>
        <v>20787257</v>
      </c>
      <c r="Q99" s="177"/>
      <c r="R99" s="177"/>
    </row>
    <row r="100" spans="1:18" ht="13.8" x14ac:dyDescent="0.25">
      <c r="A100" s="188"/>
      <c r="B100" s="187"/>
      <c r="C100" s="179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4"/>
      <c r="Q100" s="182"/>
      <c r="R100" s="182"/>
    </row>
    <row r="101" spans="1:18" ht="13.8" x14ac:dyDescent="0.25">
      <c r="A101" s="188"/>
      <c r="B101" s="187"/>
      <c r="C101" s="187" t="s">
        <v>227</v>
      </c>
      <c r="D101" s="177">
        <v>6910608.7537165834</v>
      </c>
      <c r="E101" s="177">
        <v>10536046.876441384</v>
      </c>
      <c r="F101" s="177">
        <v>14263788.465543965</v>
      </c>
      <c r="G101" s="177">
        <v>14014012.345411498</v>
      </c>
      <c r="H101" s="177">
        <v>11550214.165130271</v>
      </c>
      <c r="I101" s="177">
        <v>10541312.646382974</v>
      </c>
      <c r="J101" s="177">
        <v>8050972.5526365126</v>
      </c>
      <c r="K101" s="177">
        <v>5545833.7251745341</v>
      </c>
      <c r="L101" s="177">
        <v>4204676.362968375</v>
      </c>
      <c r="M101" s="177">
        <v>3787639.7627331433</v>
      </c>
      <c r="N101" s="177">
        <v>3944947.8276071735</v>
      </c>
      <c r="O101" s="177">
        <v>4059650.1949581755</v>
      </c>
      <c r="P101" s="178">
        <f t="shared" ref="P101" si="18">+P99+P93</f>
        <v>97409703.678704575</v>
      </c>
      <c r="Q101" s="177"/>
      <c r="R101" s="177"/>
    </row>
    <row r="102" spans="1:18" ht="13.8" x14ac:dyDescent="0.25">
      <c r="A102" s="188"/>
      <c r="B102" s="187"/>
      <c r="C102" s="179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8"/>
      <c r="Q102" s="177"/>
      <c r="R102" s="177"/>
    </row>
    <row r="103" spans="1:18" s="132" customFormat="1" ht="13.8" x14ac:dyDescent="0.25">
      <c r="A103" s="194" t="s">
        <v>228</v>
      </c>
      <c r="B103" s="195" t="s">
        <v>230</v>
      </c>
      <c r="D103" s="177">
        <v>0</v>
      </c>
      <c r="E103" s="177">
        <v>0</v>
      </c>
      <c r="F103" s="177">
        <v>0</v>
      </c>
      <c r="G103" s="177">
        <v>0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77">
        <v>0</v>
      </c>
      <c r="N103" s="177">
        <v>0</v>
      </c>
      <c r="O103" s="177">
        <v>0</v>
      </c>
      <c r="P103" s="178">
        <f t="shared" ref="P103" si="19">SUM(D103:O103)</f>
        <v>0</v>
      </c>
      <c r="Q103" s="177"/>
      <c r="R103" s="177"/>
    </row>
    <row r="104" spans="1:18" s="132" customFormat="1" ht="13.8" x14ac:dyDescent="0.25">
      <c r="A104" s="194"/>
      <c r="B104" s="195"/>
      <c r="C104" s="196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97"/>
      <c r="Q104" s="131"/>
      <c r="R104" s="131"/>
    </row>
    <row r="105" spans="1:18" s="132" customFormat="1" ht="13.8" x14ac:dyDescent="0.25">
      <c r="A105" s="194" t="s">
        <v>228</v>
      </c>
      <c r="B105" s="195" t="s">
        <v>229</v>
      </c>
      <c r="C105" s="196"/>
      <c r="D105" s="177">
        <v>6910608.7537165834</v>
      </c>
      <c r="E105" s="177">
        <v>10536046.876441384</v>
      </c>
      <c r="F105" s="177">
        <v>14263788.465543965</v>
      </c>
      <c r="G105" s="177">
        <v>14014012.345411498</v>
      </c>
      <c r="H105" s="177">
        <v>11550214.165130271</v>
      </c>
      <c r="I105" s="177">
        <v>10541312.646382974</v>
      </c>
      <c r="J105" s="177">
        <v>8050972.5526365126</v>
      </c>
      <c r="K105" s="177">
        <v>5545833.7251745341</v>
      </c>
      <c r="L105" s="177">
        <v>4204676.362968375</v>
      </c>
      <c r="M105" s="177">
        <v>3787639.7627331433</v>
      </c>
      <c r="N105" s="177">
        <v>3944947.8276071735</v>
      </c>
      <c r="O105" s="177">
        <v>4059650.1949581755</v>
      </c>
      <c r="P105" s="177">
        <f t="shared" ref="P105" si="20">SUM(P101:P104)</f>
        <v>97409703.678704575</v>
      </c>
      <c r="Q105" s="177"/>
      <c r="R105" s="177"/>
    </row>
    <row r="106" spans="1:18" ht="13.8" x14ac:dyDescent="0.25">
      <c r="A106" s="198"/>
      <c r="B106" s="199"/>
      <c r="C106" s="200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Q106" s="130"/>
      <c r="R106" s="130"/>
    </row>
    <row r="107" spans="1:18" x14ac:dyDescent="0.25">
      <c r="D107" s="132"/>
      <c r="E107" s="132"/>
      <c r="F107" s="132"/>
      <c r="G107" s="132"/>
      <c r="H107" s="132"/>
      <c r="I107" s="132"/>
      <c r="J107" s="132"/>
      <c r="K107" s="132"/>
      <c r="L107" s="132"/>
    </row>
    <row r="125" ht="10.5" customHeight="1" x14ac:dyDescent="0.25"/>
  </sheetData>
  <printOptions horizontalCentered="1"/>
  <pageMargins left="0.5" right="0.5" top="0.5" bottom="0.5" header="0.25" footer="0.25"/>
  <pageSetup scale="91" orientation="portrait" r:id="rId1"/>
  <headerFooter alignWithMargins="0">
    <oddFooter>&amp;C&amp;"Tahoma,Regular"&amp;8&amp;F &amp;D &amp;T&amp;R&amp;"Tahoma,Regular"&amp;8&amp;A</oddFooter>
  </headerFooter>
  <rowBreaks count="1" manualBreakCount="1">
    <brk id="85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6"/>
  <sheetViews>
    <sheetView workbookViewId="0">
      <selection activeCell="H101" sqref="H101"/>
    </sheetView>
  </sheetViews>
  <sheetFormatPr defaultColWidth="8.88671875" defaultRowHeight="13.2" x14ac:dyDescent="0.25"/>
  <cols>
    <col min="1" max="1" width="4.33203125" style="112" customWidth="1"/>
    <col min="2" max="2" width="17.44140625" style="114" customWidth="1"/>
    <col min="3" max="4" width="8" style="114" customWidth="1"/>
    <col min="5" max="5" width="9.109375" style="114" customWidth="1"/>
    <col min="6" max="6" width="14.109375" style="139" customWidth="1"/>
    <col min="7" max="7" width="3.88671875" style="112" customWidth="1"/>
    <col min="8" max="20" width="16.109375" style="112" customWidth="1"/>
    <col min="21" max="21" width="3.88671875" style="112" customWidth="1"/>
    <col min="22" max="32" width="16.109375" style="112" customWidth="1"/>
    <col min="33" max="33" width="19" style="112" customWidth="1"/>
    <col min="34" max="34" width="16.109375" style="112" customWidth="1"/>
    <col min="35" max="35" width="23.109375" style="112" customWidth="1"/>
    <col min="36" max="36" width="11" style="112" customWidth="1"/>
    <col min="37" max="37" width="18.6640625" style="112" customWidth="1"/>
    <col min="38" max="46" width="11" style="112" customWidth="1"/>
    <col min="47" max="16384" width="8.88671875" style="112"/>
  </cols>
  <sheetData>
    <row r="1" spans="1:37" ht="13.8" x14ac:dyDescent="0.25">
      <c r="B1" s="113" t="s">
        <v>77</v>
      </c>
    </row>
    <row r="2" spans="1:37" ht="13.8" x14ac:dyDescent="0.25">
      <c r="B2" s="113" t="s">
        <v>78</v>
      </c>
    </row>
    <row r="3" spans="1:37" ht="13.8" x14ac:dyDescent="0.25">
      <c r="B3" s="217" t="s">
        <v>249</v>
      </c>
    </row>
    <row r="4" spans="1:37" ht="13.8" x14ac:dyDescent="0.25">
      <c r="B4" s="113" t="s">
        <v>131</v>
      </c>
    </row>
    <row r="5" spans="1:37" x14ac:dyDescent="0.25">
      <c r="B5" s="116"/>
    </row>
    <row r="7" spans="1:37" x14ac:dyDescent="0.25">
      <c r="A7" s="117">
        <v>1</v>
      </c>
      <c r="B7" s="156" t="s">
        <v>80</v>
      </c>
      <c r="C7" s="118"/>
      <c r="D7" s="118"/>
      <c r="F7" s="119"/>
    </row>
    <row r="8" spans="1:37" x14ac:dyDescent="0.25">
      <c r="A8" s="117">
        <f t="shared" ref="A8:A71" si="0">+A7+1</f>
        <v>2</v>
      </c>
      <c r="B8" s="120"/>
      <c r="C8" s="120"/>
      <c r="D8" s="120"/>
      <c r="F8" s="119"/>
    </row>
    <row r="9" spans="1:37" x14ac:dyDescent="0.25">
      <c r="A9" s="121">
        <f t="shared" si="0"/>
        <v>3</v>
      </c>
      <c r="B9" s="122"/>
      <c r="C9" s="122"/>
      <c r="D9" s="122"/>
      <c r="E9" s="122"/>
      <c r="F9" s="140"/>
    </row>
    <row r="10" spans="1:37" s="123" customFormat="1" ht="13.8" thickBot="1" x14ac:dyDescent="0.3">
      <c r="A10" s="121">
        <f t="shared" si="0"/>
        <v>4</v>
      </c>
      <c r="B10" s="122"/>
      <c r="C10" s="122"/>
      <c r="D10" s="122"/>
      <c r="E10" s="122"/>
      <c r="F10" s="140"/>
      <c r="H10" s="308" t="s">
        <v>132</v>
      </c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V10" s="308" t="s">
        <v>44</v>
      </c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</row>
    <row r="11" spans="1:37" s="123" customFormat="1" ht="13.8" thickBot="1" x14ac:dyDescent="0.3">
      <c r="A11" s="121">
        <f t="shared" si="0"/>
        <v>5</v>
      </c>
      <c r="B11" s="122"/>
      <c r="C11" s="122"/>
      <c r="D11" s="122"/>
      <c r="E11" s="122"/>
      <c r="F11" s="135" t="s">
        <v>147</v>
      </c>
      <c r="H11" s="309" t="s">
        <v>145</v>
      </c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V11" s="309" t="s">
        <v>145</v>
      </c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K11" s="124"/>
    </row>
    <row r="12" spans="1:37" s="123" customFormat="1" ht="15" customHeight="1" x14ac:dyDescent="0.25">
      <c r="A12" s="121">
        <f t="shared" si="0"/>
        <v>6</v>
      </c>
      <c r="B12" s="136" t="s">
        <v>130</v>
      </c>
      <c r="C12" s="134" t="s">
        <v>81</v>
      </c>
      <c r="D12" s="134" t="s">
        <v>18</v>
      </c>
      <c r="E12" s="136" t="s">
        <v>82</v>
      </c>
      <c r="F12" s="136" t="s">
        <v>129</v>
      </c>
      <c r="G12" s="126"/>
      <c r="H12" s="126" t="s">
        <v>236</v>
      </c>
      <c r="I12" s="137" t="s">
        <v>237</v>
      </c>
      <c r="J12" s="138" t="s">
        <v>238</v>
      </c>
      <c r="K12" s="137" t="s">
        <v>239</v>
      </c>
      <c r="L12" s="137" t="s">
        <v>240</v>
      </c>
      <c r="M12" s="137" t="s">
        <v>241</v>
      </c>
      <c r="N12" s="137" t="s">
        <v>242</v>
      </c>
      <c r="O12" s="137" t="s">
        <v>243</v>
      </c>
      <c r="P12" s="137" t="s">
        <v>244</v>
      </c>
      <c r="Q12" s="137" t="s">
        <v>245</v>
      </c>
      <c r="R12" s="137" t="s">
        <v>246</v>
      </c>
      <c r="S12" s="137" t="s">
        <v>247</v>
      </c>
      <c r="T12" s="137" t="s">
        <v>248</v>
      </c>
      <c r="U12" s="126"/>
      <c r="V12" s="126" t="s">
        <v>236</v>
      </c>
      <c r="W12" s="137" t="s">
        <v>237</v>
      </c>
      <c r="X12" s="138" t="s">
        <v>238</v>
      </c>
      <c r="Y12" s="137" t="s">
        <v>239</v>
      </c>
      <c r="Z12" s="137" t="s">
        <v>240</v>
      </c>
      <c r="AA12" s="137" t="s">
        <v>241</v>
      </c>
      <c r="AB12" s="137" t="s">
        <v>242</v>
      </c>
      <c r="AC12" s="137" t="s">
        <v>243</v>
      </c>
      <c r="AD12" s="137" t="s">
        <v>244</v>
      </c>
      <c r="AE12" s="137" t="s">
        <v>245</v>
      </c>
      <c r="AF12" s="137" t="s">
        <v>246</v>
      </c>
      <c r="AG12" s="137" t="s">
        <v>247</v>
      </c>
      <c r="AH12" s="137" t="s">
        <v>248</v>
      </c>
      <c r="AI12" s="124" t="s">
        <v>307</v>
      </c>
      <c r="AK12" s="124" t="s">
        <v>308</v>
      </c>
    </row>
    <row r="13" spans="1:37" s="123" customFormat="1" ht="15" customHeight="1" x14ac:dyDescent="0.25">
      <c r="A13" s="121">
        <f t="shared" si="0"/>
        <v>7</v>
      </c>
      <c r="B13" s="125"/>
      <c r="C13" s="125"/>
      <c r="D13" s="125"/>
      <c r="E13" s="125"/>
      <c r="F13" s="125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spans="1:37" x14ac:dyDescent="0.25">
      <c r="A14" s="121">
        <f t="shared" si="0"/>
        <v>8</v>
      </c>
      <c r="B14" s="157" t="s">
        <v>83</v>
      </c>
      <c r="C14" s="157" t="s">
        <v>84</v>
      </c>
      <c r="D14" s="157" t="s">
        <v>85</v>
      </c>
      <c r="E14" s="157"/>
      <c r="F14" s="149">
        <v>-4.5400000000000003E-2</v>
      </c>
      <c r="G14" s="127"/>
      <c r="H14" s="161">
        <v>6364.8</v>
      </c>
      <c r="I14" s="161">
        <v>26250.400000000001</v>
      </c>
      <c r="J14" s="161">
        <v>34155.5</v>
      </c>
      <c r="K14" s="161">
        <v>24392.9</v>
      </c>
      <c r="L14" s="161">
        <v>27178.5</v>
      </c>
      <c r="M14" s="161">
        <v>20012.8</v>
      </c>
      <c r="N14" s="161">
        <v>11832.2</v>
      </c>
      <c r="O14" s="161">
        <v>8735.4</v>
      </c>
      <c r="P14" s="161">
        <v>7290.2</v>
      </c>
      <c r="Q14" s="161">
        <v>6118.9</v>
      </c>
      <c r="R14" s="161">
        <v>-8454.7999999999993</v>
      </c>
      <c r="S14" s="161">
        <v>9224.7000000000007</v>
      </c>
      <c r="T14" s="162">
        <v>9228.7999999999993</v>
      </c>
      <c r="U14" s="127"/>
      <c r="V14" s="142">
        <f>ROUND($F14*$H14,2)</f>
        <v>-288.95999999999998</v>
      </c>
      <c r="W14" s="142">
        <f>ROUND($F14*$I14,2)</f>
        <v>-1191.77</v>
      </c>
      <c r="X14" s="142">
        <f>ROUND($F14*$J14,2)</f>
        <v>-1550.66</v>
      </c>
      <c r="Y14" s="142">
        <f>ROUND($F14*$K14,2)</f>
        <v>-1107.44</v>
      </c>
      <c r="Z14" s="142">
        <f>ROUND($F14*$L14,2)</f>
        <v>-1233.9000000000001</v>
      </c>
      <c r="AA14" s="142">
        <f>ROUND($F14*$M14,2)</f>
        <v>-908.58</v>
      </c>
      <c r="AB14" s="142">
        <f>ROUND($F14*$N14,2)</f>
        <v>-537.17999999999995</v>
      </c>
      <c r="AC14" s="142">
        <f>ROUND($F14*$O14,2)</f>
        <v>-396.59</v>
      </c>
      <c r="AD14" s="142">
        <f>ROUND($F14*$P14,2)</f>
        <v>-330.98</v>
      </c>
      <c r="AE14" s="142">
        <f>ROUND($F14*$Q14,2)</f>
        <v>-277.8</v>
      </c>
      <c r="AF14" s="142">
        <f>ROUND($F14*$R14,2)</f>
        <v>383.85</v>
      </c>
      <c r="AG14" s="142">
        <f>ROUND($F14*$S14,2)</f>
        <v>-418.8</v>
      </c>
      <c r="AH14" s="142">
        <f>ROUND($F14*$T14,2)</f>
        <v>-418.99</v>
      </c>
      <c r="AI14" s="211">
        <f>+SUM(V14:AH14)</f>
        <v>-8277.7999999999993</v>
      </c>
      <c r="AK14" s="142">
        <f>AI14/(1-0.04372)</f>
        <v>-8656.2513071485337</v>
      </c>
    </row>
    <row r="15" spans="1:37" x14ac:dyDescent="0.25">
      <c r="A15" s="121">
        <f t="shared" si="0"/>
        <v>9</v>
      </c>
      <c r="B15" s="158" t="s">
        <v>86</v>
      </c>
      <c r="C15" s="158" t="s">
        <v>84</v>
      </c>
      <c r="D15" s="158" t="s">
        <v>87</v>
      </c>
      <c r="E15" s="158"/>
      <c r="F15" s="149">
        <v>-3.8379999999999997E-2</v>
      </c>
      <c r="G15" s="127"/>
      <c r="H15" s="161">
        <v>1570.1</v>
      </c>
      <c r="I15" s="161">
        <v>4721.3999999999996</v>
      </c>
      <c r="J15" s="161">
        <v>6088.7</v>
      </c>
      <c r="K15" s="161">
        <v>4183.2</v>
      </c>
      <c r="L15" s="161">
        <v>4515.6000000000004</v>
      </c>
      <c r="M15" s="161">
        <v>3227.6</v>
      </c>
      <c r="N15" s="161">
        <v>1800.4</v>
      </c>
      <c r="O15" s="161">
        <v>1501.6</v>
      </c>
      <c r="P15" s="161">
        <v>1531.3</v>
      </c>
      <c r="Q15" s="161">
        <v>1334.3</v>
      </c>
      <c r="R15" s="161">
        <v>1517.5</v>
      </c>
      <c r="S15" s="161">
        <v>1361.3</v>
      </c>
      <c r="T15" s="162">
        <v>1040.2</v>
      </c>
      <c r="U15" s="127"/>
      <c r="V15" s="142">
        <f t="shared" ref="V15:V78" si="1">ROUND($F15*$H15,2)</f>
        <v>-60.26</v>
      </c>
      <c r="W15" s="142">
        <f t="shared" ref="W15:W78" si="2">ROUND($F15*$I15,2)</f>
        <v>-181.21</v>
      </c>
      <c r="X15" s="142">
        <f t="shared" ref="X15:X78" si="3">ROUND($F15*$J15,2)</f>
        <v>-233.68</v>
      </c>
      <c r="Y15" s="142">
        <f t="shared" ref="Y15:Y78" si="4">ROUND($F15*$K15,2)</f>
        <v>-160.55000000000001</v>
      </c>
      <c r="Z15" s="142">
        <f t="shared" ref="Z15:Z78" si="5">ROUND($F15*$L15,2)</f>
        <v>-173.31</v>
      </c>
      <c r="AA15" s="142">
        <f t="shared" ref="AA15:AA78" si="6">ROUND($F15*$M15,2)</f>
        <v>-123.88</v>
      </c>
      <c r="AB15" s="142">
        <f t="shared" ref="AB15:AB78" si="7">ROUND($F15*$N15,2)</f>
        <v>-69.099999999999994</v>
      </c>
      <c r="AC15" s="142">
        <f t="shared" ref="AC15:AC78" si="8">ROUND($F15*$O15,2)</f>
        <v>-57.63</v>
      </c>
      <c r="AD15" s="142">
        <f t="shared" ref="AD15:AD78" si="9">ROUND($F15*$P15,2)</f>
        <v>-58.77</v>
      </c>
      <c r="AE15" s="142">
        <f t="shared" ref="AE15:AE78" si="10">ROUND($F15*$Q15,2)</f>
        <v>-51.21</v>
      </c>
      <c r="AF15" s="142">
        <f t="shared" ref="AF15:AF78" si="11">ROUND($F15*$R15,2)</f>
        <v>-58.24</v>
      </c>
      <c r="AG15" s="142">
        <f t="shared" ref="AG15:AG78" si="12">ROUND($F15*$S15,2)</f>
        <v>-52.25</v>
      </c>
      <c r="AH15" s="147">
        <f t="shared" ref="AH15:AH78" si="13">ROUND($F15*$T15,2)</f>
        <v>-39.92</v>
      </c>
      <c r="AI15" s="211">
        <f t="shared" ref="AI15:AI78" si="14">+SUM(V15:AH15)</f>
        <v>-1320.0100000000002</v>
      </c>
      <c r="AK15" s="142">
        <f t="shared" ref="AK15:AK78" si="15">AI15/(1-0.04372)</f>
        <v>-1380.3593089889991</v>
      </c>
    </row>
    <row r="16" spans="1:37" x14ac:dyDescent="0.25">
      <c r="A16" s="121">
        <f t="shared" si="0"/>
        <v>10</v>
      </c>
      <c r="B16" s="158" t="s">
        <v>88</v>
      </c>
      <c r="C16" s="158" t="s">
        <v>84</v>
      </c>
      <c r="D16" s="158" t="s">
        <v>89</v>
      </c>
      <c r="E16" s="158"/>
      <c r="F16" s="149">
        <v>-2.8459999999999999E-2</v>
      </c>
      <c r="G16" s="127"/>
      <c r="H16" s="161">
        <v>1782586.8</v>
      </c>
      <c r="I16" s="161">
        <v>7117411.2999999998</v>
      </c>
      <c r="J16" s="161">
        <v>9149200.3000000007</v>
      </c>
      <c r="K16" s="161">
        <v>6551200.2999999998</v>
      </c>
      <c r="L16" s="161">
        <v>7232602</v>
      </c>
      <c r="M16" s="161">
        <v>5198681.2</v>
      </c>
      <c r="N16" s="161">
        <v>2640990.1</v>
      </c>
      <c r="O16" s="161">
        <v>1727573.8</v>
      </c>
      <c r="P16" s="161">
        <v>1386217.3</v>
      </c>
      <c r="Q16" s="161">
        <v>1147132.3999999999</v>
      </c>
      <c r="R16" s="161">
        <v>1295371.1000000001</v>
      </c>
      <c r="S16" s="161">
        <v>1996773.9</v>
      </c>
      <c r="T16" s="162">
        <v>2135714.4</v>
      </c>
      <c r="U16" s="127"/>
      <c r="V16" s="142">
        <f t="shared" si="1"/>
        <v>-50732.42</v>
      </c>
      <c r="W16" s="142">
        <f t="shared" si="2"/>
        <v>-202561.53</v>
      </c>
      <c r="X16" s="142">
        <f t="shared" si="3"/>
        <v>-260386.24</v>
      </c>
      <c r="Y16" s="142">
        <f t="shared" si="4"/>
        <v>-186447.16</v>
      </c>
      <c r="Z16" s="142">
        <f t="shared" si="5"/>
        <v>-205839.85</v>
      </c>
      <c r="AA16" s="142">
        <f t="shared" si="6"/>
        <v>-147954.47</v>
      </c>
      <c r="AB16" s="142">
        <f t="shared" si="7"/>
        <v>-75162.58</v>
      </c>
      <c r="AC16" s="142">
        <f t="shared" si="8"/>
        <v>-49166.75</v>
      </c>
      <c r="AD16" s="142">
        <f t="shared" si="9"/>
        <v>-39451.74</v>
      </c>
      <c r="AE16" s="142">
        <f t="shared" si="10"/>
        <v>-32647.39</v>
      </c>
      <c r="AF16" s="142">
        <f t="shared" si="11"/>
        <v>-36866.26</v>
      </c>
      <c r="AG16" s="142">
        <f t="shared" si="12"/>
        <v>-56828.19</v>
      </c>
      <c r="AH16" s="147">
        <f t="shared" si="13"/>
        <v>-60782.43</v>
      </c>
      <c r="AI16" s="211">
        <f t="shared" si="14"/>
        <v>-1404827.0099999998</v>
      </c>
      <c r="AK16" s="142">
        <f t="shared" si="15"/>
        <v>-1469054.0532061737</v>
      </c>
    </row>
    <row r="17" spans="1:37" x14ac:dyDescent="0.25">
      <c r="A17" s="121">
        <f t="shared" si="0"/>
        <v>11</v>
      </c>
      <c r="B17" s="158" t="s">
        <v>90</v>
      </c>
      <c r="C17" s="158" t="s">
        <v>84</v>
      </c>
      <c r="D17" s="158" t="s">
        <v>91</v>
      </c>
      <c r="E17" s="158"/>
      <c r="F17" s="149">
        <v>-2.495E-2</v>
      </c>
      <c r="G17" s="127"/>
      <c r="H17" s="161">
        <v>469755.9</v>
      </c>
      <c r="I17" s="161">
        <v>2139249.1</v>
      </c>
      <c r="J17" s="161">
        <v>2971254.4</v>
      </c>
      <c r="K17" s="161">
        <v>2051761.7</v>
      </c>
      <c r="L17" s="161">
        <v>2332129.2999999998</v>
      </c>
      <c r="M17" s="161">
        <v>1697205.8</v>
      </c>
      <c r="N17" s="161">
        <v>975433.6</v>
      </c>
      <c r="O17" s="161">
        <v>682710.20000000007</v>
      </c>
      <c r="P17" s="161">
        <v>627734.4</v>
      </c>
      <c r="Q17" s="161">
        <v>506098</v>
      </c>
      <c r="R17" s="161">
        <v>568405.30000000005</v>
      </c>
      <c r="S17" s="161">
        <v>716775.6</v>
      </c>
      <c r="T17" s="162">
        <v>718822.40000000002</v>
      </c>
      <c r="U17" s="127"/>
      <c r="V17" s="142">
        <f t="shared" si="1"/>
        <v>-11720.41</v>
      </c>
      <c r="W17" s="142">
        <f t="shared" si="2"/>
        <v>-53374.27</v>
      </c>
      <c r="X17" s="142">
        <f t="shared" si="3"/>
        <v>-74132.800000000003</v>
      </c>
      <c r="Y17" s="142">
        <f t="shared" si="4"/>
        <v>-51191.45</v>
      </c>
      <c r="Z17" s="142">
        <f t="shared" si="5"/>
        <v>-58186.63</v>
      </c>
      <c r="AA17" s="142">
        <f t="shared" si="6"/>
        <v>-42345.279999999999</v>
      </c>
      <c r="AB17" s="142">
        <f t="shared" si="7"/>
        <v>-24337.07</v>
      </c>
      <c r="AC17" s="142">
        <f t="shared" si="8"/>
        <v>-17033.62</v>
      </c>
      <c r="AD17" s="142">
        <f t="shared" si="9"/>
        <v>-15661.97</v>
      </c>
      <c r="AE17" s="142">
        <f t="shared" si="10"/>
        <v>-12627.15</v>
      </c>
      <c r="AF17" s="142">
        <f t="shared" si="11"/>
        <v>-14181.71</v>
      </c>
      <c r="AG17" s="142">
        <f t="shared" si="12"/>
        <v>-17883.55</v>
      </c>
      <c r="AH17" s="147">
        <f t="shared" si="13"/>
        <v>-17934.62</v>
      </c>
      <c r="AI17" s="211">
        <f t="shared" si="14"/>
        <v>-410610.52999999997</v>
      </c>
      <c r="AK17" s="142">
        <f t="shared" si="15"/>
        <v>-429383.16183544567</v>
      </c>
    </row>
    <row r="18" spans="1:37" x14ac:dyDescent="0.25">
      <c r="A18" s="121">
        <f t="shared" si="0"/>
        <v>12</v>
      </c>
      <c r="B18" s="158" t="s">
        <v>92</v>
      </c>
      <c r="C18" s="158" t="s">
        <v>84</v>
      </c>
      <c r="D18" s="158" t="s">
        <v>93</v>
      </c>
      <c r="E18" s="158"/>
      <c r="F18" s="149">
        <v>0</v>
      </c>
      <c r="G18" s="127"/>
      <c r="H18" s="161">
        <v>11468</v>
      </c>
      <c r="I18" s="161">
        <v>53760.1</v>
      </c>
      <c r="J18" s="161">
        <v>71332.7</v>
      </c>
      <c r="K18" s="161">
        <v>57071</v>
      </c>
      <c r="L18" s="161">
        <v>56656.1</v>
      </c>
      <c r="M18" s="161">
        <v>45534.9</v>
      </c>
      <c r="N18" s="161">
        <v>32758.3</v>
      </c>
      <c r="O18" s="161">
        <v>26394.5</v>
      </c>
      <c r="P18" s="161">
        <v>24727</v>
      </c>
      <c r="Q18" s="161">
        <v>21904.6</v>
      </c>
      <c r="R18" s="161">
        <v>22546</v>
      </c>
      <c r="S18" s="161">
        <v>23393.9</v>
      </c>
      <c r="T18" s="162">
        <v>20720.8</v>
      </c>
      <c r="U18" s="127"/>
      <c r="V18" s="142">
        <f t="shared" si="1"/>
        <v>0</v>
      </c>
      <c r="W18" s="142">
        <f t="shared" si="2"/>
        <v>0</v>
      </c>
      <c r="X18" s="142">
        <f t="shared" si="3"/>
        <v>0</v>
      </c>
      <c r="Y18" s="142">
        <f t="shared" si="4"/>
        <v>0</v>
      </c>
      <c r="Z18" s="142">
        <f t="shared" si="5"/>
        <v>0</v>
      </c>
      <c r="AA18" s="142">
        <f t="shared" si="6"/>
        <v>0</v>
      </c>
      <c r="AB18" s="142">
        <f t="shared" si="7"/>
        <v>0</v>
      </c>
      <c r="AC18" s="142">
        <f t="shared" si="8"/>
        <v>0</v>
      </c>
      <c r="AD18" s="142">
        <f t="shared" si="9"/>
        <v>0</v>
      </c>
      <c r="AE18" s="142">
        <f t="shared" si="10"/>
        <v>0</v>
      </c>
      <c r="AF18" s="142">
        <f t="shared" si="11"/>
        <v>0</v>
      </c>
      <c r="AG18" s="142">
        <f t="shared" si="12"/>
        <v>0</v>
      </c>
      <c r="AH18" s="147">
        <f t="shared" si="13"/>
        <v>0</v>
      </c>
      <c r="AI18" s="211">
        <f t="shared" si="14"/>
        <v>0</v>
      </c>
      <c r="AK18" s="142">
        <f t="shared" si="15"/>
        <v>0</v>
      </c>
    </row>
    <row r="19" spans="1:37" x14ac:dyDescent="0.25">
      <c r="A19" s="121">
        <f t="shared" si="0"/>
        <v>13</v>
      </c>
      <c r="B19" s="157">
        <v>27</v>
      </c>
      <c r="C19" s="157" t="s">
        <v>84</v>
      </c>
      <c r="D19" s="157" t="s">
        <v>94</v>
      </c>
      <c r="E19" s="157"/>
      <c r="F19" s="149">
        <v>-1.9609999999999999E-2</v>
      </c>
      <c r="G19" s="127"/>
      <c r="H19" s="161">
        <v>24418.3</v>
      </c>
      <c r="I19" s="161">
        <v>80386.7</v>
      </c>
      <c r="J19" s="161">
        <v>91846.2</v>
      </c>
      <c r="K19" s="161">
        <v>71287.199999999997</v>
      </c>
      <c r="L19" s="161">
        <v>74842.8</v>
      </c>
      <c r="M19" s="161">
        <v>55618.1</v>
      </c>
      <c r="N19" s="161">
        <v>28377.3</v>
      </c>
      <c r="O19" s="161">
        <v>10853.5</v>
      </c>
      <c r="P19" s="161">
        <v>4230.2</v>
      </c>
      <c r="Q19" s="161">
        <v>947.6</v>
      </c>
      <c r="R19" s="161">
        <v>3363</v>
      </c>
      <c r="S19" s="161">
        <v>16456.099999999999</v>
      </c>
      <c r="T19" s="162">
        <v>20877.400000000001</v>
      </c>
      <c r="U19" s="127"/>
      <c r="V19" s="142">
        <f t="shared" si="1"/>
        <v>-478.84</v>
      </c>
      <c r="W19" s="142">
        <f t="shared" si="2"/>
        <v>-1576.38</v>
      </c>
      <c r="X19" s="142">
        <f t="shared" si="3"/>
        <v>-1801.1</v>
      </c>
      <c r="Y19" s="142">
        <f t="shared" si="4"/>
        <v>-1397.94</v>
      </c>
      <c r="Z19" s="142">
        <f t="shared" si="5"/>
        <v>-1467.67</v>
      </c>
      <c r="AA19" s="142">
        <f t="shared" si="6"/>
        <v>-1090.67</v>
      </c>
      <c r="AB19" s="142">
        <f t="shared" si="7"/>
        <v>-556.48</v>
      </c>
      <c r="AC19" s="142">
        <f t="shared" si="8"/>
        <v>-212.84</v>
      </c>
      <c r="AD19" s="142">
        <f t="shared" si="9"/>
        <v>-82.95</v>
      </c>
      <c r="AE19" s="142">
        <f t="shared" si="10"/>
        <v>-18.579999999999998</v>
      </c>
      <c r="AF19" s="142">
        <f t="shared" si="11"/>
        <v>-65.95</v>
      </c>
      <c r="AG19" s="142">
        <f t="shared" si="12"/>
        <v>-322.7</v>
      </c>
      <c r="AH19" s="147">
        <f t="shared" si="13"/>
        <v>-409.41</v>
      </c>
      <c r="AI19" s="211">
        <f t="shared" si="14"/>
        <v>-9481.510000000002</v>
      </c>
      <c r="AK19" s="142">
        <f t="shared" si="15"/>
        <v>-9914.9935165432744</v>
      </c>
    </row>
    <row r="20" spans="1:37" x14ac:dyDescent="0.25">
      <c r="A20" s="121">
        <f t="shared" si="0"/>
        <v>14</v>
      </c>
      <c r="B20" s="159" t="s">
        <v>95</v>
      </c>
      <c r="C20" s="159" t="s">
        <v>84</v>
      </c>
      <c r="D20" s="159" t="s">
        <v>96</v>
      </c>
      <c r="E20" s="159" t="s">
        <v>97</v>
      </c>
      <c r="F20" s="150">
        <v>-1.9820000000000001E-2</v>
      </c>
      <c r="G20" s="129"/>
      <c r="H20" s="163">
        <v>48574.2</v>
      </c>
      <c r="I20" s="163">
        <v>178146.9</v>
      </c>
      <c r="J20" s="163">
        <v>180218.5</v>
      </c>
      <c r="K20" s="163">
        <v>175779.20000000001</v>
      </c>
      <c r="L20" s="163">
        <v>177377.9</v>
      </c>
      <c r="M20" s="163">
        <v>172663.5</v>
      </c>
      <c r="N20" s="163">
        <v>158212.1</v>
      </c>
      <c r="O20" s="163">
        <v>131929.4</v>
      </c>
      <c r="P20" s="163">
        <v>120005.6</v>
      </c>
      <c r="Q20" s="163">
        <v>108028.1</v>
      </c>
      <c r="R20" s="163">
        <v>118141.1</v>
      </c>
      <c r="S20" s="163">
        <v>135337.9</v>
      </c>
      <c r="T20" s="164">
        <v>106440.2</v>
      </c>
      <c r="U20" s="129"/>
      <c r="V20" s="143">
        <f t="shared" si="1"/>
        <v>-962.74</v>
      </c>
      <c r="W20" s="143">
        <f t="shared" si="2"/>
        <v>-3530.87</v>
      </c>
      <c r="X20" s="143">
        <f t="shared" si="3"/>
        <v>-3571.93</v>
      </c>
      <c r="Y20" s="143">
        <f t="shared" si="4"/>
        <v>-3483.94</v>
      </c>
      <c r="Z20" s="143">
        <f t="shared" si="5"/>
        <v>-3515.63</v>
      </c>
      <c r="AA20" s="143">
        <f t="shared" si="6"/>
        <v>-3422.19</v>
      </c>
      <c r="AB20" s="143">
        <f t="shared" si="7"/>
        <v>-3135.76</v>
      </c>
      <c r="AC20" s="143">
        <f t="shared" si="8"/>
        <v>-2614.84</v>
      </c>
      <c r="AD20" s="143">
        <f t="shared" si="9"/>
        <v>-2378.5100000000002</v>
      </c>
      <c r="AE20" s="143">
        <f t="shared" si="10"/>
        <v>-2141.12</v>
      </c>
      <c r="AF20" s="143">
        <f t="shared" si="11"/>
        <v>-2341.56</v>
      </c>
      <c r="AG20" s="143">
        <f t="shared" si="12"/>
        <v>-2682.4</v>
      </c>
      <c r="AH20" s="148">
        <f t="shared" si="13"/>
        <v>-2109.64</v>
      </c>
      <c r="AI20" s="212">
        <f t="shared" si="14"/>
        <v>-35891.129999999997</v>
      </c>
      <c r="AK20" s="143">
        <f t="shared" si="15"/>
        <v>-37532.030367674735</v>
      </c>
    </row>
    <row r="21" spans="1:37" x14ac:dyDescent="0.25">
      <c r="A21" s="121">
        <f t="shared" si="0"/>
        <v>15</v>
      </c>
      <c r="B21" s="160" t="s">
        <v>96</v>
      </c>
      <c r="C21" s="160" t="s">
        <v>84</v>
      </c>
      <c r="D21" s="160" t="s">
        <v>96</v>
      </c>
      <c r="E21" s="160" t="s">
        <v>98</v>
      </c>
      <c r="F21" s="149">
        <v>-1.7469999999999999E-2</v>
      </c>
      <c r="G21" s="127"/>
      <c r="H21" s="161">
        <v>55884.5</v>
      </c>
      <c r="I21" s="161">
        <v>269293.3</v>
      </c>
      <c r="J21" s="161">
        <v>384622</v>
      </c>
      <c r="K21" s="161">
        <v>243086.7</v>
      </c>
      <c r="L21" s="161">
        <v>286871.7</v>
      </c>
      <c r="M21" s="161">
        <v>192340.5</v>
      </c>
      <c r="N21" s="161">
        <v>84685.8</v>
      </c>
      <c r="O21" s="161">
        <v>52214.6</v>
      </c>
      <c r="P21" s="161">
        <v>38304.800000000003</v>
      </c>
      <c r="Q21" s="161">
        <v>33766.800000000003</v>
      </c>
      <c r="R21" s="161">
        <v>42909.8</v>
      </c>
      <c r="S21" s="161">
        <v>60974.1</v>
      </c>
      <c r="T21" s="162">
        <v>71226.5</v>
      </c>
      <c r="U21" s="127"/>
      <c r="V21" s="142">
        <f t="shared" si="1"/>
        <v>-976.3</v>
      </c>
      <c r="W21" s="142">
        <f t="shared" si="2"/>
        <v>-4704.55</v>
      </c>
      <c r="X21" s="142">
        <f t="shared" si="3"/>
        <v>-6719.35</v>
      </c>
      <c r="Y21" s="142">
        <f t="shared" si="4"/>
        <v>-4246.72</v>
      </c>
      <c r="Z21" s="142">
        <f t="shared" si="5"/>
        <v>-5011.6499999999996</v>
      </c>
      <c r="AA21" s="142">
        <f t="shared" si="6"/>
        <v>-3360.19</v>
      </c>
      <c r="AB21" s="142">
        <f t="shared" si="7"/>
        <v>-1479.46</v>
      </c>
      <c r="AC21" s="142">
        <f t="shared" si="8"/>
        <v>-912.19</v>
      </c>
      <c r="AD21" s="142">
        <f t="shared" si="9"/>
        <v>-669.18</v>
      </c>
      <c r="AE21" s="142">
        <f t="shared" si="10"/>
        <v>-589.91</v>
      </c>
      <c r="AF21" s="142">
        <f t="shared" si="11"/>
        <v>-749.63</v>
      </c>
      <c r="AG21" s="142">
        <f t="shared" si="12"/>
        <v>-1065.22</v>
      </c>
      <c r="AH21" s="147">
        <f t="shared" si="13"/>
        <v>-1244.33</v>
      </c>
      <c r="AI21" s="211">
        <f t="shared" si="14"/>
        <v>-31728.68</v>
      </c>
      <c r="AK21" s="142">
        <f t="shared" si="15"/>
        <v>-33179.278035721756</v>
      </c>
    </row>
    <row r="22" spans="1:37" x14ac:dyDescent="0.25">
      <c r="A22" s="121">
        <f t="shared" si="0"/>
        <v>16</v>
      </c>
      <c r="B22" s="159" t="s">
        <v>99</v>
      </c>
      <c r="C22" s="159" t="s">
        <v>84</v>
      </c>
      <c r="D22" s="159" t="s">
        <v>100</v>
      </c>
      <c r="E22" s="159" t="s">
        <v>97</v>
      </c>
      <c r="F22" s="150">
        <v>-1.857E-2</v>
      </c>
      <c r="G22" s="129"/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4">
        <v>0</v>
      </c>
      <c r="U22" s="129"/>
      <c r="V22" s="143">
        <f t="shared" si="1"/>
        <v>0</v>
      </c>
      <c r="W22" s="143">
        <f t="shared" si="2"/>
        <v>0</v>
      </c>
      <c r="X22" s="143">
        <f t="shared" si="3"/>
        <v>0</v>
      </c>
      <c r="Y22" s="143">
        <f t="shared" si="4"/>
        <v>0</v>
      </c>
      <c r="Z22" s="143">
        <f t="shared" si="5"/>
        <v>0</v>
      </c>
      <c r="AA22" s="143">
        <f t="shared" si="6"/>
        <v>0</v>
      </c>
      <c r="AB22" s="143">
        <f t="shared" si="7"/>
        <v>0</v>
      </c>
      <c r="AC22" s="143">
        <f t="shared" si="8"/>
        <v>0</v>
      </c>
      <c r="AD22" s="143">
        <f t="shared" si="9"/>
        <v>0</v>
      </c>
      <c r="AE22" s="143">
        <f t="shared" si="10"/>
        <v>0</v>
      </c>
      <c r="AF22" s="143">
        <f t="shared" si="11"/>
        <v>0</v>
      </c>
      <c r="AG22" s="143">
        <f t="shared" si="12"/>
        <v>0</v>
      </c>
      <c r="AH22" s="148">
        <f t="shared" si="13"/>
        <v>0</v>
      </c>
      <c r="AI22" s="212">
        <f t="shared" si="14"/>
        <v>0</v>
      </c>
      <c r="AK22" s="143">
        <f t="shared" si="15"/>
        <v>0</v>
      </c>
    </row>
    <row r="23" spans="1:37" x14ac:dyDescent="0.25">
      <c r="A23" s="121">
        <f t="shared" si="0"/>
        <v>17</v>
      </c>
      <c r="B23" s="160" t="s">
        <v>100</v>
      </c>
      <c r="C23" s="160" t="s">
        <v>84</v>
      </c>
      <c r="D23" s="160" t="s">
        <v>100</v>
      </c>
      <c r="E23" s="160" t="s">
        <v>98</v>
      </c>
      <c r="F23" s="149">
        <v>-1.636E-2</v>
      </c>
      <c r="G23" s="127"/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2">
        <v>0</v>
      </c>
      <c r="U23" s="127"/>
      <c r="V23" s="142">
        <f t="shared" si="1"/>
        <v>0</v>
      </c>
      <c r="W23" s="142">
        <f t="shared" si="2"/>
        <v>0</v>
      </c>
      <c r="X23" s="142">
        <f t="shared" si="3"/>
        <v>0</v>
      </c>
      <c r="Y23" s="142">
        <f t="shared" si="4"/>
        <v>0</v>
      </c>
      <c r="Z23" s="142">
        <f t="shared" si="5"/>
        <v>0</v>
      </c>
      <c r="AA23" s="142">
        <f t="shared" si="6"/>
        <v>0</v>
      </c>
      <c r="AB23" s="142">
        <f t="shared" si="7"/>
        <v>0</v>
      </c>
      <c r="AC23" s="142">
        <f t="shared" si="8"/>
        <v>0</v>
      </c>
      <c r="AD23" s="142">
        <f t="shared" si="9"/>
        <v>0</v>
      </c>
      <c r="AE23" s="142">
        <f t="shared" si="10"/>
        <v>0</v>
      </c>
      <c r="AF23" s="142">
        <f t="shared" si="11"/>
        <v>0</v>
      </c>
      <c r="AG23" s="142">
        <f t="shared" si="12"/>
        <v>0</v>
      </c>
      <c r="AH23" s="147">
        <f t="shared" si="13"/>
        <v>0</v>
      </c>
      <c r="AI23" s="211">
        <f t="shared" si="14"/>
        <v>0</v>
      </c>
      <c r="AK23" s="142">
        <f t="shared" si="15"/>
        <v>0</v>
      </c>
    </row>
    <row r="24" spans="1:37" x14ac:dyDescent="0.25">
      <c r="A24" s="121">
        <f t="shared" si="0"/>
        <v>18</v>
      </c>
      <c r="B24" s="159" t="s">
        <v>101</v>
      </c>
      <c r="C24" s="159" t="s">
        <v>84</v>
      </c>
      <c r="D24" s="159" t="s">
        <v>102</v>
      </c>
      <c r="E24" s="159" t="s">
        <v>97</v>
      </c>
      <c r="F24" s="150">
        <v>0</v>
      </c>
      <c r="G24" s="129"/>
      <c r="H24" s="163">
        <v>0</v>
      </c>
      <c r="I24" s="163">
        <v>0</v>
      </c>
      <c r="J24" s="163">
        <v>2000</v>
      </c>
      <c r="K24" s="163">
        <v>-2000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4">
        <v>0</v>
      </c>
      <c r="U24" s="129"/>
      <c r="V24" s="143">
        <f t="shared" si="1"/>
        <v>0</v>
      </c>
      <c r="W24" s="143">
        <f t="shared" si="2"/>
        <v>0</v>
      </c>
      <c r="X24" s="143">
        <f t="shared" si="3"/>
        <v>0</v>
      </c>
      <c r="Y24" s="143">
        <f t="shared" si="4"/>
        <v>0</v>
      </c>
      <c r="Z24" s="143">
        <f t="shared" si="5"/>
        <v>0</v>
      </c>
      <c r="AA24" s="143">
        <f t="shared" si="6"/>
        <v>0</v>
      </c>
      <c r="AB24" s="143">
        <f t="shared" si="7"/>
        <v>0</v>
      </c>
      <c r="AC24" s="143">
        <f t="shared" si="8"/>
        <v>0</v>
      </c>
      <c r="AD24" s="143">
        <f t="shared" si="9"/>
        <v>0</v>
      </c>
      <c r="AE24" s="143">
        <f t="shared" si="10"/>
        <v>0</v>
      </c>
      <c r="AF24" s="143">
        <f t="shared" si="11"/>
        <v>0</v>
      </c>
      <c r="AG24" s="143">
        <f t="shared" si="12"/>
        <v>0</v>
      </c>
      <c r="AH24" s="148">
        <f t="shared" si="13"/>
        <v>0</v>
      </c>
      <c r="AI24" s="212">
        <f t="shared" si="14"/>
        <v>0</v>
      </c>
      <c r="AK24" s="143">
        <f t="shared" si="15"/>
        <v>0</v>
      </c>
    </row>
    <row r="25" spans="1:37" x14ac:dyDescent="0.25">
      <c r="A25" s="121">
        <f t="shared" si="0"/>
        <v>19</v>
      </c>
      <c r="B25" s="160" t="s">
        <v>102</v>
      </c>
      <c r="C25" s="160" t="s">
        <v>84</v>
      </c>
      <c r="D25" s="160" t="s">
        <v>102</v>
      </c>
      <c r="E25" s="160" t="s">
        <v>98</v>
      </c>
      <c r="F25" s="149">
        <v>0</v>
      </c>
      <c r="G25" s="127"/>
      <c r="H25" s="161">
        <v>0</v>
      </c>
      <c r="I25" s="161">
        <v>0</v>
      </c>
      <c r="J25" s="161">
        <v>4761</v>
      </c>
      <c r="K25" s="161">
        <v>-4761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2">
        <v>0</v>
      </c>
      <c r="U25" s="127"/>
      <c r="V25" s="142">
        <f t="shared" si="1"/>
        <v>0</v>
      </c>
      <c r="W25" s="142">
        <f t="shared" si="2"/>
        <v>0</v>
      </c>
      <c r="X25" s="142">
        <f t="shared" si="3"/>
        <v>0</v>
      </c>
      <c r="Y25" s="142">
        <f t="shared" si="4"/>
        <v>0</v>
      </c>
      <c r="Z25" s="142">
        <f t="shared" si="5"/>
        <v>0</v>
      </c>
      <c r="AA25" s="142">
        <f t="shared" si="6"/>
        <v>0</v>
      </c>
      <c r="AB25" s="142">
        <f t="shared" si="7"/>
        <v>0</v>
      </c>
      <c r="AC25" s="142">
        <f t="shared" si="8"/>
        <v>0</v>
      </c>
      <c r="AD25" s="142">
        <f t="shared" si="9"/>
        <v>0</v>
      </c>
      <c r="AE25" s="142">
        <f t="shared" si="10"/>
        <v>0</v>
      </c>
      <c r="AF25" s="142">
        <f t="shared" si="11"/>
        <v>0</v>
      </c>
      <c r="AG25" s="142">
        <f t="shared" si="12"/>
        <v>0</v>
      </c>
      <c r="AH25" s="147">
        <f t="shared" si="13"/>
        <v>0</v>
      </c>
      <c r="AI25" s="211">
        <f t="shared" si="14"/>
        <v>0</v>
      </c>
      <c r="AK25" s="142">
        <f t="shared" si="15"/>
        <v>0</v>
      </c>
    </row>
    <row r="26" spans="1:37" x14ac:dyDescent="0.25">
      <c r="A26" s="121">
        <f t="shared" si="0"/>
        <v>20</v>
      </c>
      <c r="B26" s="159" t="s">
        <v>103</v>
      </c>
      <c r="C26" s="159" t="s">
        <v>84</v>
      </c>
      <c r="D26" s="159" t="s">
        <v>104</v>
      </c>
      <c r="E26" s="159" t="s">
        <v>97</v>
      </c>
      <c r="F26" s="150">
        <v>0</v>
      </c>
      <c r="G26" s="129"/>
      <c r="H26" s="165">
        <v>34000</v>
      </c>
      <c r="I26" s="165">
        <v>34000</v>
      </c>
      <c r="J26" s="163">
        <v>32000</v>
      </c>
      <c r="K26" s="163">
        <v>36000</v>
      </c>
      <c r="L26" s="163">
        <v>34000</v>
      </c>
      <c r="M26" s="163">
        <v>33916</v>
      </c>
      <c r="N26" s="163">
        <v>30904</v>
      </c>
      <c r="O26" s="163">
        <v>29011</v>
      </c>
      <c r="P26" s="163">
        <v>23334</v>
      </c>
      <c r="Q26" s="163">
        <v>24130</v>
      </c>
      <c r="R26" s="163">
        <v>28307</v>
      </c>
      <c r="S26" s="163">
        <v>33386</v>
      </c>
      <c r="T26" s="164">
        <v>0</v>
      </c>
      <c r="U26" s="129"/>
      <c r="V26" s="144">
        <f t="shared" si="1"/>
        <v>0</v>
      </c>
      <c r="W26" s="144">
        <f t="shared" si="2"/>
        <v>0</v>
      </c>
      <c r="X26" s="144">
        <f t="shared" si="3"/>
        <v>0</v>
      </c>
      <c r="Y26" s="144">
        <f t="shared" si="4"/>
        <v>0</v>
      </c>
      <c r="Z26" s="144">
        <f t="shared" si="5"/>
        <v>0</v>
      </c>
      <c r="AA26" s="144">
        <f t="shared" si="6"/>
        <v>0</v>
      </c>
      <c r="AB26" s="144">
        <f t="shared" si="7"/>
        <v>0</v>
      </c>
      <c r="AC26" s="144">
        <f t="shared" si="8"/>
        <v>0</v>
      </c>
      <c r="AD26" s="144">
        <f t="shared" si="9"/>
        <v>0</v>
      </c>
      <c r="AE26" s="144">
        <f t="shared" si="10"/>
        <v>0</v>
      </c>
      <c r="AF26" s="144">
        <f t="shared" si="11"/>
        <v>0</v>
      </c>
      <c r="AG26" s="144">
        <f t="shared" si="12"/>
        <v>0</v>
      </c>
      <c r="AH26" s="151">
        <f t="shared" si="13"/>
        <v>0</v>
      </c>
      <c r="AI26" s="213">
        <f t="shared" si="14"/>
        <v>0</v>
      </c>
      <c r="AK26" s="144">
        <f t="shared" si="15"/>
        <v>0</v>
      </c>
    </row>
    <row r="27" spans="1:37" x14ac:dyDescent="0.25">
      <c r="A27" s="121">
        <f t="shared" si="0"/>
        <v>21</v>
      </c>
      <c r="B27" s="160" t="s">
        <v>104</v>
      </c>
      <c r="C27" s="160" t="s">
        <v>84</v>
      </c>
      <c r="D27" s="160" t="s">
        <v>104</v>
      </c>
      <c r="E27" s="160" t="s">
        <v>98</v>
      </c>
      <c r="F27" s="149">
        <v>0</v>
      </c>
      <c r="G27" s="127"/>
      <c r="H27" s="161">
        <v>71111</v>
      </c>
      <c r="I27" s="161">
        <v>113147</v>
      </c>
      <c r="J27" s="161">
        <v>82712</v>
      </c>
      <c r="K27" s="161">
        <v>90918</v>
      </c>
      <c r="L27" s="161">
        <v>80087</v>
      </c>
      <c r="M27" s="161">
        <v>49539</v>
      </c>
      <c r="N27" s="161">
        <v>19141</v>
      </c>
      <c r="O27" s="161">
        <v>14417</v>
      </c>
      <c r="P27" s="161">
        <v>6034</v>
      </c>
      <c r="Q27" s="161">
        <v>6106</v>
      </c>
      <c r="R27" s="161">
        <v>13980</v>
      </c>
      <c r="S27" s="161">
        <v>34168</v>
      </c>
      <c r="T27" s="162">
        <v>58</v>
      </c>
      <c r="U27" s="127"/>
      <c r="V27" s="142">
        <f t="shared" si="1"/>
        <v>0</v>
      </c>
      <c r="W27" s="142">
        <f t="shared" si="2"/>
        <v>0</v>
      </c>
      <c r="X27" s="142">
        <f t="shared" si="3"/>
        <v>0</v>
      </c>
      <c r="Y27" s="142">
        <f t="shared" si="4"/>
        <v>0</v>
      </c>
      <c r="Z27" s="142">
        <f t="shared" si="5"/>
        <v>0</v>
      </c>
      <c r="AA27" s="142">
        <f t="shared" si="6"/>
        <v>0</v>
      </c>
      <c r="AB27" s="142">
        <f t="shared" si="7"/>
        <v>0</v>
      </c>
      <c r="AC27" s="142">
        <f t="shared" si="8"/>
        <v>0</v>
      </c>
      <c r="AD27" s="142">
        <f t="shared" si="9"/>
        <v>0</v>
      </c>
      <c r="AE27" s="142">
        <f t="shared" si="10"/>
        <v>0</v>
      </c>
      <c r="AF27" s="142">
        <f t="shared" si="11"/>
        <v>0</v>
      </c>
      <c r="AG27" s="142">
        <f t="shared" si="12"/>
        <v>0</v>
      </c>
      <c r="AH27" s="147">
        <f t="shared" si="13"/>
        <v>0</v>
      </c>
      <c r="AI27" s="211">
        <f t="shared" si="14"/>
        <v>0</v>
      </c>
      <c r="AK27" s="142">
        <f t="shared" si="15"/>
        <v>0</v>
      </c>
    </row>
    <row r="28" spans="1:37" x14ac:dyDescent="0.25">
      <c r="A28" s="121">
        <f t="shared" si="0"/>
        <v>22</v>
      </c>
      <c r="B28" s="159" t="s">
        <v>105</v>
      </c>
      <c r="C28" s="159" t="s">
        <v>84</v>
      </c>
      <c r="D28" s="159" t="s">
        <v>106</v>
      </c>
      <c r="E28" s="159" t="s">
        <v>97</v>
      </c>
      <c r="F28" s="150">
        <v>0</v>
      </c>
      <c r="G28" s="129"/>
      <c r="H28" s="163">
        <v>7056.9</v>
      </c>
      <c r="I28" s="163">
        <v>30000</v>
      </c>
      <c r="J28" s="163">
        <v>30000</v>
      </c>
      <c r="K28" s="163">
        <v>29943.8</v>
      </c>
      <c r="L28" s="163">
        <v>30000</v>
      </c>
      <c r="M28" s="163">
        <v>30000</v>
      </c>
      <c r="N28" s="163">
        <v>28690.799999999999</v>
      </c>
      <c r="O28" s="163">
        <v>23829.7</v>
      </c>
      <c r="P28" s="163">
        <v>22905.7</v>
      </c>
      <c r="Q28" s="163">
        <v>20013</v>
      </c>
      <c r="R28" s="163">
        <v>20771.5</v>
      </c>
      <c r="S28" s="163">
        <v>28851</v>
      </c>
      <c r="T28" s="164">
        <v>25411.200000000001</v>
      </c>
      <c r="U28" s="129"/>
      <c r="V28" s="143">
        <f t="shared" si="1"/>
        <v>0</v>
      </c>
      <c r="W28" s="143">
        <f t="shared" si="2"/>
        <v>0</v>
      </c>
      <c r="X28" s="143">
        <f t="shared" si="3"/>
        <v>0</v>
      </c>
      <c r="Y28" s="143">
        <f t="shared" si="4"/>
        <v>0</v>
      </c>
      <c r="Z28" s="143">
        <f t="shared" si="5"/>
        <v>0</v>
      </c>
      <c r="AA28" s="143">
        <f t="shared" si="6"/>
        <v>0</v>
      </c>
      <c r="AB28" s="143">
        <f t="shared" si="7"/>
        <v>0</v>
      </c>
      <c r="AC28" s="143">
        <f t="shared" si="8"/>
        <v>0</v>
      </c>
      <c r="AD28" s="143">
        <f t="shared" si="9"/>
        <v>0</v>
      </c>
      <c r="AE28" s="143">
        <f t="shared" si="10"/>
        <v>0</v>
      </c>
      <c r="AF28" s="143">
        <f t="shared" si="11"/>
        <v>0</v>
      </c>
      <c r="AG28" s="143">
        <f t="shared" si="12"/>
        <v>0</v>
      </c>
      <c r="AH28" s="148">
        <f t="shared" si="13"/>
        <v>0</v>
      </c>
      <c r="AI28" s="212">
        <f t="shared" si="14"/>
        <v>0</v>
      </c>
      <c r="AK28" s="143">
        <f t="shared" si="15"/>
        <v>0</v>
      </c>
    </row>
    <row r="29" spans="1:37" x14ac:dyDescent="0.25">
      <c r="A29" s="121">
        <f t="shared" si="0"/>
        <v>23</v>
      </c>
      <c r="B29" s="160" t="s">
        <v>106</v>
      </c>
      <c r="C29" s="160" t="s">
        <v>84</v>
      </c>
      <c r="D29" s="160" t="s">
        <v>106</v>
      </c>
      <c r="E29" s="160" t="s">
        <v>98</v>
      </c>
      <c r="F29" s="149">
        <v>0</v>
      </c>
      <c r="G29" s="127"/>
      <c r="H29" s="161">
        <v>8213.9</v>
      </c>
      <c r="I29" s="161">
        <v>44172.9</v>
      </c>
      <c r="J29" s="161">
        <v>56625.8</v>
      </c>
      <c r="K29" s="161">
        <v>48094</v>
      </c>
      <c r="L29" s="161">
        <v>52006.1</v>
      </c>
      <c r="M29" s="161">
        <v>39999.699999999997</v>
      </c>
      <c r="N29" s="161">
        <v>25734</v>
      </c>
      <c r="O29" s="161">
        <v>16062.5</v>
      </c>
      <c r="P29" s="161">
        <v>15584.8</v>
      </c>
      <c r="Q29" s="161">
        <v>13993.1</v>
      </c>
      <c r="R29" s="161">
        <v>16201.8</v>
      </c>
      <c r="S29" s="161">
        <v>17875.7</v>
      </c>
      <c r="T29" s="162">
        <v>28101.8</v>
      </c>
      <c r="U29" s="127"/>
      <c r="V29" s="142">
        <f t="shared" si="1"/>
        <v>0</v>
      </c>
      <c r="W29" s="142">
        <f t="shared" si="2"/>
        <v>0</v>
      </c>
      <c r="X29" s="142">
        <f t="shared" si="3"/>
        <v>0</v>
      </c>
      <c r="Y29" s="142">
        <f t="shared" si="4"/>
        <v>0</v>
      </c>
      <c r="Z29" s="142">
        <f t="shared" si="5"/>
        <v>0</v>
      </c>
      <c r="AA29" s="142">
        <f t="shared" si="6"/>
        <v>0</v>
      </c>
      <c r="AB29" s="142">
        <f t="shared" si="7"/>
        <v>0</v>
      </c>
      <c r="AC29" s="142">
        <f t="shared" si="8"/>
        <v>0</v>
      </c>
      <c r="AD29" s="142">
        <f t="shared" si="9"/>
        <v>0</v>
      </c>
      <c r="AE29" s="142">
        <f t="shared" si="10"/>
        <v>0</v>
      </c>
      <c r="AF29" s="142">
        <f t="shared" si="11"/>
        <v>0</v>
      </c>
      <c r="AG29" s="142">
        <f t="shared" si="12"/>
        <v>0</v>
      </c>
      <c r="AH29" s="147">
        <f t="shared" si="13"/>
        <v>0</v>
      </c>
      <c r="AI29" s="211">
        <f t="shared" si="14"/>
        <v>0</v>
      </c>
      <c r="AK29" s="142">
        <f t="shared" si="15"/>
        <v>0</v>
      </c>
    </row>
    <row r="30" spans="1:37" x14ac:dyDescent="0.25">
      <c r="A30" s="121">
        <f t="shared" si="0"/>
        <v>24</v>
      </c>
      <c r="B30" s="159" t="s">
        <v>107</v>
      </c>
      <c r="C30" s="159" t="s">
        <v>84</v>
      </c>
      <c r="D30" s="159" t="s">
        <v>108</v>
      </c>
      <c r="E30" s="159" t="s">
        <v>97</v>
      </c>
      <c r="F30" s="150">
        <v>0</v>
      </c>
      <c r="G30" s="129"/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4">
        <v>0</v>
      </c>
      <c r="U30" s="129"/>
      <c r="V30" s="143">
        <f t="shared" si="1"/>
        <v>0</v>
      </c>
      <c r="W30" s="143">
        <f t="shared" si="2"/>
        <v>0</v>
      </c>
      <c r="X30" s="143">
        <f t="shared" si="3"/>
        <v>0</v>
      </c>
      <c r="Y30" s="143">
        <f t="shared" si="4"/>
        <v>0</v>
      </c>
      <c r="Z30" s="143">
        <f t="shared" si="5"/>
        <v>0</v>
      </c>
      <c r="AA30" s="143">
        <f t="shared" si="6"/>
        <v>0</v>
      </c>
      <c r="AB30" s="143">
        <f t="shared" si="7"/>
        <v>0</v>
      </c>
      <c r="AC30" s="143">
        <f t="shared" si="8"/>
        <v>0</v>
      </c>
      <c r="AD30" s="143">
        <f t="shared" si="9"/>
        <v>0</v>
      </c>
      <c r="AE30" s="143">
        <f t="shared" si="10"/>
        <v>0</v>
      </c>
      <c r="AF30" s="143">
        <f t="shared" si="11"/>
        <v>0</v>
      </c>
      <c r="AG30" s="143">
        <f t="shared" si="12"/>
        <v>0</v>
      </c>
      <c r="AH30" s="148">
        <f t="shared" si="13"/>
        <v>0</v>
      </c>
      <c r="AI30" s="212">
        <f t="shared" si="14"/>
        <v>0</v>
      </c>
      <c r="AK30" s="143">
        <f t="shared" si="15"/>
        <v>0</v>
      </c>
    </row>
    <row r="31" spans="1:37" x14ac:dyDescent="0.25">
      <c r="A31" s="121">
        <f t="shared" si="0"/>
        <v>25</v>
      </c>
      <c r="B31" s="160" t="s">
        <v>108</v>
      </c>
      <c r="C31" s="160" t="s">
        <v>84</v>
      </c>
      <c r="D31" s="160" t="s">
        <v>108</v>
      </c>
      <c r="E31" s="160" t="s">
        <v>98</v>
      </c>
      <c r="F31" s="149">
        <v>0</v>
      </c>
      <c r="G31" s="127"/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2">
        <v>0</v>
      </c>
      <c r="U31" s="127"/>
      <c r="V31" s="142">
        <f t="shared" si="1"/>
        <v>0</v>
      </c>
      <c r="W31" s="142">
        <f t="shared" si="2"/>
        <v>0</v>
      </c>
      <c r="X31" s="142">
        <f t="shared" si="3"/>
        <v>0</v>
      </c>
      <c r="Y31" s="142">
        <f t="shared" si="4"/>
        <v>0</v>
      </c>
      <c r="Z31" s="142">
        <f t="shared" si="5"/>
        <v>0</v>
      </c>
      <c r="AA31" s="142">
        <f t="shared" si="6"/>
        <v>0</v>
      </c>
      <c r="AB31" s="142">
        <f t="shared" si="7"/>
        <v>0</v>
      </c>
      <c r="AC31" s="142">
        <f t="shared" si="8"/>
        <v>0</v>
      </c>
      <c r="AD31" s="142">
        <f t="shared" si="9"/>
        <v>0</v>
      </c>
      <c r="AE31" s="142">
        <f t="shared" si="10"/>
        <v>0</v>
      </c>
      <c r="AF31" s="142">
        <f t="shared" si="11"/>
        <v>0</v>
      </c>
      <c r="AG31" s="142">
        <f t="shared" si="12"/>
        <v>0</v>
      </c>
      <c r="AH31" s="147">
        <f t="shared" si="13"/>
        <v>0</v>
      </c>
      <c r="AI31" s="211">
        <f t="shared" si="14"/>
        <v>0</v>
      </c>
      <c r="AK31" s="142">
        <f t="shared" si="15"/>
        <v>0</v>
      </c>
    </row>
    <row r="32" spans="1:37" x14ac:dyDescent="0.25">
      <c r="A32" s="121">
        <f t="shared" si="0"/>
        <v>26</v>
      </c>
      <c r="B32" s="159" t="s">
        <v>109</v>
      </c>
      <c r="C32" s="159" t="s">
        <v>84</v>
      </c>
      <c r="D32" s="159" t="s">
        <v>110</v>
      </c>
      <c r="E32" s="159" t="s">
        <v>97</v>
      </c>
      <c r="F32" s="150">
        <v>-1.3390000000000001E-2</v>
      </c>
      <c r="G32" s="129"/>
      <c r="H32" s="163">
        <v>22129.3</v>
      </c>
      <c r="I32" s="163">
        <v>57644.800000000003</v>
      </c>
      <c r="J32" s="163">
        <v>58591.8</v>
      </c>
      <c r="K32" s="163">
        <v>56053.5</v>
      </c>
      <c r="L32" s="163">
        <v>56794.3</v>
      </c>
      <c r="M32" s="163">
        <v>51221.9</v>
      </c>
      <c r="N32" s="163">
        <v>43438.8</v>
      </c>
      <c r="O32" s="163">
        <v>36008.699999999997</v>
      </c>
      <c r="P32" s="163">
        <v>33771.9</v>
      </c>
      <c r="Q32" s="163">
        <v>16158.8</v>
      </c>
      <c r="R32" s="163">
        <v>25782.5</v>
      </c>
      <c r="S32" s="163">
        <v>44271.7</v>
      </c>
      <c r="T32" s="164">
        <v>34975.199999999997</v>
      </c>
      <c r="U32" s="129"/>
      <c r="V32" s="143">
        <f t="shared" si="1"/>
        <v>-296.31</v>
      </c>
      <c r="W32" s="143">
        <f t="shared" si="2"/>
        <v>-771.86</v>
      </c>
      <c r="X32" s="143">
        <f t="shared" si="3"/>
        <v>-784.54</v>
      </c>
      <c r="Y32" s="143">
        <f t="shared" si="4"/>
        <v>-750.56</v>
      </c>
      <c r="Z32" s="143">
        <f t="shared" si="5"/>
        <v>-760.48</v>
      </c>
      <c r="AA32" s="143">
        <f t="shared" si="6"/>
        <v>-685.86</v>
      </c>
      <c r="AB32" s="143">
        <f t="shared" si="7"/>
        <v>-581.65</v>
      </c>
      <c r="AC32" s="143">
        <f t="shared" si="8"/>
        <v>-482.16</v>
      </c>
      <c r="AD32" s="143">
        <f t="shared" si="9"/>
        <v>-452.21</v>
      </c>
      <c r="AE32" s="143">
        <f t="shared" si="10"/>
        <v>-216.37</v>
      </c>
      <c r="AF32" s="143">
        <f t="shared" si="11"/>
        <v>-345.23</v>
      </c>
      <c r="AG32" s="143">
        <f t="shared" si="12"/>
        <v>-592.79999999999995</v>
      </c>
      <c r="AH32" s="148">
        <f t="shared" si="13"/>
        <v>-468.32</v>
      </c>
      <c r="AI32" s="212">
        <f t="shared" si="14"/>
        <v>-7188.3499999999995</v>
      </c>
      <c r="AK32" s="143">
        <f t="shared" si="15"/>
        <v>-7516.992930940728</v>
      </c>
    </row>
    <row r="33" spans="1:37" x14ac:dyDescent="0.25">
      <c r="A33" s="121">
        <f t="shared" si="0"/>
        <v>27</v>
      </c>
      <c r="B33" s="159" t="s">
        <v>110</v>
      </c>
      <c r="C33" s="159" t="s">
        <v>84</v>
      </c>
      <c r="D33" s="159" t="s">
        <v>110</v>
      </c>
      <c r="E33" s="159" t="s">
        <v>98</v>
      </c>
      <c r="F33" s="150">
        <v>-1.1990000000000001E-2</v>
      </c>
      <c r="G33" s="129"/>
      <c r="H33" s="163">
        <v>16953.2</v>
      </c>
      <c r="I33" s="163">
        <v>58979.3</v>
      </c>
      <c r="J33" s="163">
        <v>69307</v>
      </c>
      <c r="K33" s="163">
        <v>58958.2</v>
      </c>
      <c r="L33" s="163">
        <v>55300.5</v>
      </c>
      <c r="M33" s="163">
        <v>40656</v>
      </c>
      <c r="N33" s="163">
        <v>29740.400000000001</v>
      </c>
      <c r="O33" s="163">
        <v>22355</v>
      </c>
      <c r="P33" s="163">
        <v>19739.7</v>
      </c>
      <c r="Q33" s="163">
        <v>16066.5</v>
      </c>
      <c r="R33" s="163">
        <v>11834.1</v>
      </c>
      <c r="S33" s="163">
        <v>15161.2</v>
      </c>
      <c r="T33" s="164">
        <v>24294</v>
      </c>
      <c r="U33" s="129"/>
      <c r="V33" s="143">
        <f t="shared" si="1"/>
        <v>-203.27</v>
      </c>
      <c r="W33" s="143">
        <f t="shared" si="2"/>
        <v>-707.16</v>
      </c>
      <c r="X33" s="143">
        <f t="shared" si="3"/>
        <v>-830.99</v>
      </c>
      <c r="Y33" s="143">
        <f t="shared" si="4"/>
        <v>-706.91</v>
      </c>
      <c r="Z33" s="143">
        <f t="shared" si="5"/>
        <v>-663.05</v>
      </c>
      <c r="AA33" s="143">
        <f t="shared" si="6"/>
        <v>-487.47</v>
      </c>
      <c r="AB33" s="143">
        <f t="shared" si="7"/>
        <v>-356.59</v>
      </c>
      <c r="AC33" s="143">
        <f t="shared" si="8"/>
        <v>-268.04000000000002</v>
      </c>
      <c r="AD33" s="143">
        <f t="shared" si="9"/>
        <v>-236.68</v>
      </c>
      <c r="AE33" s="143">
        <f t="shared" si="10"/>
        <v>-192.64</v>
      </c>
      <c r="AF33" s="143">
        <f t="shared" si="11"/>
        <v>-141.88999999999999</v>
      </c>
      <c r="AG33" s="143">
        <f t="shared" si="12"/>
        <v>-181.78</v>
      </c>
      <c r="AH33" s="148">
        <f t="shared" si="13"/>
        <v>-291.29000000000002</v>
      </c>
      <c r="AI33" s="212">
        <f t="shared" si="14"/>
        <v>-5267.7600000000011</v>
      </c>
      <c r="AK33" s="143">
        <f t="shared" si="15"/>
        <v>-5508.5958087589415</v>
      </c>
    </row>
    <row r="34" spans="1:37" x14ac:dyDescent="0.25">
      <c r="A34" s="121">
        <f t="shared" si="0"/>
        <v>28</v>
      </c>
      <c r="B34" s="159"/>
      <c r="C34" s="159" t="s">
        <v>84</v>
      </c>
      <c r="D34" s="159" t="s">
        <v>110</v>
      </c>
      <c r="E34" s="159" t="s">
        <v>111</v>
      </c>
      <c r="F34" s="150">
        <v>-9.1900000000000003E-3</v>
      </c>
      <c r="G34" s="129"/>
      <c r="H34" s="163">
        <v>0</v>
      </c>
      <c r="I34" s="163">
        <v>18271.099999999999</v>
      </c>
      <c r="J34" s="163">
        <v>22224.7</v>
      </c>
      <c r="K34" s="163">
        <v>15158</v>
      </c>
      <c r="L34" s="163">
        <v>20000</v>
      </c>
      <c r="M34" s="163">
        <v>15284.2</v>
      </c>
      <c r="N34" s="163">
        <v>8446.9</v>
      </c>
      <c r="O34" s="163">
        <v>5464</v>
      </c>
      <c r="P34" s="163">
        <v>0</v>
      </c>
      <c r="Q34" s="163">
        <v>0</v>
      </c>
      <c r="R34" s="163">
        <v>0</v>
      </c>
      <c r="S34" s="163">
        <v>0</v>
      </c>
      <c r="T34" s="164">
        <v>0</v>
      </c>
      <c r="U34" s="129"/>
      <c r="V34" s="143">
        <f t="shared" si="1"/>
        <v>0</v>
      </c>
      <c r="W34" s="143">
        <f t="shared" si="2"/>
        <v>-167.91</v>
      </c>
      <c r="X34" s="143">
        <f t="shared" si="3"/>
        <v>-204.24</v>
      </c>
      <c r="Y34" s="143">
        <f t="shared" si="4"/>
        <v>-139.30000000000001</v>
      </c>
      <c r="Z34" s="143">
        <f t="shared" si="5"/>
        <v>-183.8</v>
      </c>
      <c r="AA34" s="143">
        <f t="shared" si="6"/>
        <v>-140.46</v>
      </c>
      <c r="AB34" s="143">
        <f t="shared" si="7"/>
        <v>-77.63</v>
      </c>
      <c r="AC34" s="143">
        <f t="shared" si="8"/>
        <v>-50.21</v>
      </c>
      <c r="AD34" s="143">
        <f t="shared" si="9"/>
        <v>0</v>
      </c>
      <c r="AE34" s="143">
        <f t="shared" si="10"/>
        <v>0</v>
      </c>
      <c r="AF34" s="143">
        <f t="shared" si="11"/>
        <v>0</v>
      </c>
      <c r="AG34" s="143">
        <f t="shared" si="12"/>
        <v>0</v>
      </c>
      <c r="AH34" s="148">
        <f t="shared" si="13"/>
        <v>0</v>
      </c>
      <c r="AI34" s="212">
        <f t="shared" si="14"/>
        <v>-963.55000000000007</v>
      </c>
      <c r="AK34" s="143">
        <f t="shared" si="15"/>
        <v>-1007.6023758731752</v>
      </c>
    </row>
    <row r="35" spans="1:37" x14ac:dyDescent="0.25">
      <c r="A35" s="121">
        <f t="shared" si="0"/>
        <v>29</v>
      </c>
      <c r="B35" s="159"/>
      <c r="C35" s="159" t="s">
        <v>84</v>
      </c>
      <c r="D35" s="159" t="s">
        <v>110</v>
      </c>
      <c r="E35" s="159" t="s">
        <v>112</v>
      </c>
      <c r="F35" s="150">
        <v>-7.3499999999999998E-3</v>
      </c>
      <c r="G35" s="129"/>
      <c r="H35" s="163">
        <v>0</v>
      </c>
      <c r="I35" s="163">
        <v>0</v>
      </c>
      <c r="J35" s="163">
        <v>0</v>
      </c>
      <c r="K35" s="163">
        <v>0</v>
      </c>
      <c r="L35" s="163">
        <v>1693.6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4">
        <v>0</v>
      </c>
      <c r="U35" s="129"/>
      <c r="V35" s="143">
        <f t="shared" si="1"/>
        <v>0</v>
      </c>
      <c r="W35" s="143">
        <f t="shared" si="2"/>
        <v>0</v>
      </c>
      <c r="X35" s="143">
        <f t="shared" si="3"/>
        <v>0</v>
      </c>
      <c r="Y35" s="143">
        <f t="shared" si="4"/>
        <v>0</v>
      </c>
      <c r="Z35" s="143">
        <f t="shared" si="5"/>
        <v>-12.45</v>
      </c>
      <c r="AA35" s="143">
        <f t="shared" si="6"/>
        <v>0</v>
      </c>
      <c r="AB35" s="143">
        <f t="shared" si="7"/>
        <v>0</v>
      </c>
      <c r="AC35" s="143">
        <f t="shared" si="8"/>
        <v>0</v>
      </c>
      <c r="AD35" s="143">
        <f t="shared" si="9"/>
        <v>0</v>
      </c>
      <c r="AE35" s="143">
        <f t="shared" si="10"/>
        <v>0</v>
      </c>
      <c r="AF35" s="143">
        <f t="shared" si="11"/>
        <v>0</v>
      </c>
      <c r="AG35" s="143">
        <f t="shared" si="12"/>
        <v>0</v>
      </c>
      <c r="AH35" s="148">
        <f t="shared" si="13"/>
        <v>0</v>
      </c>
      <c r="AI35" s="212">
        <f t="shared" si="14"/>
        <v>-12.45</v>
      </c>
      <c r="AK35" s="143">
        <f t="shared" si="15"/>
        <v>-13.019199397665954</v>
      </c>
    </row>
    <row r="36" spans="1:37" x14ac:dyDescent="0.25">
      <c r="A36" s="121">
        <f t="shared" si="0"/>
        <v>30</v>
      </c>
      <c r="B36" s="159"/>
      <c r="C36" s="159" t="s">
        <v>84</v>
      </c>
      <c r="D36" s="159" t="s">
        <v>110</v>
      </c>
      <c r="E36" s="159" t="s">
        <v>113</v>
      </c>
      <c r="F36" s="150">
        <v>-4.9100000000000003E-3</v>
      </c>
      <c r="G36" s="129"/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4">
        <v>0</v>
      </c>
      <c r="U36" s="129"/>
      <c r="V36" s="143">
        <f t="shared" si="1"/>
        <v>0</v>
      </c>
      <c r="W36" s="143">
        <f t="shared" si="2"/>
        <v>0</v>
      </c>
      <c r="X36" s="143">
        <f t="shared" si="3"/>
        <v>0</v>
      </c>
      <c r="Y36" s="143">
        <f t="shared" si="4"/>
        <v>0</v>
      </c>
      <c r="Z36" s="143">
        <f t="shared" si="5"/>
        <v>0</v>
      </c>
      <c r="AA36" s="143">
        <f t="shared" si="6"/>
        <v>0</v>
      </c>
      <c r="AB36" s="143">
        <f t="shared" si="7"/>
        <v>0</v>
      </c>
      <c r="AC36" s="143">
        <f t="shared" si="8"/>
        <v>0</v>
      </c>
      <c r="AD36" s="143">
        <f t="shared" si="9"/>
        <v>0</v>
      </c>
      <c r="AE36" s="143">
        <f t="shared" si="10"/>
        <v>0</v>
      </c>
      <c r="AF36" s="143">
        <f t="shared" si="11"/>
        <v>0</v>
      </c>
      <c r="AG36" s="143">
        <f t="shared" si="12"/>
        <v>0</v>
      </c>
      <c r="AH36" s="148">
        <f t="shared" si="13"/>
        <v>0</v>
      </c>
      <c r="AI36" s="212">
        <f t="shared" si="14"/>
        <v>0</v>
      </c>
      <c r="AK36" s="143">
        <f t="shared" si="15"/>
        <v>0</v>
      </c>
    </row>
    <row r="37" spans="1:37" x14ac:dyDescent="0.25">
      <c r="A37" s="121">
        <f t="shared" si="0"/>
        <v>31</v>
      </c>
      <c r="B37" s="160"/>
      <c r="C37" s="160" t="s">
        <v>84</v>
      </c>
      <c r="D37" s="160" t="s">
        <v>110</v>
      </c>
      <c r="E37" s="160" t="s">
        <v>114</v>
      </c>
      <c r="F37" s="149">
        <v>-1.8400000000000001E-3</v>
      </c>
      <c r="G37" s="127"/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2">
        <v>0</v>
      </c>
      <c r="U37" s="127"/>
      <c r="V37" s="142">
        <f t="shared" si="1"/>
        <v>0</v>
      </c>
      <c r="W37" s="142">
        <f t="shared" si="2"/>
        <v>0</v>
      </c>
      <c r="X37" s="142">
        <f t="shared" si="3"/>
        <v>0</v>
      </c>
      <c r="Y37" s="142">
        <f t="shared" si="4"/>
        <v>0</v>
      </c>
      <c r="Z37" s="142">
        <f t="shared" si="5"/>
        <v>0</v>
      </c>
      <c r="AA37" s="142">
        <f t="shared" si="6"/>
        <v>0</v>
      </c>
      <c r="AB37" s="142">
        <f t="shared" si="7"/>
        <v>0</v>
      </c>
      <c r="AC37" s="142">
        <f t="shared" si="8"/>
        <v>0</v>
      </c>
      <c r="AD37" s="142">
        <f t="shared" si="9"/>
        <v>0</v>
      </c>
      <c r="AE37" s="142">
        <f t="shared" si="10"/>
        <v>0</v>
      </c>
      <c r="AF37" s="142">
        <f t="shared" si="11"/>
        <v>0</v>
      </c>
      <c r="AG37" s="142">
        <f t="shared" si="12"/>
        <v>0</v>
      </c>
      <c r="AH37" s="147">
        <f t="shared" si="13"/>
        <v>0</v>
      </c>
      <c r="AI37" s="211">
        <f t="shared" si="14"/>
        <v>0</v>
      </c>
      <c r="AK37" s="142">
        <f t="shared" si="15"/>
        <v>0</v>
      </c>
    </row>
    <row r="38" spans="1:37" ht="12" customHeight="1" x14ac:dyDescent="0.25">
      <c r="A38" s="121">
        <f t="shared" si="0"/>
        <v>32</v>
      </c>
      <c r="B38" s="159" t="s">
        <v>115</v>
      </c>
      <c r="C38" s="159" t="s">
        <v>84</v>
      </c>
      <c r="D38" s="159" t="s">
        <v>116</v>
      </c>
      <c r="E38" s="159" t="s">
        <v>97</v>
      </c>
      <c r="F38" s="150">
        <v>0</v>
      </c>
      <c r="G38" s="129"/>
      <c r="H38" s="163">
        <v>63871.7</v>
      </c>
      <c r="I38" s="163">
        <v>112087.1</v>
      </c>
      <c r="J38" s="163">
        <v>112320.8</v>
      </c>
      <c r="K38" s="163">
        <v>105677.8</v>
      </c>
      <c r="L38" s="163">
        <v>104675.2</v>
      </c>
      <c r="M38" s="163">
        <v>105097.7</v>
      </c>
      <c r="N38" s="163">
        <v>89207.2</v>
      </c>
      <c r="O38" s="163">
        <v>76220.399999999994</v>
      </c>
      <c r="P38" s="163">
        <v>65223.6</v>
      </c>
      <c r="Q38" s="163">
        <v>69689</v>
      </c>
      <c r="R38" s="163">
        <v>69364.899999999994</v>
      </c>
      <c r="S38" s="163">
        <v>77412.7</v>
      </c>
      <c r="T38" s="164">
        <v>45259.1</v>
      </c>
      <c r="U38" s="129"/>
      <c r="V38" s="143">
        <f t="shared" si="1"/>
        <v>0</v>
      </c>
      <c r="W38" s="143">
        <f t="shared" si="2"/>
        <v>0</v>
      </c>
      <c r="X38" s="143">
        <f t="shared" si="3"/>
        <v>0</v>
      </c>
      <c r="Y38" s="143">
        <f t="shared" si="4"/>
        <v>0</v>
      </c>
      <c r="Z38" s="143">
        <f t="shared" si="5"/>
        <v>0</v>
      </c>
      <c r="AA38" s="143">
        <f t="shared" si="6"/>
        <v>0</v>
      </c>
      <c r="AB38" s="143">
        <f t="shared" si="7"/>
        <v>0</v>
      </c>
      <c r="AC38" s="143">
        <f t="shared" si="8"/>
        <v>0</v>
      </c>
      <c r="AD38" s="143">
        <f t="shared" si="9"/>
        <v>0</v>
      </c>
      <c r="AE38" s="143">
        <f t="shared" si="10"/>
        <v>0</v>
      </c>
      <c r="AF38" s="143">
        <f t="shared" si="11"/>
        <v>0</v>
      </c>
      <c r="AG38" s="143">
        <f t="shared" si="12"/>
        <v>0</v>
      </c>
      <c r="AH38" s="148">
        <f t="shared" si="13"/>
        <v>0</v>
      </c>
      <c r="AI38" s="212">
        <f t="shared" si="14"/>
        <v>0</v>
      </c>
      <c r="AK38" s="143">
        <f t="shared" si="15"/>
        <v>0</v>
      </c>
    </row>
    <row r="39" spans="1:37" x14ac:dyDescent="0.25">
      <c r="A39" s="121">
        <f t="shared" si="0"/>
        <v>33</v>
      </c>
      <c r="B39" s="159" t="s">
        <v>116</v>
      </c>
      <c r="C39" s="159" t="s">
        <v>84</v>
      </c>
      <c r="D39" s="159" t="s">
        <v>116</v>
      </c>
      <c r="E39" s="159" t="s">
        <v>98</v>
      </c>
      <c r="F39" s="150">
        <v>0</v>
      </c>
      <c r="G39" s="129"/>
      <c r="H39" s="163">
        <v>45625.2</v>
      </c>
      <c r="I39" s="163">
        <v>78801.3</v>
      </c>
      <c r="J39" s="163">
        <v>100147.2</v>
      </c>
      <c r="K39" s="163">
        <v>80098</v>
      </c>
      <c r="L39" s="163">
        <v>81043.600000000006</v>
      </c>
      <c r="M39" s="163">
        <v>68562.3</v>
      </c>
      <c r="N39" s="163">
        <v>42669.9</v>
      </c>
      <c r="O39" s="163">
        <v>43368.9</v>
      </c>
      <c r="P39" s="163">
        <v>22118</v>
      </c>
      <c r="Q39" s="163">
        <v>39050.300000000003</v>
      </c>
      <c r="R39" s="163">
        <v>40146.699999999997</v>
      </c>
      <c r="S39" s="163">
        <v>44352.6</v>
      </c>
      <c r="T39" s="164">
        <v>32643.1</v>
      </c>
      <c r="U39" s="129"/>
      <c r="V39" s="143">
        <f t="shared" si="1"/>
        <v>0</v>
      </c>
      <c r="W39" s="143">
        <f t="shared" si="2"/>
        <v>0</v>
      </c>
      <c r="X39" s="143">
        <f t="shared" si="3"/>
        <v>0</v>
      </c>
      <c r="Y39" s="143">
        <f t="shared" si="4"/>
        <v>0</v>
      </c>
      <c r="Z39" s="143">
        <f t="shared" si="5"/>
        <v>0</v>
      </c>
      <c r="AA39" s="143">
        <f t="shared" si="6"/>
        <v>0</v>
      </c>
      <c r="AB39" s="143">
        <f t="shared" si="7"/>
        <v>0</v>
      </c>
      <c r="AC39" s="143">
        <f t="shared" si="8"/>
        <v>0</v>
      </c>
      <c r="AD39" s="143">
        <f t="shared" si="9"/>
        <v>0</v>
      </c>
      <c r="AE39" s="143">
        <f t="shared" si="10"/>
        <v>0</v>
      </c>
      <c r="AF39" s="143">
        <f t="shared" si="11"/>
        <v>0</v>
      </c>
      <c r="AG39" s="143">
        <f t="shared" si="12"/>
        <v>0</v>
      </c>
      <c r="AH39" s="148">
        <f t="shared" si="13"/>
        <v>0</v>
      </c>
      <c r="AI39" s="212">
        <f t="shared" si="14"/>
        <v>0</v>
      </c>
      <c r="AK39" s="143">
        <f t="shared" si="15"/>
        <v>0</v>
      </c>
    </row>
    <row r="40" spans="1:37" x14ac:dyDescent="0.25">
      <c r="A40" s="121">
        <f t="shared" si="0"/>
        <v>34</v>
      </c>
      <c r="B40" s="159"/>
      <c r="C40" s="159" t="s">
        <v>84</v>
      </c>
      <c r="D40" s="159" t="s">
        <v>116</v>
      </c>
      <c r="E40" s="159" t="s">
        <v>111</v>
      </c>
      <c r="F40" s="150">
        <v>0</v>
      </c>
      <c r="G40" s="129"/>
      <c r="H40" s="163">
        <v>378</v>
      </c>
      <c r="I40" s="163">
        <v>7855.2</v>
      </c>
      <c r="J40" s="163">
        <v>30782.799999999999</v>
      </c>
      <c r="K40" s="163">
        <v>6265.3</v>
      </c>
      <c r="L40" s="163">
        <v>13304.8</v>
      </c>
      <c r="M40" s="163">
        <v>6660</v>
      </c>
      <c r="N40" s="163">
        <v>6076</v>
      </c>
      <c r="O40" s="163">
        <v>2248</v>
      </c>
      <c r="P40" s="163">
        <v>0</v>
      </c>
      <c r="Q40" s="163">
        <v>1304</v>
      </c>
      <c r="R40" s="163">
        <v>2329.4</v>
      </c>
      <c r="S40" s="163">
        <v>4403.3999999999996</v>
      </c>
      <c r="T40" s="164">
        <v>5540.4</v>
      </c>
      <c r="U40" s="129"/>
      <c r="V40" s="143">
        <f t="shared" si="1"/>
        <v>0</v>
      </c>
      <c r="W40" s="143">
        <f t="shared" si="2"/>
        <v>0</v>
      </c>
      <c r="X40" s="143">
        <f t="shared" si="3"/>
        <v>0</v>
      </c>
      <c r="Y40" s="143">
        <f t="shared" si="4"/>
        <v>0</v>
      </c>
      <c r="Z40" s="143">
        <f t="shared" si="5"/>
        <v>0</v>
      </c>
      <c r="AA40" s="143">
        <f t="shared" si="6"/>
        <v>0</v>
      </c>
      <c r="AB40" s="143">
        <f t="shared" si="7"/>
        <v>0</v>
      </c>
      <c r="AC40" s="143">
        <f t="shared" si="8"/>
        <v>0</v>
      </c>
      <c r="AD40" s="143">
        <f t="shared" si="9"/>
        <v>0</v>
      </c>
      <c r="AE40" s="143">
        <f t="shared" si="10"/>
        <v>0</v>
      </c>
      <c r="AF40" s="143">
        <f t="shared" si="11"/>
        <v>0</v>
      </c>
      <c r="AG40" s="143">
        <f t="shared" si="12"/>
        <v>0</v>
      </c>
      <c r="AH40" s="148">
        <f t="shared" si="13"/>
        <v>0</v>
      </c>
      <c r="AI40" s="212">
        <f t="shared" si="14"/>
        <v>0</v>
      </c>
      <c r="AK40" s="143">
        <f t="shared" si="15"/>
        <v>0</v>
      </c>
    </row>
    <row r="41" spans="1:37" x14ac:dyDescent="0.25">
      <c r="A41" s="121">
        <f t="shared" si="0"/>
        <v>35</v>
      </c>
      <c r="B41" s="159"/>
      <c r="C41" s="159" t="s">
        <v>84</v>
      </c>
      <c r="D41" s="159" t="s">
        <v>116</v>
      </c>
      <c r="E41" s="159" t="s">
        <v>112</v>
      </c>
      <c r="F41" s="150">
        <v>0</v>
      </c>
      <c r="G41" s="129"/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163">
        <v>0</v>
      </c>
      <c r="T41" s="164">
        <v>0</v>
      </c>
      <c r="U41" s="129"/>
      <c r="V41" s="143">
        <f t="shared" si="1"/>
        <v>0</v>
      </c>
      <c r="W41" s="143">
        <f t="shared" si="2"/>
        <v>0</v>
      </c>
      <c r="X41" s="143">
        <f t="shared" si="3"/>
        <v>0</v>
      </c>
      <c r="Y41" s="143">
        <f t="shared" si="4"/>
        <v>0</v>
      </c>
      <c r="Z41" s="143">
        <f t="shared" si="5"/>
        <v>0</v>
      </c>
      <c r="AA41" s="143">
        <f t="shared" si="6"/>
        <v>0</v>
      </c>
      <c r="AB41" s="143">
        <f t="shared" si="7"/>
        <v>0</v>
      </c>
      <c r="AC41" s="143">
        <f t="shared" si="8"/>
        <v>0</v>
      </c>
      <c r="AD41" s="143">
        <f t="shared" si="9"/>
        <v>0</v>
      </c>
      <c r="AE41" s="143">
        <f t="shared" si="10"/>
        <v>0</v>
      </c>
      <c r="AF41" s="143">
        <f t="shared" si="11"/>
        <v>0</v>
      </c>
      <c r="AG41" s="143">
        <f t="shared" si="12"/>
        <v>0</v>
      </c>
      <c r="AH41" s="148">
        <f t="shared" si="13"/>
        <v>0</v>
      </c>
      <c r="AI41" s="212">
        <f t="shared" si="14"/>
        <v>0</v>
      </c>
      <c r="AK41" s="143">
        <f t="shared" si="15"/>
        <v>0</v>
      </c>
    </row>
    <row r="42" spans="1:37" x14ac:dyDescent="0.25">
      <c r="A42" s="121">
        <f t="shared" si="0"/>
        <v>36</v>
      </c>
      <c r="B42" s="159"/>
      <c r="C42" s="159" t="s">
        <v>84</v>
      </c>
      <c r="D42" s="159" t="s">
        <v>116</v>
      </c>
      <c r="E42" s="159" t="s">
        <v>113</v>
      </c>
      <c r="F42" s="150">
        <v>0</v>
      </c>
      <c r="G42" s="129"/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163">
        <v>0</v>
      </c>
      <c r="T42" s="164">
        <v>0</v>
      </c>
      <c r="U42" s="129"/>
      <c r="V42" s="143">
        <f t="shared" si="1"/>
        <v>0</v>
      </c>
      <c r="W42" s="143">
        <f t="shared" si="2"/>
        <v>0</v>
      </c>
      <c r="X42" s="143">
        <f t="shared" si="3"/>
        <v>0</v>
      </c>
      <c r="Y42" s="143">
        <f t="shared" si="4"/>
        <v>0</v>
      </c>
      <c r="Z42" s="143">
        <f t="shared" si="5"/>
        <v>0</v>
      </c>
      <c r="AA42" s="143">
        <f t="shared" si="6"/>
        <v>0</v>
      </c>
      <c r="AB42" s="143">
        <f t="shared" si="7"/>
        <v>0</v>
      </c>
      <c r="AC42" s="143">
        <f t="shared" si="8"/>
        <v>0</v>
      </c>
      <c r="AD42" s="143">
        <f t="shared" si="9"/>
        <v>0</v>
      </c>
      <c r="AE42" s="143">
        <f t="shared" si="10"/>
        <v>0</v>
      </c>
      <c r="AF42" s="143">
        <f t="shared" si="11"/>
        <v>0</v>
      </c>
      <c r="AG42" s="143">
        <f t="shared" si="12"/>
        <v>0</v>
      </c>
      <c r="AH42" s="148">
        <f t="shared" si="13"/>
        <v>0</v>
      </c>
      <c r="AI42" s="212">
        <f t="shared" si="14"/>
        <v>0</v>
      </c>
      <c r="AK42" s="143">
        <f t="shared" si="15"/>
        <v>0</v>
      </c>
    </row>
    <row r="43" spans="1:37" x14ac:dyDescent="0.25">
      <c r="A43" s="121">
        <f t="shared" si="0"/>
        <v>37</v>
      </c>
      <c r="B43" s="160"/>
      <c r="C43" s="160" t="s">
        <v>84</v>
      </c>
      <c r="D43" s="160" t="s">
        <v>116</v>
      </c>
      <c r="E43" s="160" t="s">
        <v>114</v>
      </c>
      <c r="F43" s="149">
        <v>0</v>
      </c>
      <c r="G43" s="127"/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162">
        <v>0</v>
      </c>
      <c r="U43" s="127"/>
      <c r="V43" s="142">
        <f t="shared" si="1"/>
        <v>0</v>
      </c>
      <c r="W43" s="142">
        <f t="shared" si="2"/>
        <v>0</v>
      </c>
      <c r="X43" s="142">
        <f t="shared" si="3"/>
        <v>0</v>
      </c>
      <c r="Y43" s="142">
        <f t="shared" si="4"/>
        <v>0</v>
      </c>
      <c r="Z43" s="142">
        <f t="shared" si="5"/>
        <v>0</v>
      </c>
      <c r="AA43" s="142">
        <f t="shared" si="6"/>
        <v>0</v>
      </c>
      <c r="AB43" s="142">
        <f t="shared" si="7"/>
        <v>0</v>
      </c>
      <c r="AC43" s="142">
        <f t="shared" si="8"/>
        <v>0</v>
      </c>
      <c r="AD43" s="142">
        <f t="shared" si="9"/>
        <v>0</v>
      </c>
      <c r="AE43" s="142">
        <f t="shared" si="10"/>
        <v>0</v>
      </c>
      <c r="AF43" s="142">
        <f t="shared" si="11"/>
        <v>0</v>
      </c>
      <c r="AG43" s="142">
        <f t="shared" si="12"/>
        <v>0</v>
      </c>
      <c r="AH43" s="147">
        <f t="shared" si="13"/>
        <v>0</v>
      </c>
      <c r="AI43" s="211">
        <f t="shared" si="14"/>
        <v>0</v>
      </c>
      <c r="AK43" s="142">
        <f t="shared" si="15"/>
        <v>0</v>
      </c>
    </row>
    <row r="44" spans="1:37" x14ac:dyDescent="0.25">
      <c r="A44" s="121">
        <f t="shared" si="0"/>
        <v>38</v>
      </c>
      <c r="B44" s="159" t="s">
        <v>117</v>
      </c>
      <c r="C44" s="159" t="s">
        <v>84</v>
      </c>
      <c r="D44" s="159" t="s">
        <v>118</v>
      </c>
      <c r="E44" s="159" t="s">
        <v>97</v>
      </c>
      <c r="F44" s="150">
        <v>0</v>
      </c>
      <c r="G44" s="129"/>
      <c r="H44" s="163">
        <v>40000</v>
      </c>
      <c r="I44" s="163">
        <v>50000</v>
      </c>
      <c r="J44" s="163">
        <v>30000</v>
      </c>
      <c r="K44" s="163">
        <v>40000</v>
      </c>
      <c r="L44" s="163">
        <v>40000</v>
      </c>
      <c r="M44" s="163">
        <v>40000</v>
      </c>
      <c r="N44" s="163">
        <v>40000</v>
      </c>
      <c r="O44" s="163">
        <v>40000</v>
      </c>
      <c r="P44" s="163">
        <v>40000</v>
      </c>
      <c r="Q44" s="163">
        <v>40000</v>
      </c>
      <c r="R44" s="163">
        <v>40000</v>
      </c>
      <c r="S44" s="163">
        <v>40000</v>
      </c>
      <c r="T44" s="164">
        <v>0</v>
      </c>
      <c r="U44" s="129"/>
      <c r="V44" s="143">
        <f t="shared" si="1"/>
        <v>0</v>
      </c>
      <c r="W44" s="143">
        <f t="shared" si="2"/>
        <v>0</v>
      </c>
      <c r="X44" s="143">
        <f t="shared" si="3"/>
        <v>0</v>
      </c>
      <c r="Y44" s="143">
        <f t="shared" si="4"/>
        <v>0</v>
      </c>
      <c r="Z44" s="143">
        <f t="shared" si="5"/>
        <v>0</v>
      </c>
      <c r="AA44" s="143">
        <f t="shared" si="6"/>
        <v>0</v>
      </c>
      <c r="AB44" s="143">
        <f t="shared" si="7"/>
        <v>0</v>
      </c>
      <c r="AC44" s="143">
        <f t="shared" si="8"/>
        <v>0</v>
      </c>
      <c r="AD44" s="143">
        <f t="shared" si="9"/>
        <v>0</v>
      </c>
      <c r="AE44" s="143">
        <f t="shared" si="10"/>
        <v>0</v>
      </c>
      <c r="AF44" s="143">
        <f t="shared" si="11"/>
        <v>0</v>
      </c>
      <c r="AG44" s="143">
        <f t="shared" si="12"/>
        <v>0</v>
      </c>
      <c r="AH44" s="148">
        <f t="shared" si="13"/>
        <v>0</v>
      </c>
      <c r="AI44" s="212">
        <f t="shared" si="14"/>
        <v>0</v>
      </c>
      <c r="AK44" s="143">
        <f t="shared" si="15"/>
        <v>0</v>
      </c>
    </row>
    <row r="45" spans="1:37" x14ac:dyDescent="0.25">
      <c r="A45" s="121">
        <f t="shared" si="0"/>
        <v>39</v>
      </c>
      <c r="B45" s="159" t="s">
        <v>118</v>
      </c>
      <c r="C45" s="159" t="s">
        <v>84</v>
      </c>
      <c r="D45" s="159" t="s">
        <v>118</v>
      </c>
      <c r="E45" s="159" t="s">
        <v>98</v>
      </c>
      <c r="F45" s="150">
        <v>0</v>
      </c>
      <c r="G45" s="129"/>
      <c r="H45" s="163">
        <v>69611</v>
      </c>
      <c r="I45" s="163">
        <v>77820</v>
      </c>
      <c r="J45" s="163">
        <v>70271</v>
      </c>
      <c r="K45" s="163">
        <v>71341</v>
      </c>
      <c r="L45" s="163">
        <v>70775</v>
      </c>
      <c r="M45" s="163">
        <v>62472</v>
      </c>
      <c r="N45" s="163">
        <v>54201</v>
      </c>
      <c r="O45" s="163">
        <v>53527</v>
      </c>
      <c r="P45" s="163">
        <v>49796</v>
      </c>
      <c r="Q45" s="163">
        <v>61676</v>
      </c>
      <c r="R45" s="163">
        <v>64087</v>
      </c>
      <c r="S45" s="163">
        <v>66813</v>
      </c>
      <c r="T45" s="164">
        <v>0</v>
      </c>
      <c r="U45" s="129"/>
      <c r="V45" s="143">
        <f t="shared" si="1"/>
        <v>0</v>
      </c>
      <c r="W45" s="143">
        <f t="shared" si="2"/>
        <v>0</v>
      </c>
      <c r="X45" s="143">
        <f t="shared" si="3"/>
        <v>0</v>
      </c>
      <c r="Y45" s="143">
        <f t="shared" si="4"/>
        <v>0</v>
      </c>
      <c r="Z45" s="143">
        <f t="shared" si="5"/>
        <v>0</v>
      </c>
      <c r="AA45" s="143">
        <f t="shared" si="6"/>
        <v>0</v>
      </c>
      <c r="AB45" s="143">
        <f t="shared" si="7"/>
        <v>0</v>
      </c>
      <c r="AC45" s="143">
        <f t="shared" si="8"/>
        <v>0</v>
      </c>
      <c r="AD45" s="143">
        <f t="shared" si="9"/>
        <v>0</v>
      </c>
      <c r="AE45" s="143">
        <f t="shared" si="10"/>
        <v>0</v>
      </c>
      <c r="AF45" s="143">
        <f t="shared" si="11"/>
        <v>0</v>
      </c>
      <c r="AG45" s="143">
        <f t="shared" si="12"/>
        <v>0</v>
      </c>
      <c r="AH45" s="148">
        <f t="shared" si="13"/>
        <v>0</v>
      </c>
      <c r="AI45" s="212">
        <f t="shared" si="14"/>
        <v>0</v>
      </c>
      <c r="AK45" s="143">
        <f t="shared" si="15"/>
        <v>0</v>
      </c>
    </row>
    <row r="46" spans="1:37" x14ac:dyDescent="0.25">
      <c r="A46" s="121">
        <f t="shared" si="0"/>
        <v>40</v>
      </c>
      <c r="B46" s="159"/>
      <c r="C46" s="159" t="s">
        <v>84</v>
      </c>
      <c r="D46" s="159" t="s">
        <v>118</v>
      </c>
      <c r="E46" s="159" t="s">
        <v>111</v>
      </c>
      <c r="F46" s="150">
        <v>0</v>
      </c>
      <c r="G46" s="129"/>
      <c r="H46" s="163">
        <v>45401</v>
      </c>
      <c r="I46" s="163">
        <v>40332</v>
      </c>
      <c r="J46" s="163">
        <v>37839</v>
      </c>
      <c r="K46" s="163">
        <v>28163</v>
      </c>
      <c r="L46" s="163">
        <v>34729</v>
      </c>
      <c r="M46" s="163">
        <v>35917</v>
      </c>
      <c r="N46" s="163">
        <v>36816</v>
      </c>
      <c r="O46" s="163">
        <v>31629</v>
      </c>
      <c r="P46" s="163">
        <v>33882</v>
      </c>
      <c r="Q46" s="163">
        <v>37032</v>
      </c>
      <c r="R46" s="163">
        <v>35795</v>
      </c>
      <c r="S46" s="163">
        <v>59980</v>
      </c>
      <c r="T46" s="164">
        <v>0</v>
      </c>
      <c r="U46" s="129"/>
      <c r="V46" s="143">
        <f t="shared" si="1"/>
        <v>0</v>
      </c>
      <c r="W46" s="143">
        <f t="shared" si="2"/>
        <v>0</v>
      </c>
      <c r="X46" s="143">
        <f t="shared" si="3"/>
        <v>0</v>
      </c>
      <c r="Y46" s="143">
        <f t="shared" si="4"/>
        <v>0</v>
      </c>
      <c r="Z46" s="143">
        <f t="shared" si="5"/>
        <v>0</v>
      </c>
      <c r="AA46" s="143">
        <f t="shared" si="6"/>
        <v>0</v>
      </c>
      <c r="AB46" s="143">
        <f t="shared" si="7"/>
        <v>0</v>
      </c>
      <c r="AC46" s="143">
        <f t="shared" si="8"/>
        <v>0</v>
      </c>
      <c r="AD46" s="143">
        <f t="shared" si="9"/>
        <v>0</v>
      </c>
      <c r="AE46" s="143">
        <f t="shared" si="10"/>
        <v>0</v>
      </c>
      <c r="AF46" s="143">
        <f t="shared" si="11"/>
        <v>0</v>
      </c>
      <c r="AG46" s="143">
        <f t="shared" si="12"/>
        <v>0</v>
      </c>
      <c r="AH46" s="148">
        <f t="shared" si="13"/>
        <v>0</v>
      </c>
      <c r="AI46" s="212">
        <f t="shared" si="14"/>
        <v>0</v>
      </c>
      <c r="AK46" s="143">
        <f t="shared" si="15"/>
        <v>0</v>
      </c>
    </row>
    <row r="47" spans="1:37" x14ac:dyDescent="0.25">
      <c r="A47" s="121">
        <f t="shared" si="0"/>
        <v>41</v>
      </c>
      <c r="B47" s="159"/>
      <c r="C47" s="159" t="s">
        <v>84</v>
      </c>
      <c r="D47" s="159" t="s">
        <v>118</v>
      </c>
      <c r="E47" s="159" t="s">
        <v>112</v>
      </c>
      <c r="F47" s="150">
        <v>0</v>
      </c>
      <c r="G47" s="129"/>
      <c r="H47" s="163">
        <v>33463</v>
      </c>
      <c r="I47" s="163">
        <v>47952</v>
      </c>
      <c r="J47" s="163">
        <v>33852</v>
      </c>
      <c r="K47" s="163">
        <v>32913</v>
      </c>
      <c r="L47" s="163">
        <v>32672</v>
      </c>
      <c r="M47" s="163">
        <v>24651</v>
      </c>
      <c r="N47" s="163">
        <v>25953</v>
      </c>
      <c r="O47" s="163">
        <v>22830</v>
      </c>
      <c r="P47" s="163">
        <v>29323</v>
      </c>
      <c r="Q47" s="163">
        <v>29999</v>
      </c>
      <c r="R47" s="163">
        <v>31574</v>
      </c>
      <c r="S47" s="163">
        <v>44879</v>
      </c>
      <c r="T47" s="164">
        <v>0</v>
      </c>
      <c r="U47" s="129"/>
      <c r="V47" s="143">
        <f t="shared" si="1"/>
        <v>0</v>
      </c>
      <c r="W47" s="143">
        <f t="shared" si="2"/>
        <v>0</v>
      </c>
      <c r="X47" s="143">
        <f t="shared" si="3"/>
        <v>0</v>
      </c>
      <c r="Y47" s="143">
        <f t="shared" si="4"/>
        <v>0</v>
      </c>
      <c r="Z47" s="143">
        <f t="shared" si="5"/>
        <v>0</v>
      </c>
      <c r="AA47" s="143">
        <f t="shared" si="6"/>
        <v>0</v>
      </c>
      <c r="AB47" s="143">
        <f t="shared" si="7"/>
        <v>0</v>
      </c>
      <c r="AC47" s="143">
        <f t="shared" si="8"/>
        <v>0</v>
      </c>
      <c r="AD47" s="143">
        <f t="shared" si="9"/>
        <v>0</v>
      </c>
      <c r="AE47" s="143">
        <f t="shared" si="10"/>
        <v>0</v>
      </c>
      <c r="AF47" s="143">
        <f t="shared" si="11"/>
        <v>0</v>
      </c>
      <c r="AG47" s="143">
        <f t="shared" si="12"/>
        <v>0</v>
      </c>
      <c r="AH47" s="148">
        <f t="shared" si="13"/>
        <v>0</v>
      </c>
      <c r="AI47" s="212">
        <f t="shared" si="14"/>
        <v>0</v>
      </c>
      <c r="AK47" s="143">
        <f t="shared" si="15"/>
        <v>0</v>
      </c>
    </row>
    <row r="48" spans="1:37" x14ac:dyDescent="0.25">
      <c r="A48" s="121">
        <f t="shared" si="0"/>
        <v>42</v>
      </c>
      <c r="B48" s="159"/>
      <c r="C48" s="159" t="s">
        <v>84</v>
      </c>
      <c r="D48" s="159" t="s">
        <v>118</v>
      </c>
      <c r="E48" s="159" t="s">
        <v>113</v>
      </c>
      <c r="F48" s="150">
        <v>0</v>
      </c>
      <c r="G48" s="129"/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163">
        <v>0</v>
      </c>
      <c r="T48" s="164">
        <v>0</v>
      </c>
      <c r="U48" s="129"/>
      <c r="V48" s="143">
        <f t="shared" si="1"/>
        <v>0</v>
      </c>
      <c r="W48" s="143">
        <f t="shared" si="2"/>
        <v>0</v>
      </c>
      <c r="X48" s="143">
        <f t="shared" si="3"/>
        <v>0</v>
      </c>
      <c r="Y48" s="143">
        <f t="shared" si="4"/>
        <v>0</v>
      </c>
      <c r="Z48" s="143">
        <f t="shared" si="5"/>
        <v>0</v>
      </c>
      <c r="AA48" s="143">
        <f t="shared" si="6"/>
        <v>0</v>
      </c>
      <c r="AB48" s="143">
        <f t="shared" si="7"/>
        <v>0</v>
      </c>
      <c r="AC48" s="143">
        <f t="shared" si="8"/>
        <v>0</v>
      </c>
      <c r="AD48" s="143">
        <f t="shared" si="9"/>
        <v>0</v>
      </c>
      <c r="AE48" s="143">
        <f t="shared" si="10"/>
        <v>0</v>
      </c>
      <c r="AF48" s="143">
        <f t="shared" si="11"/>
        <v>0</v>
      </c>
      <c r="AG48" s="143">
        <f t="shared" si="12"/>
        <v>0</v>
      </c>
      <c r="AH48" s="148">
        <f t="shared" si="13"/>
        <v>0</v>
      </c>
      <c r="AI48" s="212">
        <f t="shared" si="14"/>
        <v>0</v>
      </c>
      <c r="AK48" s="143">
        <f t="shared" si="15"/>
        <v>0</v>
      </c>
    </row>
    <row r="49" spans="1:37" x14ac:dyDescent="0.25">
      <c r="A49" s="121">
        <f t="shared" si="0"/>
        <v>43</v>
      </c>
      <c r="B49" s="160"/>
      <c r="C49" s="160" t="s">
        <v>84</v>
      </c>
      <c r="D49" s="160" t="s">
        <v>118</v>
      </c>
      <c r="E49" s="160" t="s">
        <v>114</v>
      </c>
      <c r="F49" s="149">
        <v>0</v>
      </c>
      <c r="G49" s="127"/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2">
        <v>0</v>
      </c>
      <c r="U49" s="127"/>
      <c r="V49" s="142">
        <f t="shared" si="1"/>
        <v>0</v>
      </c>
      <c r="W49" s="142">
        <f t="shared" si="2"/>
        <v>0</v>
      </c>
      <c r="X49" s="142">
        <f t="shared" si="3"/>
        <v>0</v>
      </c>
      <c r="Y49" s="142">
        <f t="shared" si="4"/>
        <v>0</v>
      </c>
      <c r="Z49" s="142">
        <f t="shared" si="5"/>
        <v>0</v>
      </c>
      <c r="AA49" s="142">
        <f t="shared" si="6"/>
        <v>0</v>
      </c>
      <c r="AB49" s="142">
        <f t="shared" si="7"/>
        <v>0</v>
      </c>
      <c r="AC49" s="142">
        <f t="shared" si="8"/>
        <v>0</v>
      </c>
      <c r="AD49" s="142">
        <f t="shared" si="9"/>
        <v>0</v>
      </c>
      <c r="AE49" s="142">
        <f t="shared" si="10"/>
        <v>0</v>
      </c>
      <c r="AF49" s="142">
        <f t="shared" si="11"/>
        <v>0</v>
      </c>
      <c r="AG49" s="142">
        <f t="shared" si="12"/>
        <v>0</v>
      </c>
      <c r="AH49" s="147">
        <f t="shared" si="13"/>
        <v>0</v>
      </c>
      <c r="AI49" s="211">
        <f t="shared" si="14"/>
        <v>0</v>
      </c>
      <c r="AK49" s="142">
        <f t="shared" si="15"/>
        <v>0</v>
      </c>
    </row>
    <row r="50" spans="1:37" x14ac:dyDescent="0.25">
      <c r="A50" s="121">
        <f t="shared" si="0"/>
        <v>44</v>
      </c>
      <c r="B50" s="159" t="s">
        <v>119</v>
      </c>
      <c r="C50" s="159" t="s">
        <v>84</v>
      </c>
      <c r="D50" s="159" t="s">
        <v>120</v>
      </c>
      <c r="E50" s="159" t="s">
        <v>97</v>
      </c>
      <c r="F50" s="150">
        <v>0</v>
      </c>
      <c r="G50" s="129"/>
      <c r="H50" s="163">
        <v>72406</v>
      </c>
      <c r="I50" s="163">
        <v>64755</v>
      </c>
      <c r="J50" s="163">
        <v>82726</v>
      </c>
      <c r="K50" s="163">
        <v>73679</v>
      </c>
      <c r="L50" s="163">
        <v>73600</v>
      </c>
      <c r="M50" s="163">
        <v>70453</v>
      </c>
      <c r="N50" s="163">
        <v>67643</v>
      </c>
      <c r="O50" s="163">
        <v>64424</v>
      </c>
      <c r="P50" s="163">
        <v>65624</v>
      </c>
      <c r="Q50" s="163">
        <v>65336</v>
      </c>
      <c r="R50" s="163">
        <v>63847</v>
      </c>
      <c r="S50" s="163">
        <v>67995</v>
      </c>
      <c r="T50" s="164">
        <v>0</v>
      </c>
      <c r="U50" s="129"/>
      <c r="V50" s="143">
        <f t="shared" si="1"/>
        <v>0</v>
      </c>
      <c r="W50" s="143">
        <f t="shared" si="2"/>
        <v>0</v>
      </c>
      <c r="X50" s="143">
        <f t="shared" si="3"/>
        <v>0</v>
      </c>
      <c r="Y50" s="143">
        <f t="shared" si="4"/>
        <v>0</v>
      </c>
      <c r="Z50" s="143">
        <f t="shared" si="5"/>
        <v>0</v>
      </c>
      <c r="AA50" s="143">
        <f t="shared" si="6"/>
        <v>0</v>
      </c>
      <c r="AB50" s="143">
        <f t="shared" si="7"/>
        <v>0</v>
      </c>
      <c r="AC50" s="143">
        <f t="shared" si="8"/>
        <v>0</v>
      </c>
      <c r="AD50" s="143">
        <f t="shared" si="9"/>
        <v>0</v>
      </c>
      <c r="AE50" s="143">
        <f t="shared" si="10"/>
        <v>0</v>
      </c>
      <c r="AF50" s="143">
        <f t="shared" si="11"/>
        <v>0</v>
      </c>
      <c r="AG50" s="143">
        <f t="shared" si="12"/>
        <v>0</v>
      </c>
      <c r="AH50" s="148">
        <f t="shared" si="13"/>
        <v>0</v>
      </c>
      <c r="AI50" s="212">
        <f t="shared" si="14"/>
        <v>0</v>
      </c>
      <c r="AK50" s="143">
        <f t="shared" si="15"/>
        <v>0</v>
      </c>
    </row>
    <row r="51" spans="1:37" x14ac:dyDescent="0.25">
      <c r="A51" s="121">
        <f t="shared" si="0"/>
        <v>45</v>
      </c>
      <c r="B51" s="159" t="s">
        <v>120</v>
      </c>
      <c r="C51" s="159" t="s">
        <v>84</v>
      </c>
      <c r="D51" s="159" t="s">
        <v>120</v>
      </c>
      <c r="E51" s="159" t="s">
        <v>98</v>
      </c>
      <c r="F51" s="150">
        <v>0</v>
      </c>
      <c r="G51" s="129"/>
      <c r="H51" s="163">
        <v>75486</v>
      </c>
      <c r="I51" s="163">
        <v>79019</v>
      </c>
      <c r="J51" s="163">
        <v>78262</v>
      </c>
      <c r="K51" s="163">
        <v>74441</v>
      </c>
      <c r="L51" s="163">
        <v>75458</v>
      </c>
      <c r="M51" s="163">
        <v>70281</v>
      </c>
      <c r="N51" s="163">
        <v>66073</v>
      </c>
      <c r="O51" s="163">
        <v>65907</v>
      </c>
      <c r="P51" s="163">
        <v>65094</v>
      </c>
      <c r="Q51" s="163">
        <v>63638</v>
      </c>
      <c r="R51" s="163">
        <v>64446</v>
      </c>
      <c r="S51" s="163">
        <v>68362</v>
      </c>
      <c r="T51" s="164">
        <v>0</v>
      </c>
      <c r="U51" s="129"/>
      <c r="V51" s="143">
        <f t="shared" si="1"/>
        <v>0</v>
      </c>
      <c r="W51" s="143">
        <f t="shared" si="2"/>
        <v>0</v>
      </c>
      <c r="X51" s="143">
        <f t="shared" si="3"/>
        <v>0</v>
      </c>
      <c r="Y51" s="143">
        <f t="shared" si="4"/>
        <v>0</v>
      </c>
      <c r="Z51" s="143">
        <f t="shared" si="5"/>
        <v>0</v>
      </c>
      <c r="AA51" s="143">
        <f t="shared" si="6"/>
        <v>0</v>
      </c>
      <c r="AB51" s="143">
        <f t="shared" si="7"/>
        <v>0</v>
      </c>
      <c r="AC51" s="143">
        <f t="shared" si="8"/>
        <v>0</v>
      </c>
      <c r="AD51" s="143">
        <f t="shared" si="9"/>
        <v>0</v>
      </c>
      <c r="AE51" s="143">
        <f t="shared" si="10"/>
        <v>0</v>
      </c>
      <c r="AF51" s="143">
        <f t="shared" si="11"/>
        <v>0</v>
      </c>
      <c r="AG51" s="143">
        <f t="shared" si="12"/>
        <v>0</v>
      </c>
      <c r="AH51" s="148">
        <f t="shared" si="13"/>
        <v>0</v>
      </c>
      <c r="AI51" s="212">
        <f t="shared" si="14"/>
        <v>0</v>
      </c>
      <c r="AK51" s="143">
        <f t="shared" si="15"/>
        <v>0</v>
      </c>
    </row>
    <row r="52" spans="1:37" x14ac:dyDescent="0.25">
      <c r="A52" s="121">
        <f t="shared" si="0"/>
        <v>46</v>
      </c>
      <c r="B52" s="159"/>
      <c r="C52" s="159" t="s">
        <v>84</v>
      </c>
      <c r="D52" s="159" t="s">
        <v>120</v>
      </c>
      <c r="E52" s="159" t="s">
        <v>111</v>
      </c>
      <c r="F52" s="150">
        <v>0</v>
      </c>
      <c r="G52" s="129"/>
      <c r="H52" s="163">
        <v>60000</v>
      </c>
      <c r="I52" s="163">
        <v>60000</v>
      </c>
      <c r="J52" s="163">
        <v>60000</v>
      </c>
      <c r="K52" s="163">
        <v>60000</v>
      </c>
      <c r="L52" s="163">
        <v>60000</v>
      </c>
      <c r="M52" s="163">
        <v>60000</v>
      </c>
      <c r="N52" s="163">
        <v>60000</v>
      </c>
      <c r="O52" s="163">
        <v>58539</v>
      </c>
      <c r="P52" s="163">
        <v>56699</v>
      </c>
      <c r="Q52" s="163">
        <v>57038</v>
      </c>
      <c r="R52" s="163">
        <v>60000</v>
      </c>
      <c r="S52" s="163">
        <v>60000</v>
      </c>
      <c r="T52" s="164">
        <v>0</v>
      </c>
      <c r="U52" s="129"/>
      <c r="V52" s="143">
        <f t="shared" si="1"/>
        <v>0</v>
      </c>
      <c r="W52" s="143">
        <f t="shared" si="2"/>
        <v>0</v>
      </c>
      <c r="X52" s="143">
        <f t="shared" si="3"/>
        <v>0</v>
      </c>
      <c r="Y52" s="143">
        <f t="shared" si="4"/>
        <v>0</v>
      </c>
      <c r="Z52" s="143">
        <f t="shared" si="5"/>
        <v>0</v>
      </c>
      <c r="AA52" s="143">
        <f t="shared" si="6"/>
        <v>0</v>
      </c>
      <c r="AB52" s="143">
        <f t="shared" si="7"/>
        <v>0</v>
      </c>
      <c r="AC52" s="143">
        <f t="shared" si="8"/>
        <v>0</v>
      </c>
      <c r="AD52" s="143">
        <f t="shared" si="9"/>
        <v>0</v>
      </c>
      <c r="AE52" s="143">
        <f t="shared" si="10"/>
        <v>0</v>
      </c>
      <c r="AF52" s="143">
        <f t="shared" si="11"/>
        <v>0</v>
      </c>
      <c r="AG52" s="143">
        <f t="shared" si="12"/>
        <v>0</v>
      </c>
      <c r="AH52" s="148">
        <f t="shared" si="13"/>
        <v>0</v>
      </c>
      <c r="AI52" s="212">
        <f t="shared" si="14"/>
        <v>0</v>
      </c>
      <c r="AK52" s="143">
        <f t="shared" si="15"/>
        <v>0</v>
      </c>
    </row>
    <row r="53" spans="1:37" x14ac:dyDescent="0.25">
      <c r="A53" s="121">
        <f t="shared" si="0"/>
        <v>47</v>
      </c>
      <c r="B53" s="159"/>
      <c r="C53" s="159" t="s">
        <v>84</v>
      </c>
      <c r="D53" s="159" t="s">
        <v>120</v>
      </c>
      <c r="E53" s="159" t="s">
        <v>112</v>
      </c>
      <c r="F53" s="150">
        <v>0</v>
      </c>
      <c r="G53" s="129"/>
      <c r="H53" s="163">
        <v>116313</v>
      </c>
      <c r="I53" s="163">
        <v>122597</v>
      </c>
      <c r="J53" s="163">
        <v>124210</v>
      </c>
      <c r="K53" s="163">
        <v>112809</v>
      </c>
      <c r="L53" s="163">
        <v>120509</v>
      </c>
      <c r="M53" s="163">
        <v>116009</v>
      </c>
      <c r="N53" s="163">
        <v>96859</v>
      </c>
      <c r="O53" s="163">
        <v>94926</v>
      </c>
      <c r="P53" s="163">
        <v>86421</v>
      </c>
      <c r="Q53" s="163">
        <v>86752</v>
      </c>
      <c r="R53" s="163">
        <v>95322</v>
      </c>
      <c r="S53" s="163">
        <v>117202</v>
      </c>
      <c r="T53" s="164">
        <v>0</v>
      </c>
      <c r="U53" s="129"/>
      <c r="V53" s="143">
        <f t="shared" si="1"/>
        <v>0</v>
      </c>
      <c r="W53" s="143">
        <f t="shared" si="2"/>
        <v>0</v>
      </c>
      <c r="X53" s="143">
        <f t="shared" si="3"/>
        <v>0</v>
      </c>
      <c r="Y53" s="143">
        <f t="shared" si="4"/>
        <v>0</v>
      </c>
      <c r="Z53" s="143">
        <f t="shared" si="5"/>
        <v>0</v>
      </c>
      <c r="AA53" s="143">
        <f t="shared" si="6"/>
        <v>0</v>
      </c>
      <c r="AB53" s="143">
        <f t="shared" si="7"/>
        <v>0</v>
      </c>
      <c r="AC53" s="143">
        <f t="shared" si="8"/>
        <v>0</v>
      </c>
      <c r="AD53" s="143">
        <f t="shared" si="9"/>
        <v>0</v>
      </c>
      <c r="AE53" s="143">
        <f t="shared" si="10"/>
        <v>0</v>
      </c>
      <c r="AF53" s="143">
        <f t="shared" si="11"/>
        <v>0</v>
      </c>
      <c r="AG53" s="143">
        <f t="shared" si="12"/>
        <v>0</v>
      </c>
      <c r="AH53" s="148">
        <f t="shared" si="13"/>
        <v>0</v>
      </c>
      <c r="AI53" s="212">
        <f t="shared" si="14"/>
        <v>0</v>
      </c>
      <c r="AK53" s="143">
        <f t="shared" si="15"/>
        <v>0</v>
      </c>
    </row>
    <row r="54" spans="1:37" x14ac:dyDescent="0.25">
      <c r="A54" s="121">
        <f t="shared" si="0"/>
        <v>48</v>
      </c>
      <c r="B54" s="159"/>
      <c r="C54" s="159" t="s">
        <v>84</v>
      </c>
      <c r="D54" s="159" t="s">
        <v>120</v>
      </c>
      <c r="E54" s="159" t="s">
        <v>113</v>
      </c>
      <c r="F54" s="150">
        <v>0</v>
      </c>
      <c r="G54" s="129"/>
      <c r="H54" s="163">
        <v>35146</v>
      </c>
      <c r="I54" s="163">
        <v>99273</v>
      </c>
      <c r="J54" s="163">
        <v>58580</v>
      </c>
      <c r="K54" s="163">
        <v>64697</v>
      </c>
      <c r="L54" s="163">
        <v>64553</v>
      </c>
      <c r="M54" s="163">
        <v>32993</v>
      </c>
      <c r="N54" s="163">
        <v>0</v>
      </c>
      <c r="O54" s="163">
        <v>0</v>
      </c>
      <c r="P54" s="163">
        <v>0</v>
      </c>
      <c r="Q54" s="163">
        <v>0</v>
      </c>
      <c r="R54" s="163">
        <v>0</v>
      </c>
      <c r="S54" s="163">
        <v>29591</v>
      </c>
      <c r="T54" s="164">
        <v>0</v>
      </c>
      <c r="U54" s="129"/>
      <c r="V54" s="143">
        <f t="shared" si="1"/>
        <v>0</v>
      </c>
      <c r="W54" s="143">
        <f t="shared" si="2"/>
        <v>0</v>
      </c>
      <c r="X54" s="143">
        <f t="shared" si="3"/>
        <v>0</v>
      </c>
      <c r="Y54" s="143">
        <f t="shared" si="4"/>
        <v>0</v>
      </c>
      <c r="Z54" s="143">
        <f t="shared" si="5"/>
        <v>0</v>
      </c>
      <c r="AA54" s="143">
        <f t="shared" si="6"/>
        <v>0</v>
      </c>
      <c r="AB54" s="143">
        <f t="shared" si="7"/>
        <v>0</v>
      </c>
      <c r="AC54" s="143">
        <f t="shared" si="8"/>
        <v>0</v>
      </c>
      <c r="AD54" s="143">
        <f t="shared" si="9"/>
        <v>0</v>
      </c>
      <c r="AE54" s="143">
        <f t="shared" si="10"/>
        <v>0</v>
      </c>
      <c r="AF54" s="143">
        <f t="shared" si="11"/>
        <v>0</v>
      </c>
      <c r="AG54" s="143">
        <f t="shared" si="12"/>
        <v>0</v>
      </c>
      <c r="AH54" s="148">
        <f t="shared" si="13"/>
        <v>0</v>
      </c>
      <c r="AI54" s="212">
        <f t="shared" si="14"/>
        <v>0</v>
      </c>
      <c r="AK54" s="143">
        <f t="shared" si="15"/>
        <v>0</v>
      </c>
    </row>
    <row r="55" spans="1:37" x14ac:dyDescent="0.25">
      <c r="A55" s="121">
        <f t="shared" si="0"/>
        <v>49</v>
      </c>
      <c r="B55" s="160"/>
      <c r="C55" s="160" t="s">
        <v>84</v>
      </c>
      <c r="D55" s="160" t="s">
        <v>120</v>
      </c>
      <c r="E55" s="160" t="s">
        <v>114</v>
      </c>
      <c r="F55" s="149">
        <v>0</v>
      </c>
      <c r="G55" s="127"/>
      <c r="H55" s="166">
        <v>0</v>
      </c>
      <c r="I55" s="166">
        <v>0</v>
      </c>
      <c r="J55" s="161"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162">
        <v>0</v>
      </c>
      <c r="U55" s="127"/>
      <c r="V55" s="145">
        <f t="shared" si="1"/>
        <v>0</v>
      </c>
      <c r="W55" s="145">
        <f t="shared" si="2"/>
        <v>0</v>
      </c>
      <c r="X55" s="145">
        <f t="shared" si="3"/>
        <v>0</v>
      </c>
      <c r="Y55" s="145">
        <f t="shared" si="4"/>
        <v>0</v>
      </c>
      <c r="Z55" s="145">
        <f t="shared" si="5"/>
        <v>0</v>
      </c>
      <c r="AA55" s="145">
        <f t="shared" si="6"/>
        <v>0</v>
      </c>
      <c r="AB55" s="145">
        <f t="shared" si="7"/>
        <v>0</v>
      </c>
      <c r="AC55" s="145">
        <f t="shared" si="8"/>
        <v>0</v>
      </c>
      <c r="AD55" s="145">
        <f t="shared" si="9"/>
        <v>0</v>
      </c>
      <c r="AE55" s="145">
        <f t="shared" si="10"/>
        <v>0</v>
      </c>
      <c r="AF55" s="145">
        <f t="shared" si="11"/>
        <v>0</v>
      </c>
      <c r="AG55" s="145">
        <f t="shared" si="12"/>
        <v>0</v>
      </c>
      <c r="AH55" s="147">
        <f t="shared" si="13"/>
        <v>0</v>
      </c>
      <c r="AI55" s="214">
        <f t="shared" si="14"/>
        <v>0</v>
      </c>
      <c r="AK55" s="145">
        <f t="shared" si="15"/>
        <v>0</v>
      </c>
    </row>
    <row r="56" spans="1:37" x14ac:dyDescent="0.25">
      <c r="A56" s="121">
        <f t="shared" si="0"/>
        <v>50</v>
      </c>
      <c r="B56" s="159" t="s">
        <v>121</v>
      </c>
      <c r="C56" s="159" t="s">
        <v>84</v>
      </c>
      <c r="D56" s="159" t="s">
        <v>122</v>
      </c>
      <c r="E56" s="159" t="s">
        <v>97</v>
      </c>
      <c r="F56" s="150">
        <v>-7.1300000000000001E-3</v>
      </c>
      <c r="G56" s="129"/>
      <c r="H56" s="163">
        <v>20000</v>
      </c>
      <c r="I56" s="163">
        <v>20000</v>
      </c>
      <c r="J56" s="163">
        <v>20000</v>
      </c>
      <c r="K56" s="163">
        <v>20000</v>
      </c>
      <c r="L56" s="163">
        <v>20000</v>
      </c>
      <c r="M56" s="163">
        <v>20000</v>
      </c>
      <c r="N56" s="163">
        <v>20000</v>
      </c>
      <c r="O56" s="163">
        <v>20000</v>
      </c>
      <c r="P56" s="163">
        <v>20000</v>
      </c>
      <c r="Q56" s="163">
        <v>20000</v>
      </c>
      <c r="R56" s="163">
        <v>20000</v>
      </c>
      <c r="S56" s="163">
        <v>20000</v>
      </c>
      <c r="T56" s="164">
        <v>0</v>
      </c>
      <c r="U56" s="129"/>
      <c r="V56" s="143">
        <f t="shared" si="1"/>
        <v>-142.6</v>
      </c>
      <c r="W56" s="143">
        <f t="shared" si="2"/>
        <v>-142.6</v>
      </c>
      <c r="X56" s="143">
        <f t="shared" si="3"/>
        <v>-142.6</v>
      </c>
      <c r="Y56" s="143">
        <f t="shared" si="4"/>
        <v>-142.6</v>
      </c>
      <c r="Z56" s="143">
        <f t="shared" si="5"/>
        <v>-142.6</v>
      </c>
      <c r="AA56" s="143">
        <f t="shared" si="6"/>
        <v>-142.6</v>
      </c>
      <c r="AB56" s="143">
        <f t="shared" si="7"/>
        <v>-142.6</v>
      </c>
      <c r="AC56" s="143">
        <f t="shared" si="8"/>
        <v>-142.6</v>
      </c>
      <c r="AD56" s="143">
        <f t="shared" si="9"/>
        <v>-142.6</v>
      </c>
      <c r="AE56" s="143">
        <f t="shared" si="10"/>
        <v>-142.6</v>
      </c>
      <c r="AF56" s="143">
        <f t="shared" si="11"/>
        <v>-142.6</v>
      </c>
      <c r="AG56" s="143">
        <f t="shared" si="12"/>
        <v>-142.6</v>
      </c>
      <c r="AH56" s="148">
        <f t="shared" si="13"/>
        <v>0</v>
      </c>
      <c r="AI56" s="212">
        <f t="shared" si="14"/>
        <v>-1711.1999999999996</v>
      </c>
      <c r="AK56" s="143">
        <f t="shared" si="15"/>
        <v>-1789.4340569707613</v>
      </c>
    </row>
    <row r="57" spans="1:37" x14ac:dyDescent="0.25">
      <c r="A57" s="121">
        <f t="shared" si="0"/>
        <v>51</v>
      </c>
      <c r="B57" s="159" t="s">
        <v>122</v>
      </c>
      <c r="C57" s="159" t="s">
        <v>84</v>
      </c>
      <c r="D57" s="159" t="s">
        <v>122</v>
      </c>
      <c r="E57" s="159" t="s">
        <v>98</v>
      </c>
      <c r="F57" s="150">
        <v>-6.3899999999999998E-3</v>
      </c>
      <c r="G57" s="129"/>
      <c r="H57" s="163">
        <v>40000</v>
      </c>
      <c r="I57" s="163">
        <v>40000</v>
      </c>
      <c r="J57" s="163">
        <v>40000</v>
      </c>
      <c r="K57" s="163">
        <v>40000</v>
      </c>
      <c r="L57" s="163">
        <v>40000</v>
      </c>
      <c r="M57" s="163">
        <v>40000</v>
      </c>
      <c r="N57" s="163">
        <v>40000</v>
      </c>
      <c r="O57" s="163">
        <v>39220</v>
      </c>
      <c r="P57" s="163">
        <v>36278</v>
      </c>
      <c r="Q57" s="163">
        <v>36851</v>
      </c>
      <c r="R57" s="163">
        <v>38815</v>
      </c>
      <c r="S57" s="163">
        <v>40000</v>
      </c>
      <c r="T57" s="164">
        <v>0</v>
      </c>
      <c r="U57" s="129"/>
      <c r="V57" s="143">
        <f t="shared" si="1"/>
        <v>-255.6</v>
      </c>
      <c r="W57" s="143">
        <f t="shared" si="2"/>
        <v>-255.6</v>
      </c>
      <c r="X57" s="143">
        <f t="shared" si="3"/>
        <v>-255.6</v>
      </c>
      <c r="Y57" s="143">
        <f t="shared" si="4"/>
        <v>-255.6</v>
      </c>
      <c r="Z57" s="143">
        <f t="shared" si="5"/>
        <v>-255.6</v>
      </c>
      <c r="AA57" s="143">
        <f t="shared" si="6"/>
        <v>-255.6</v>
      </c>
      <c r="AB57" s="143">
        <f t="shared" si="7"/>
        <v>-255.6</v>
      </c>
      <c r="AC57" s="143">
        <f t="shared" si="8"/>
        <v>-250.62</v>
      </c>
      <c r="AD57" s="143">
        <f t="shared" si="9"/>
        <v>-231.82</v>
      </c>
      <c r="AE57" s="143">
        <f t="shared" si="10"/>
        <v>-235.48</v>
      </c>
      <c r="AF57" s="143">
        <f t="shared" si="11"/>
        <v>-248.03</v>
      </c>
      <c r="AG57" s="143">
        <f t="shared" si="12"/>
        <v>-255.6</v>
      </c>
      <c r="AH57" s="148">
        <f t="shared" si="13"/>
        <v>0</v>
      </c>
      <c r="AI57" s="212">
        <f t="shared" si="14"/>
        <v>-3010.75</v>
      </c>
      <c r="AK57" s="143">
        <f t="shared" si="15"/>
        <v>-3148.3979587568492</v>
      </c>
    </row>
    <row r="58" spans="1:37" x14ac:dyDescent="0.25">
      <c r="A58" s="121">
        <f t="shared" si="0"/>
        <v>52</v>
      </c>
      <c r="B58" s="159"/>
      <c r="C58" s="159" t="s">
        <v>84</v>
      </c>
      <c r="D58" s="159" t="s">
        <v>122</v>
      </c>
      <c r="E58" s="159" t="s">
        <v>111</v>
      </c>
      <c r="F58" s="150">
        <v>-4.8999999999999998E-3</v>
      </c>
      <c r="G58" s="129"/>
      <c r="H58" s="163">
        <v>26782</v>
      </c>
      <c r="I58" s="163">
        <v>33981</v>
      </c>
      <c r="J58" s="163">
        <v>31525</v>
      </c>
      <c r="K58" s="163">
        <v>28961</v>
      </c>
      <c r="L58" s="163">
        <v>29321</v>
      </c>
      <c r="M58" s="163">
        <v>20815</v>
      </c>
      <c r="N58" s="163">
        <v>13522</v>
      </c>
      <c r="O58" s="163">
        <v>10062</v>
      </c>
      <c r="P58" s="163">
        <v>7708</v>
      </c>
      <c r="Q58" s="163">
        <v>10420</v>
      </c>
      <c r="R58" s="163">
        <v>12644</v>
      </c>
      <c r="S58" s="163">
        <v>18932</v>
      </c>
      <c r="T58" s="164">
        <v>0</v>
      </c>
      <c r="U58" s="129"/>
      <c r="V58" s="143">
        <f t="shared" si="1"/>
        <v>-131.22999999999999</v>
      </c>
      <c r="W58" s="143">
        <f t="shared" si="2"/>
        <v>-166.51</v>
      </c>
      <c r="X58" s="143">
        <f t="shared" si="3"/>
        <v>-154.47</v>
      </c>
      <c r="Y58" s="143">
        <f t="shared" si="4"/>
        <v>-141.91</v>
      </c>
      <c r="Z58" s="143">
        <f t="shared" si="5"/>
        <v>-143.66999999999999</v>
      </c>
      <c r="AA58" s="143">
        <f t="shared" si="6"/>
        <v>-101.99</v>
      </c>
      <c r="AB58" s="143">
        <f t="shared" si="7"/>
        <v>-66.260000000000005</v>
      </c>
      <c r="AC58" s="143">
        <f t="shared" si="8"/>
        <v>-49.3</v>
      </c>
      <c r="AD58" s="143">
        <f t="shared" si="9"/>
        <v>-37.770000000000003</v>
      </c>
      <c r="AE58" s="143">
        <f t="shared" si="10"/>
        <v>-51.06</v>
      </c>
      <c r="AF58" s="143">
        <f t="shared" si="11"/>
        <v>-61.96</v>
      </c>
      <c r="AG58" s="143">
        <f t="shared" si="12"/>
        <v>-92.77</v>
      </c>
      <c r="AH58" s="148">
        <f t="shared" si="13"/>
        <v>0</v>
      </c>
      <c r="AI58" s="212">
        <f t="shared" si="14"/>
        <v>-1198.8999999999999</v>
      </c>
      <c r="AK58" s="143">
        <f t="shared" si="15"/>
        <v>-1253.712301836282</v>
      </c>
    </row>
    <row r="59" spans="1:37" x14ac:dyDescent="0.25">
      <c r="A59" s="121">
        <f t="shared" si="0"/>
        <v>53</v>
      </c>
      <c r="B59" s="159"/>
      <c r="C59" s="159" t="s">
        <v>84</v>
      </c>
      <c r="D59" s="159" t="s">
        <v>122</v>
      </c>
      <c r="E59" s="159" t="s">
        <v>112</v>
      </c>
      <c r="F59" s="150">
        <v>-3.9199999999999999E-3</v>
      </c>
      <c r="G59" s="129"/>
      <c r="H59" s="163">
        <v>9846</v>
      </c>
      <c r="I59" s="163">
        <v>22762</v>
      </c>
      <c r="J59" s="163">
        <v>5137</v>
      </c>
      <c r="K59" s="163">
        <v>7433</v>
      </c>
      <c r="L59" s="163">
        <v>4363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3">
        <v>0</v>
      </c>
      <c r="S59" s="163">
        <v>0</v>
      </c>
      <c r="T59" s="164">
        <v>0</v>
      </c>
      <c r="U59" s="129"/>
      <c r="V59" s="143">
        <f t="shared" si="1"/>
        <v>-38.6</v>
      </c>
      <c r="W59" s="143">
        <f t="shared" si="2"/>
        <v>-89.23</v>
      </c>
      <c r="X59" s="143">
        <f t="shared" si="3"/>
        <v>-20.14</v>
      </c>
      <c r="Y59" s="143">
        <f t="shared" si="4"/>
        <v>-29.14</v>
      </c>
      <c r="Z59" s="143">
        <f t="shared" si="5"/>
        <v>-17.100000000000001</v>
      </c>
      <c r="AA59" s="143">
        <f t="shared" si="6"/>
        <v>0</v>
      </c>
      <c r="AB59" s="143">
        <f t="shared" si="7"/>
        <v>0</v>
      </c>
      <c r="AC59" s="143">
        <f t="shared" si="8"/>
        <v>0</v>
      </c>
      <c r="AD59" s="143">
        <f t="shared" si="9"/>
        <v>0</v>
      </c>
      <c r="AE59" s="143">
        <f t="shared" si="10"/>
        <v>0</v>
      </c>
      <c r="AF59" s="143">
        <f t="shared" si="11"/>
        <v>0</v>
      </c>
      <c r="AG59" s="143">
        <f t="shared" si="12"/>
        <v>0</v>
      </c>
      <c r="AH59" s="148">
        <f t="shared" si="13"/>
        <v>0</v>
      </c>
      <c r="AI59" s="212">
        <f t="shared" si="14"/>
        <v>-194.21</v>
      </c>
      <c r="AK59" s="143">
        <f t="shared" si="15"/>
        <v>-203.08905341531769</v>
      </c>
    </row>
    <row r="60" spans="1:37" x14ac:dyDescent="0.25">
      <c r="A60" s="121">
        <f t="shared" si="0"/>
        <v>54</v>
      </c>
      <c r="B60" s="159"/>
      <c r="C60" s="159" t="s">
        <v>84</v>
      </c>
      <c r="D60" s="159" t="s">
        <v>122</v>
      </c>
      <c r="E60" s="159" t="s">
        <v>113</v>
      </c>
      <c r="F60" s="150">
        <v>-2.6099999999999999E-3</v>
      </c>
      <c r="G60" s="129"/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4">
        <v>0</v>
      </c>
      <c r="U60" s="129"/>
      <c r="V60" s="143">
        <f t="shared" si="1"/>
        <v>0</v>
      </c>
      <c r="W60" s="143">
        <f t="shared" si="2"/>
        <v>0</v>
      </c>
      <c r="X60" s="143">
        <f t="shared" si="3"/>
        <v>0</v>
      </c>
      <c r="Y60" s="143">
        <f t="shared" si="4"/>
        <v>0</v>
      </c>
      <c r="Z60" s="143">
        <f t="shared" si="5"/>
        <v>0</v>
      </c>
      <c r="AA60" s="143">
        <f t="shared" si="6"/>
        <v>0</v>
      </c>
      <c r="AB60" s="143">
        <f t="shared" si="7"/>
        <v>0</v>
      </c>
      <c r="AC60" s="143">
        <f t="shared" si="8"/>
        <v>0</v>
      </c>
      <c r="AD60" s="143">
        <f t="shared" si="9"/>
        <v>0</v>
      </c>
      <c r="AE60" s="143">
        <f t="shared" si="10"/>
        <v>0</v>
      </c>
      <c r="AF60" s="143">
        <f t="shared" si="11"/>
        <v>0</v>
      </c>
      <c r="AG60" s="143">
        <f t="shared" si="12"/>
        <v>0</v>
      </c>
      <c r="AH60" s="148">
        <f t="shared" si="13"/>
        <v>0</v>
      </c>
      <c r="AI60" s="212">
        <f t="shared" si="14"/>
        <v>0</v>
      </c>
      <c r="AK60" s="143">
        <f t="shared" si="15"/>
        <v>0</v>
      </c>
    </row>
    <row r="61" spans="1:37" x14ac:dyDescent="0.25">
      <c r="A61" s="121">
        <f t="shared" si="0"/>
        <v>55</v>
      </c>
      <c r="B61" s="160"/>
      <c r="C61" s="160" t="s">
        <v>84</v>
      </c>
      <c r="D61" s="160" t="s">
        <v>122</v>
      </c>
      <c r="E61" s="160" t="s">
        <v>114</v>
      </c>
      <c r="F61" s="149">
        <v>-9.7999999999999997E-4</v>
      </c>
      <c r="G61" s="127"/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2">
        <v>0</v>
      </c>
      <c r="U61" s="127"/>
      <c r="V61" s="142">
        <f t="shared" si="1"/>
        <v>0</v>
      </c>
      <c r="W61" s="142">
        <f t="shared" si="2"/>
        <v>0</v>
      </c>
      <c r="X61" s="142">
        <f t="shared" si="3"/>
        <v>0</v>
      </c>
      <c r="Y61" s="142">
        <f t="shared" si="4"/>
        <v>0</v>
      </c>
      <c r="Z61" s="142">
        <f t="shared" si="5"/>
        <v>0</v>
      </c>
      <c r="AA61" s="142">
        <f t="shared" si="6"/>
        <v>0</v>
      </c>
      <c r="AB61" s="142">
        <f t="shared" si="7"/>
        <v>0</v>
      </c>
      <c r="AC61" s="142">
        <f t="shared" si="8"/>
        <v>0</v>
      </c>
      <c r="AD61" s="142">
        <f t="shared" si="9"/>
        <v>0</v>
      </c>
      <c r="AE61" s="142">
        <f t="shared" si="10"/>
        <v>0</v>
      </c>
      <c r="AF61" s="142">
        <f t="shared" si="11"/>
        <v>0</v>
      </c>
      <c r="AG61" s="142">
        <f t="shared" si="12"/>
        <v>0</v>
      </c>
      <c r="AH61" s="147">
        <f t="shared" si="13"/>
        <v>0</v>
      </c>
      <c r="AI61" s="211">
        <f t="shared" si="14"/>
        <v>0</v>
      </c>
      <c r="AK61" s="142">
        <f t="shared" si="15"/>
        <v>0</v>
      </c>
    </row>
    <row r="62" spans="1:37" x14ac:dyDescent="0.25">
      <c r="A62" s="121">
        <f t="shared" si="0"/>
        <v>56</v>
      </c>
      <c r="B62" s="159" t="s">
        <v>123</v>
      </c>
      <c r="C62" s="159" t="s">
        <v>84</v>
      </c>
      <c r="D62" s="159" t="s">
        <v>124</v>
      </c>
      <c r="E62" s="159" t="s">
        <v>97</v>
      </c>
      <c r="F62" s="150">
        <v>0</v>
      </c>
      <c r="G62" s="129"/>
      <c r="H62" s="163">
        <v>19252</v>
      </c>
      <c r="I62" s="163">
        <v>19281</v>
      </c>
      <c r="J62" s="163">
        <v>18542</v>
      </c>
      <c r="K62" s="163">
        <v>19389</v>
      </c>
      <c r="L62" s="163">
        <v>17573</v>
      </c>
      <c r="M62" s="163">
        <v>14741</v>
      </c>
      <c r="N62" s="163">
        <v>11880</v>
      </c>
      <c r="O62" s="163">
        <v>10177</v>
      </c>
      <c r="P62" s="163">
        <v>10080</v>
      </c>
      <c r="Q62" s="163">
        <v>10000</v>
      </c>
      <c r="R62" s="163">
        <v>10000</v>
      </c>
      <c r="S62" s="163">
        <v>12018</v>
      </c>
      <c r="T62" s="164">
        <v>0</v>
      </c>
      <c r="U62" s="129"/>
      <c r="V62" s="143">
        <f t="shared" si="1"/>
        <v>0</v>
      </c>
      <c r="W62" s="143">
        <f t="shared" si="2"/>
        <v>0</v>
      </c>
      <c r="X62" s="143">
        <f t="shared" si="3"/>
        <v>0</v>
      </c>
      <c r="Y62" s="143">
        <f t="shared" si="4"/>
        <v>0</v>
      </c>
      <c r="Z62" s="143">
        <f t="shared" si="5"/>
        <v>0</v>
      </c>
      <c r="AA62" s="143">
        <f t="shared" si="6"/>
        <v>0</v>
      </c>
      <c r="AB62" s="143">
        <f t="shared" si="7"/>
        <v>0</v>
      </c>
      <c r="AC62" s="143">
        <f t="shared" si="8"/>
        <v>0</v>
      </c>
      <c r="AD62" s="143">
        <f t="shared" si="9"/>
        <v>0</v>
      </c>
      <c r="AE62" s="143">
        <f t="shared" si="10"/>
        <v>0</v>
      </c>
      <c r="AF62" s="143">
        <f t="shared" si="11"/>
        <v>0</v>
      </c>
      <c r="AG62" s="143">
        <f t="shared" si="12"/>
        <v>0</v>
      </c>
      <c r="AH62" s="148">
        <f t="shared" si="13"/>
        <v>0</v>
      </c>
      <c r="AI62" s="212">
        <f t="shared" si="14"/>
        <v>0</v>
      </c>
      <c r="AK62" s="143">
        <f t="shared" si="15"/>
        <v>0</v>
      </c>
    </row>
    <row r="63" spans="1:37" x14ac:dyDescent="0.25">
      <c r="A63" s="121">
        <f t="shared" si="0"/>
        <v>57</v>
      </c>
      <c r="B63" s="159" t="s">
        <v>124</v>
      </c>
      <c r="C63" s="159" t="s">
        <v>84</v>
      </c>
      <c r="D63" s="159" t="s">
        <v>124</v>
      </c>
      <c r="E63" s="159" t="s">
        <v>98</v>
      </c>
      <c r="F63" s="150">
        <v>0</v>
      </c>
      <c r="G63" s="129"/>
      <c r="H63" s="163">
        <v>10389</v>
      </c>
      <c r="I63" s="163">
        <v>11507</v>
      </c>
      <c r="J63" s="163">
        <v>15979</v>
      </c>
      <c r="K63" s="163">
        <v>14326</v>
      </c>
      <c r="L63" s="163">
        <v>8908</v>
      </c>
      <c r="M63" s="163">
        <v>12307</v>
      </c>
      <c r="N63" s="163">
        <v>11054</v>
      </c>
      <c r="O63" s="163">
        <v>14782</v>
      </c>
      <c r="P63" s="163">
        <v>6905</v>
      </c>
      <c r="Q63" s="163">
        <v>9449</v>
      </c>
      <c r="R63" s="163">
        <v>11412</v>
      </c>
      <c r="S63" s="163">
        <v>14080</v>
      </c>
      <c r="T63" s="164">
        <v>0</v>
      </c>
      <c r="U63" s="129"/>
      <c r="V63" s="143">
        <f t="shared" si="1"/>
        <v>0</v>
      </c>
      <c r="W63" s="143">
        <f t="shared" si="2"/>
        <v>0</v>
      </c>
      <c r="X63" s="143">
        <f t="shared" si="3"/>
        <v>0</v>
      </c>
      <c r="Y63" s="143">
        <f t="shared" si="4"/>
        <v>0</v>
      </c>
      <c r="Z63" s="143">
        <f t="shared" si="5"/>
        <v>0</v>
      </c>
      <c r="AA63" s="143">
        <f t="shared" si="6"/>
        <v>0</v>
      </c>
      <c r="AB63" s="143">
        <f t="shared" si="7"/>
        <v>0</v>
      </c>
      <c r="AC63" s="143">
        <f t="shared" si="8"/>
        <v>0</v>
      </c>
      <c r="AD63" s="143">
        <f t="shared" si="9"/>
        <v>0</v>
      </c>
      <c r="AE63" s="143">
        <f t="shared" si="10"/>
        <v>0</v>
      </c>
      <c r="AF63" s="143">
        <f t="shared" si="11"/>
        <v>0</v>
      </c>
      <c r="AG63" s="143">
        <f t="shared" si="12"/>
        <v>0</v>
      </c>
      <c r="AH63" s="148">
        <f t="shared" si="13"/>
        <v>0</v>
      </c>
      <c r="AI63" s="212">
        <f t="shared" si="14"/>
        <v>0</v>
      </c>
      <c r="AK63" s="143">
        <f t="shared" si="15"/>
        <v>0</v>
      </c>
    </row>
    <row r="64" spans="1:37" x14ac:dyDescent="0.25">
      <c r="A64" s="121">
        <f t="shared" si="0"/>
        <v>58</v>
      </c>
      <c r="B64" s="159"/>
      <c r="C64" s="159" t="s">
        <v>84</v>
      </c>
      <c r="D64" s="159" t="s">
        <v>124</v>
      </c>
      <c r="E64" s="159" t="s">
        <v>111</v>
      </c>
      <c r="F64" s="150">
        <v>0</v>
      </c>
      <c r="G64" s="129"/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v>0</v>
      </c>
      <c r="N64" s="163">
        <v>0</v>
      </c>
      <c r="O64" s="163">
        <v>0</v>
      </c>
      <c r="P64" s="163">
        <v>0</v>
      </c>
      <c r="Q64" s="163">
        <v>0</v>
      </c>
      <c r="R64" s="163">
        <v>0</v>
      </c>
      <c r="S64" s="163">
        <v>0</v>
      </c>
      <c r="T64" s="164">
        <v>0</v>
      </c>
      <c r="U64" s="129"/>
      <c r="V64" s="143">
        <f t="shared" si="1"/>
        <v>0</v>
      </c>
      <c r="W64" s="143">
        <f t="shared" si="2"/>
        <v>0</v>
      </c>
      <c r="X64" s="143">
        <f t="shared" si="3"/>
        <v>0</v>
      </c>
      <c r="Y64" s="143">
        <f t="shared" si="4"/>
        <v>0</v>
      </c>
      <c r="Z64" s="143">
        <f t="shared" si="5"/>
        <v>0</v>
      </c>
      <c r="AA64" s="143">
        <f t="shared" si="6"/>
        <v>0</v>
      </c>
      <c r="AB64" s="143">
        <f t="shared" si="7"/>
        <v>0</v>
      </c>
      <c r="AC64" s="143">
        <f t="shared" si="8"/>
        <v>0</v>
      </c>
      <c r="AD64" s="143">
        <f t="shared" si="9"/>
        <v>0</v>
      </c>
      <c r="AE64" s="143">
        <f t="shared" si="10"/>
        <v>0</v>
      </c>
      <c r="AF64" s="143">
        <f t="shared" si="11"/>
        <v>0</v>
      </c>
      <c r="AG64" s="143">
        <f t="shared" si="12"/>
        <v>0</v>
      </c>
      <c r="AH64" s="148">
        <f t="shared" si="13"/>
        <v>0</v>
      </c>
      <c r="AI64" s="212">
        <f t="shared" si="14"/>
        <v>0</v>
      </c>
      <c r="AK64" s="143">
        <f t="shared" si="15"/>
        <v>0</v>
      </c>
    </row>
    <row r="65" spans="1:37" x14ac:dyDescent="0.25">
      <c r="A65" s="121">
        <f t="shared" si="0"/>
        <v>59</v>
      </c>
      <c r="B65" s="159"/>
      <c r="C65" s="159" t="s">
        <v>84</v>
      </c>
      <c r="D65" s="159" t="s">
        <v>124</v>
      </c>
      <c r="E65" s="159" t="s">
        <v>112</v>
      </c>
      <c r="F65" s="150">
        <v>0</v>
      </c>
      <c r="G65" s="129"/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v>0</v>
      </c>
      <c r="P65" s="163">
        <v>0</v>
      </c>
      <c r="Q65" s="163">
        <v>0</v>
      </c>
      <c r="R65" s="163">
        <v>0</v>
      </c>
      <c r="S65" s="163">
        <v>0</v>
      </c>
      <c r="T65" s="164">
        <v>0</v>
      </c>
      <c r="U65" s="129"/>
      <c r="V65" s="143">
        <f t="shared" si="1"/>
        <v>0</v>
      </c>
      <c r="W65" s="143">
        <f t="shared" si="2"/>
        <v>0</v>
      </c>
      <c r="X65" s="143">
        <f t="shared" si="3"/>
        <v>0</v>
      </c>
      <c r="Y65" s="143">
        <f t="shared" si="4"/>
        <v>0</v>
      </c>
      <c r="Z65" s="143">
        <f t="shared" si="5"/>
        <v>0</v>
      </c>
      <c r="AA65" s="143">
        <f t="shared" si="6"/>
        <v>0</v>
      </c>
      <c r="AB65" s="143">
        <f t="shared" si="7"/>
        <v>0</v>
      </c>
      <c r="AC65" s="143">
        <f t="shared" si="8"/>
        <v>0</v>
      </c>
      <c r="AD65" s="143">
        <f t="shared" si="9"/>
        <v>0</v>
      </c>
      <c r="AE65" s="143">
        <f t="shared" si="10"/>
        <v>0</v>
      </c>
      <c r="AF65" s="143">
        <f t="shared" si="11"/>
        <v>0</v>
      </c>
      <c r="AG65" s="143">
        <f t="shared" si="12"/>
        <v>0</v>
      </c>
      <c r="AH65" s="148">
        <f t="shared" si="13"/>
        <v>0</v>
      </c>
      <c r="AI65" s="212">
        <f t="shared" si="14"/>
        <v>0</v>
      </c>
      <c r="AK65" s="143">
        <f t="shared" si="15"/>
        <v>0</v>
      </c>
    </row>
    <row r="66" spans="1:37" x14ac:dyDescent="0.25">
      <c r="A66" s="121">
        <f t="shared" si="0"/>
        <v>60</v>
      </c>
      <c r="B66" s="159"/>
      <c r="C66" s="159" t="s">
        <v>84</v>
      </c>
      <c r="D66" s="159" t="s">
        <v>124</v>
      </c>
      <c r="E66" s="159" t="s">
        <v>113</v>
      </c>
      <c r="F66" s="150">
        <v>0</v>
      </c>
      <c r="G66" s="129"/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v>0</v>
      </c>
      <c r="N66" s="163">
        <v>0</v>
      </c>
      <c r="O66" s="163">
        <v>0</v>
      </c>
      <c r="P66" s="163">
        <v>0</v>
      </c>
      <c r="Q66" s="163">
        <v>0</v>
      </c>
      <c r="R66" s="163">
        <v>0</v>
      </c>
      <c r="S66" s="163">
        <v>0</v>
      </c>
      <c r="T66" s="164">
        <v>0</v>
      </c>
      <c r="U66" s="129"/>
      <c r="V66" s="143">
        <f t="shared" si="1"/>
        <v>0</v>
      </c>
      <c r="W66" s="143">
        <f t="shared" si="2"/>
        <v>0</v>
      </c>
      <c r="X66" s="143">
        <f t="shared" si="3"/>
        <v>0</v>
      </c>
      <c r="Y66" s="143">
        <f t="shared" si="4"/>
        <v>0</v>
      </c>
      <c r="Z66" s="143">
        <f t="shared" si="5"/>
        <v>0</v>
      </c>
      <c r="AA66" s="143">
        <f t="shared" si="6"/>
        <v>0</v>
      </c>
      <c r="AB66" s="143">
        <f t="shared" si="7"/>
        <v>0</v>
      </c>
      <c r="AC66" s="143">
        <f t="shared" si="8"/>
        <v>0</v>
      </c>
      <c r="AD66" s="143">
        <f t="shared" si="9"/>
        <v>0</v>
      </c>
      <c r="AE66" s="143">
        <f t="shared" si="10"/>
        <v>0</v>
      </c>
      <c r="AF66" s="143">
        <f t="shared" si="11"/>
        <v>0</v>
      </c>
      <c r="AG66" s="143">
        <f t="shared" si="12"/>
        <v>0</v>
      </c>
      <c r="AH66" s="148">
        <f t="shared" si="13"/>
        <v>0</v>
      </c>
      <c r="AI66" s="212">
        <f t="shared" si="14"/>
        <v>0</v>
      </c>
      <c r="AK66" s="143">
        <f t="shared" si="15"/>
        <v>0</v>
      </c>
    </row>
    <row r="67" spans="1:37" x14ac:dyDescent="0.25">
      <c r="A67" s="121">
        <f t="shared" si="0"/>
        <v>61</v>
      </c>
      <c r="B67" s="160"/>
      <c r="C67" s="160" t="s">
        <v>84</v>
      </c>
      <c r="D67" s="160" t="s">
        <v>124</v>
      </c>
      <c r="E67" s="160" t="s">
        <v>114</v>
      </c>
      <c r="F67" s="149">
        <v>0</v>
      </c>
      <c r="G67" s="127"/>
      <c r="H67" s="166">
        <v>0</v>
      </c>
      <c r="I67" s="166">
        <v>0</v>
      </c>
      <c r="J67" s="161">
        <v>0</v>
      </c>
      <c r="K67" s="161">
        <v>0</v>
      </c>
      <c r="L67" s="161">
        <v>0</v>
      </c>
      <c r="M67" s="161">
        <v>0</v>
      </c>
      <c r="N67" s="161">
        <v>0</v>
      </c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2">
        <v>0</v>
      </c>
      <c r="U67" s="127"/>
      <c r="V67" s="145">
        <f t="shared" si="1"/>
        <v>0</v>
      </c>
      <c r="W67" s="145">
        <f t="shared" si="2"/>
        <v>0</v>
      </c>
      <c r="X67" s="145">
        <f t="shared" si="3"/>
        <v>0</v>
      </c>
      <c r="Y67" s="145">
        <f t="shared" si="4"/>
        <v>0</v>
      </c>
      <c r="Z67" s="145">
        <f t="shared" si="5"/>
        <v>0</v>
      </c>
      <c r="AA67" s="145">
        <f t="shared" si="6"/>
        <v>0</v>
      </c>
      <c r="AB67" s="145">
        <f t="shared" si="7"/>
        <v>0</v>
      </c>
      <c r="AC67" s="145">
        <f t="shared" si="8"/>
        <v>0</v>
      </c>
      <c r="AD67" s="145">
        <f t="shared" si="9"/>
        <v>0</v>
      </c>
      <c r="AE67" s="145">
        <f t="shared" si="10"/>
        <v>0</v>
      </c>
      <c r="AF67" s="145">
        <f t="shared" si="11"/>
        <v>0</v>
      </c>
      <c r="AG67" s="145">
        <f t="shared" si="12"/>
        <v>0</v>
      </c>
      <c r="AH67" s="147">
        <f t="shared" si="13"/>
        <v>0</v>
      </c>
      <c r="AI67" s="214">
        <f t="shared" si="14"/>
        <v>0</v>
      </c>
      <c r="AK67" s="145">
        <f t="shared" si="15"/>
        <v>0</v>
      </c>
    </row>
    <row r="68" spans="1:37" x14ac:dyDescent="0.25">
      <c r="A68" s="121">
        <f t="shared" si="0"/>
        <v>62</v>
      </c>
      <c r="B68" s="159" t="s">
        <v>125</v>
      </c>
      <c r="C68" s="159" t="s">
        <v>84</v>
      </c>
      <c r="D68" s="159" t="s">
        <v>126</v>
      </c>
      <c r="E68" s="159" t="s">
        <v>97</v>
      </c>
      <c r="F68" s="150">
        <v>0</v>
      </c>
      <c r="G68" s="129"/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3">
        <v>0</v>
      </c>
      <c r="Q68" s="163">
        <v>0</v>
      </c>
      <c r="R68" s="163">
        <v>0</v>
      </c>
      <c r="S68" s="163">
        <v>0</v>
      </c>
      <c r="T68" s="164">
        <v>0</v>
      </c>
      <c r="U68" s="129"/>
      <c r="V68" s="143">
        <f t="shared" si="1"/>
        <v>0</v>
      </c>
      <c r="W68" s="143">
        <f t="shared" si="2"/>
        <v>0</v>
      </c>
      <c r="X68" s="143">
        <f t="shared" si="3"/>
        <v>0</v>
      </c>
      <c r="Y68" s="143">
        <f t="shared" si="4"/>
        <v>0</v>
      </c>
      <c r="Z68" s="143">
        <f t="shared" si="5"/>
        <v>0</v>
      </c>
      <c r="AA68" s="143">
        <f t="shared" si="6"/>
        <v>0</v>
      </c>
      <c r="AB68" s="143">
        <f t="shared" si="7"/>
        <v>0</v>
      </c>
      <c r="AC68" s="143">
        <f t="shared" si="8"/>
        <v>0</v>
      </c>
      <c r="AD68" s="143">
        <f t="shared" si="9"/>
        <v>0</v>
      </c>
      <c r="AE68" s="143">
        <f t="shared" si="10"/>
        <v>0</v>
      </c>
      <c r="AF68" s="143">
        <f t="shared" si="11"/>
        <v>0</v>
      </c>
      <c r="AG68" s="143">
        <f t="shared" si="12"/>
        <v>0</v>
      </c>
      <c r="AH68" s="148">
        <f t="shared" si="13"/>
        <v>0</v>
      </c>
      <c r="AI68" s="212">
        <f t="shared" si="14"/>
        <v>0</v>
      </c>
      <c r="AK68" s="143">
        <f t="shared" si="15"/>
        <v>0</v>
      </c>
    </row>
    <row r="69" spans="1:37" x14ac:dyDescent="0.25">
      <c r="A69" s="121">
        <f t="shared" si="0"/>
        <v>63</v>
      </c>
      <c r="B69" s="159" t="s">
        <v>126</v>
      </c>
      <c r="C69" s="159" t="s">
        <v>84</v>
      </c>
      <c r="D69" s="159" t="s">
        <v>126</v>
      </c>
      <c r="E69" s="159" t="s">
        <v>98</v>
      </c>
      <c r="F69" s="150">
        <v>0</v>
      </c>
      <c r="G69" s="129"/>
      <c r="H69" s="163">
        <v>0</v>
      </c>
      <c r="I69" s="163">
        <v>0</v>
      </c>
      <c r="J69" s="163">
        <v>0</v>
      </c>
      <c r="K69" s="163">
        <v>0</v>
      </c>
      <c r="L69" s="163">
        <v>0</v>
      </c>
      <c r="M69" s="163">
        <v>0</v>
      </c>
      <c r="N69" s="163">
        <v>0</v>
      </c>
      <c r="O69" s="163">
        <v>0</v>
      </c>
      <c r="P69" s="163">
        <v>0</v>
      </c>
      <c r="Q69" s="163">
        <v>0</v>
      </c>
      <c r="R69" s="163">
        <v>0</v>
      </c>
      <c r="S69" s="163">
        <v>0</v>
      </c>
      <c r="T69" s="164">
        <v>0</v>
      </c>
      <c r="U69" s="129"/>
      <c r="V69" s="143">
        <f t="shared" si="1"/>
        <v>0</v>
      </c>
      <c r="W69" s="143">
        <f t="shared" si="2"/>
        <v>0</v>
      </c>
      <c r="X69" s="143">
        <f t="shared" si="3"/>
        <v>0</v>
      </c>
      <c r="Y69" s="143">
        <f t="shared" si="4"/>
        <v>0</v>
      </c>
      <c r="Z69" s="143">
        <f t="shared" si="5"/>
        <v>0</v>
      </c>
      <c r="AA69" s="143">
        <f t="shared" si="6"/>
        <v>0</v>
      </c>
      <c r="AB69" s="143">
        <f t="shared" si="7"/>
        <v>0</v>
      </c>
      <c r="AC69" s="143">
        <f t="shared" si="8"/>
        <v>0</v>
      </c>
      <c r="AD69" s="143">
        <f t="shared" si="9"/>
        <v>0</v>
      </c>
      <c r="AE69" s="143">
        <f t="shared" si="10"/>
        <v>0</v>
      </c>
      <c r="AF69" s="143">
        <f t="shared" si="11"/>
        <v>0</v>
      </c>
      <c r="AG69" s="143">
        <f t="shared" si="12"/>
        <v>0</v>
      </c>
      <c r="AH69" s="148">
        <f t="shared" si="13"/>
        <v>0</v>
      </c>
      <c r="AI69" s="212">
        <f t="shared" si="14"/>
        <v>0</v>
      </c>
      <c r="AK69" s="143">
        <f t="shared" si="15"/>
        <v>0</v>
      </c>
    </row>
    <row r="70" spans="1:37" x14ac:dyDescent="0.25">
      <c r="A70" s="121">
        <f t="shared" si="0"/>
        <v>64</v>
      </c>
      <c r="B70" s="159"/>
      <c r="C70" s="159" t="s">
        <v>84</v>
      </c>
      <c r="D70" s="159" t="s">
        <v>126</v>
      </c>
      <c r="E70" s="159" t="s">
        <v>111</v>
      </c>
      <c r="F70" s="150">
        <v>0</v>
      </c>
      <c r="G70" s="129"/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v>0</v>
      </c>
      <c r="P70" s="163">
        <v>0</v>
      </c>
      <c r="Q70" s="163">
        <v>0</v>
      </c>
      <c r="R70" s="163">
        <v>0</v>
      </c>
      <c r="S70" s="163">
        <v>0</v>
      </c>
      <c r="T70" s="164">
        <v>0</v>
      </c>
      <c r="U70" s="129"/>
      <c r="V70" s="143">
        <f t="shared" si="1"/>
        <v>0</v>
      </c>
      <c r="W70" s="143">
        <f t="shared" si="2"/>
        <v>0</v>
      </c>
      <c r="X70" s="143">
        <f t="shared" si="3"/>
        <v>0</v>
      </c>
      <c r="Y70" s="143">
        <f t="shared" si="4"/>
        <v>0</v>
      </c>
      <c r="Z70" s="143">
        <f t="shared" si="5"/>
        <v>0</v>
      </c>
      <c r="AA70" s="143">
        <f t="shared" si="6"/>
        <v>0</v>
      </c>
      <c r="AB70" s="143">
        <f t="shared" si="7"/>
        <v>0</v>
      </c>
      <c r="AC70" s="143">
        <f t="shared" si="8"/>
        <v>0</v>
      </c>
      <c r="AD70" s="143">
        <f t="shared" si="9"/>
        <v>0</v>
      </c>
      <c r="AE70" s="143">
        <f t="shared" si="10"/>
        <v>0</v>
      </c>
      <c r="AF70" s="143">
        <f t="shared" si="11"/>
        <v>0</v>
      </c>
      <c r="AG70" s="143">
        <f t="shared" si="12"/>
        <v>0</v>
      </c>
      <c r="AH70" s="148">
        <f t="shared" si="13"/>
        <v>0</v>
      </c>
      <c r="AI70" s="212">
        <f t="shared" si="14"/>
        <v>0</v>
      </c>
      <c r="AK70" s="143">
        <f t="shared" si="15"/>
        <v>0</v>
      </c>
    </row>
    <row r="71" spans="1:37" x14ac:dyDescent="0.25">
      <c r="A71" s="121">
        <f t="shared" si="0"/>
        <v>65</v>
      </c>
      <c r="B71" s="159"/>
      <c r="C71" s="159" t="s">
        <v>84</v>
      </c>
      <c r="D71" s="159" t="s">
        <v>126</v>
      </c>
      <c r="E71" s="159" t="s">
        <v>112</v>
      </c>
      <c r="F71" s="150">
        <v>0</v>
      </c>
      <c r="G71" s="129"/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3">
        <v>0</v>
      </c>
      <c r="Q71" s="163">
        <v>0</v>
      </c>
      <c r="R71" s="163">
        <v>0</v>
      </c>
      <c r="S71" s="163">
        <v>0</v>
      </c>
      <c r="T71" s="164">
        <v>0</v>
      </c>
      <c r="U71" s="129"/>
      <c r="V71" s="143">
        <f t="shared" si="1"/>
        <v>0</v>
      </c>
      <c r="W71" s="143">
        <f t="shared" si="2"/>
        <v>0</v>
      </c>
      <c r="X71" s="143">
        <f t="shared" si="3"/>
        <v>0</v>
      </c>
      <c r="Y71" s="143">
        <f t="shared" si="4"/>
        <v>0</v>
      </c>
      <c r="Z71" s="143">
        <f t="shared" si="5"/>
        <v>0</v>
      </c>
      <c r="AA71" s="143">
        <f t="shared" si="6"/>
        <v>0</v>
      </c>
      <c r="AB71" s="143">
        <f t="shared" si="7"/>
        <v>0</v>
      </c>
      <c r="AC71" s="143">
        <f t="shared" si="8"/>
        <v>0</v>
      </c>
      <c r="AD71" s="143">
        <f t="shared" si="9"/>
        <v>0</v>
      </c>
      <c r="AE71" s="143">
        <f t="shared" si="10"/>
        <v>0</v>
      </c>
      <c r="AF71" s="143">
        <f t="shared" si="11"/>
        <v>0</v>
      </c>
      <c r="AG71" s="143">
        <f t="shared" si="12"/>
        <v>0</v>
      </c>
      <c r="AH71" s="148">
        <f t="shared" si="13"/>
        <v>0</v>
      </c>
      <c r="AI71" s="212">
        <f t="shared" si="14"/>
        <v>0</v>
      </c>
      <c r="AK71" s="143">
        <f t="shared" si="15"/>
        <v>0</v>
      </c>
    </row>
    <row r="72" spans="1:37" x14ac:dyDescent="0.25">
      <c r="A72" s="121">
        <f t="shared" ref="A72:A95" si="16">+A71+1</f>
        <v>66</v>
      </c>
      <c r="B72" s="159"/>
      <c r="C72" s="159" t="s">
        <v>84</v>
      </c>
      <c r="D72" s="159" t="s">
        <v>126</v>
      </c>
      <c r="E72" s="159" t="s">
        <v>113</v>
      </c>
      <c r="F72" s="150">
        <v>0</v>
      </c>
      <c r="G72" s="129"/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3">
        <v>0</v>
      </c>
      <c r="T72" s="164">
        <v>0</v>
      </c>
      <c r="U72" s="129"/>
      <c r="V72" s="143">
        <f t="shared" si="1"/>
        <v>0</v>
      </c>
      <c r="W72" s="143">
        <f t="shared" si="2"/>
        <v>0</v>
      </c>
      <c r="X72" s="143">
        <f t="shared" si="3"/>
        <v>0</v>
      </c>
      <c r="Y72" s="143">
        <f t="shared" si="4"/>
        <v>0</v>
      </c>
      <c r="Z72" s="143">
        <f t="shared" si="5"/>
        <v>0</v>
      </c>
      <c r="AA72" s="143">
        <f t="shared" si="6"/>
        <v>0</v>
      </c>
      <c r="AB72" s="143">
        <f t="shared" si="7"/>
        <v>0</v>
      </c>
      <c r="AC72" s="143">
        <f t="shared" si="8"/>
        <v>0</v>
      </c>
      <c r="AD72" s="143">
        <f t="shared" si="9"/>
        <v>0</v>
      </c>
      <c r="AE72" s="143">
        <f t="shared" si="10"/>
        <v>0</v>
      </c>
      <c r="AF72" s="143">
        <f t="shared" si="11"/>
        <v>0</v>
      </c>
      <c r="AG72" s="143">
        <f t="shared" si="12"/>
        <v>0</v>
      </c>
      <c r="AH72" s="148">
        <f t="shared" si="13"/>
        <v>0</v>
      </c>
      <c r="AI72" s="212">
        <f t="shared" si="14"/>
        <v>0</v>
      </c>
      <c r="AK72" s="143">
        <f t="shared" si="15"/>
        <v>0</v>
      </c>
    </row>
    <row r="73" spans="1:37" x14ac:dyDescent="0.25">
      <c r="A73" s="121">
        <f t="shared" si="16"/>
        <v>67</v>
      </c>
      <c r="B73" s="160"/>
      <c r="C73" s="160" t="s">
        <v>84</v>
      </c>
      <c r="D73" s="160" t="s">
        <v>126</v>
      </c>
      <c r="E73" s="160" t="s">
        <v>114</v>
      </c>
      <c r="F73" s="149">
        <v>0</v>
      </c>
      <c r="G73" s="127"/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>
        <v>0</v>
      </c>
      <c r="N73" s="161">
        <v>0</v>
      </c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2">
        <v>0</v>
      </c>
      <c r="U73" s="127"/>
      <c r="V73" s="142">
        <f t="shared" si="1"/>
        <v>0</v>
      </c>
      <c r="W73" s="142">
        <f t="shared" si="2"/>
        <v>0</v>
      </c>
      <c r="X73" s="142">
        <f t="shared" si="3"/>
        <v>0</v>
      </c>
      <c r="Y73" s="142">
        <f t="shared" si="4"/>
        <v>0</v>
      </c>
      <c r="Z73" s="142">
        <f t="shared" si="5"/>
        <v>0</v>
      </c>
      <c r="AA73" s="142">
        <f t="shared" si="6"/>
        <v>0</v>
      </c>
      <c r="AB73" s="142">
        <f t="shared" si="7"/>
        <v>0</v>
      </c>
      <c r="AC73" s="142">
        <f t="shared" si="8"/>
        <v>0</v>
      </c>
      <c r="AD73" s="142">
        <f t="shared" si="9"/>
        <v>0</v>
      </c>
      <c r="AE73" s="142">
        <f t="shared" si="10"/>
        <v>0</v>
      </c>
      <c r="AF73" s="142">
        <f t="shared" si="11"/>
        <v>0</v>
      </c>
      <c r="AG73" s="142">
        <f t="shared" si="12"/>
        <v>0</v>
      </c>
      <c r="AH73" s="147">
        <f t="shared" si="13"/>
        <v>0</v>
      </c>
      <c r="AI73" s="211">
        <f t="shared" si="14"/>
        <v>0</v>
      </c>
      <c r="AK73" s="142">
        <f t="shared" si="15"/>
        <v>0</v>
      </c>
    </row>
    <row r="74" spans="1:37" x14ac:dyDescent="0.25">
      <c r="A74" s="121">
        <f t="shared" si="16"/>
        <v>68</v>
      </c>
      <c r="B74" s="159" t="s">
        <v>127</v>
      </c>
      <c r="C74" s="159" t="s">
        <v>84</v>
      </c>
      <c r="D74" s="159" t="s">
        <v>128</v>
      </c>
      <c r="E74" s="159" t="s">
        <v>97</v>
      </c>
      <c r="F74" s="150">
        <v>0</v>
      </c>
      <c r="G74" s="129"/>
      <c r="H74" s="167">
        <v>81812</v>
      </c>
      <c r="I74" s="167">
        <v>75245</v>
      </c>
      <c r="J74" s="163">
        <v>66282</v>
      </c>
      <c r="K74" s="163">
        <v>74113</v>
      </c>
      <c r="L74" s="163">
        <v>67100</v>
      </c>
      <c r="M74" s="163">
        <v>81226</v>
      </c>
      <c r="N74" s="163">
        <v>75408</v>
      </c>
      <c r="O74" s="163">
        <v>75967</v>
      </c>
      <c r="P74" s="163">
        <v>81256</v>
      </c>
      <c r="Q74" s="163">
        <v>83846</v>
      </c>
      <c r="R74" s="163">
        <v>84876</v>
      </c>
      <c r="S74" s="163">
        <v>84327</v>
      </c>
      <c r="T74" s="164">
        <v>0</v>
      </c>
      <c r="U74" s="129"/>
      <c r="V74" s="146">
        <f t="shared" si="1"/>
        <v>0</v>
      </c>
      <c r="W74" s="146">
        <f t="shared" si="2"/>
        <v>0</v>
      </c>
      <c r="X74" s="146">
        <f t="shared" si="3"/>
        <v>0</v>
      </c>
      <c r="Y74" s="146">
        <f t="shared" si="4"/>
        <v>0</v>
      </c>
      <c r="Z74" s="146">
        <f t="shared" si="5"/>
        <v>0</v>
      </c>
      <c r="AA74" s="146">
        <f t="shared" si="6"/>
        <v>0</v>
      </c>
      <c r="AB74" s="146">
        <f t="shared" si="7"/>
        <v>0</v>
      </c>
      <c r="AC74" s="146">
        <f t="shared" si="8"/>
        <v>0</v>
      </c>
      <c r="AD74" s="146">
        <f t="shared" si="9"/>
        <v>0</v>
      </c>
      <c r="AE74" s="146">
        <f t="shared" si="10"/>
        <v>0</v>
      </c>
      <c r="AF74" s="146">
        <f t="shared" si="11"/>
        <v>0</v>
      </c>
      <c r="AG74" s="146">
        <f t="shared" si="12"/>
        <v>0</v>
      </c>
      <c r="AH74" s="151">
        <f t="shared" si="13"/>
        <v>0</v>
      </c>
      <c r="AI74" s="215">
        <f t="shared" si="14"/>
        <v>0</v>
      </c>
      <c r="AK74" s="146">
        <f t="shared" si="15"/>
        <v>0</v>
      </c>
    </row>
    <row r="75" spans="1:37" x14ac:dyDescent="0.25">
      <c r="A75" s="121">
        <f t="shared" si="16"/>
        <v>69</v>
      </c>
      <c r="B75" s="159" t="s">
        <v>128</v>
      </c>
      <c r="C75" s="159" t="s">
        <v>84</v>
      </c>
      <c r="D75" s="159" t="s">
        <v>128</v>
      </c>
      <c r="E75" s="159" t="s">
        <v>98</v>
      </c>
      <c r="F75" s="150">
        <v>0</v>
      </c>
      <c r="G75" s="129"/>
      <c r="H75" s="167">
        <v>118439</v>
      </c>
      <c r="I75" s="167">
        <v>126189</v>
      </c>
      <c r="J75" s="163">
        <v>118268</v>
      </c>
      <c r="K75" s="163">
        <v>127615</v>
      </c>
      <c r="L75" s="163">
        <v>115669</v>
      </c>
      <c r="M75" s="163">
        <v>135151</v>
      </c>
      <c r="N75" s="163">
        <v>142770</v>
      </c>
      <c r="O75" s="163">
        <v>134765</v>
      </c>
      <c r="P75" s="163">
        <v>151516</v>
      </c>
      <c r="Q75" s="163">
        <v>178327</v>
      </c>
      <c r="R75" s="163">
        <v>147383</v>
      </c>
      <c r="S75" s="163">
        <v>154178</v>
      </c>
      <c r="T75" s="164">
        <v>0</v>
      </c>
      <c r="U75" s="129"/>
      <c r="V75" s="146">
        <f t="shared" si="1"/>
        <v>0</v>
      </c>
      <c r="W75" s="146">
        <f t="shared" si="2"/>
        <v>0</v>
      </c>
      <c r="X75" s="146">
        <f t="shared" si="3"/>
        <v>0</v>
      </c>
      <c r="Y75" s="146">
        <f t="shared" si="4"/>
        <v>0</v>
      </c>
      <c r="Z75" s="146">
        <f t="shared" si="5"/>
        <v>0</v>
      </c>
      <c r="AA75" s="146">
        <f t="shared" si="6"/>
        <v>0</v>
      </c>
      <c r="AB75" s="146">
        <f t="shared" si="7"/>
        <v>0</v>
      </c>
      <c r="AC75" s="146">
        <f t="shared" si="8"/>
        <v>0</v>
      </c>
      <c r="AD75" s="146">
        <f t="shared" si="9"/>
        <v>0</v>
      </c>
      <c r="AE75" s="146">
        <f t="shared" si="10"/>
        <v>0</v>
      </c>
      <c r="AF75" s="146">
        <f t="shared" si="11"/>
        <v>0</v>
      </c>
      <c r="AG75" s="146">
        <f t="shared" si="12"/>
        <v>0</v>
      </c>
      <c r="AH75" s="151">
        <f t="shared" si="13"/>
        <v>0</v>
      </c>
      <c r="AI75" s="215">
        <f t="shared" si="14"/>
        <v>0</v>
      </c>
      <c r="AK75" s="146">
        <f t="shared" si="15"/>
        <v>0</v>
      </c>
    </row>
    <row r="76" spans="1:37" x14ac:dyDescent="0.25">
      <c r="A76" s="121">
        <f t="shared" si="16"/>
        <v>70</v>
      </c>
      <c r="B76" s="159"/>
      <c r="C76" s="159" t="s">
        <v>84</v>
      </c>
      <c r="D76" s="159" t="s">
        <v>128</v>
      </c>
      <c r="E76" s="159" t="s">
        <v>111</v>
      </c>
      <c r="F76" s="150">
        <v>0</v>
      </c>
      <c r="G76" s="129"/>
      <c r="H76" s="167">
        <v>100000</v>
      </c>
      <c r="I76" s="167">
        <v>109033</v>
      </c>
      <c r="J76" s="163">
        <v>114542</v>
      </c>
      <c r="K76" s="163">
        <v>96483</v>
      </c>
      <c r="L76" s="163">
        <v>104320</v>
      </c>
      <c r="M76" s="163">
        <v>113693</v>
      </c>
      <c r="N76" s="163">
        <v>112278</v>
      </c>
      <c r="O76" s="163">
        <v>117078</v>
      </c>
      <c r="P76" s="163">
        <v>139981</v>
      </c>
      <c r="Q76" s="163">
        <v>139140</v>
      </c>
      <c r="R76" s="163">
        <v>123947</v>
      </c>
      <c r="S76" s="163">
        <v>104787</v>
      </c>
      <c r="T76" s="164">
        <v>0</v>
      </c>
      <c r="U76" s="129"/>
      <c r="V76" s="146">
        <f t="shared" si="1"/>
        <v>0</v>
      </c>
      <c r="W76" s="146">
        <f t="shared" si="2"/>
        <v>0</v>
      </c>
      <c r="X76" s="146">
        <f t="shared" si="3"/>
        <v>0</v>
      </c>
      <c r="Y76" s="146">
        <f t="shared" si="4"/>
        <v>0</v>
      </c>
      <c r="Z76" s="146">
        <f t="shared" si="5"/>
        <v>0</v>
      </c>
      <c r="AA76" s="146">
        <f t="shared" si="6"/>
        <v>0</v>
      </c>
      <c r="AB76" s="146">
        <f t="shared" si="7"/>
        <v>0</v>
      </c>
      <c r="AC76" s="146">
        <f t="shared" si="8"/>
        <v>0</v>
      </c>
      <c r="AD76" s="146">
        <f t="shared" si="9"/>
        <v>0</v>
      </c>
      <c r="AE76" s="146">
        <f t="shared" si="10"/>
        <v>0</v>
      </c>
      <c r="AF76" s="146">
        <f t="shared" si="11"/>
        <v>0</v>
      </c>
      <c r="AG76" s="146">
        <f t="shared" si="12"/>
        <v>0</v>
      </c>
      <c r="AH76" s="151">
        <f t="shared" si="13"/>
        <v>0</v>
      </c>
      <c r="AI76" s="215">
        <f t="shared" si="14"/>
        <v>0</v>
      </c>
      <c r="AK76" s="146">
        <f t="shared" si="15"/>
        <v>0</v>
      </c>
    </row>
    <row r="77" spans="1:37" x14ac:dyDescent="0.25">
      <c r="A77" s="121">
        <f t="shared" si="16"/>
        <v>71</v>
      </c>
      <c r="B77" s="159"/>
      <c r="C77" s="159" t="s">
        <v>84</v>
      </c>
      <c r="D77" s="159" t="s">
        <v>128</v>
      </c>
      <c r="E77" s="159" t="s">
        <v>112</v>
      </c>
      <c r="F77" s="150">
        <v>0</v>
      </c>
      <c r="G77" s="129"/>
      <c r="H77" s="167">
        <v>362592</v>
      </c>
      <c r="I77" s="167">
        <v>338185</v>
      </c>
      <c r="J77" s="163">
        <v>343029</v>
      </c>
      <c r="K77" s="163">
        <v>282213</v>
      </c>
      <c r="L77" s="163">
        <v>375226</v>
      </c>
      <c r="M77" s="163">
        <v>340772</v>
      </c>
      <c r="N77" s="163">
        <v>342313</v>
      </c>
      <c r="O77" s="163">
        <v>330978</v>
      </c>
      <c r="P77" s="163">
        <v>364316</v>
      </c>
      <c r="Q77" s="163">
        <v>435051</v>
      </c>
      <c r="R77" s="163">
        <v>353430</v>
      </c>
      <c r="S77" s="163">
        <v>409493</v>
      </c>
      <c r="T77" s="164">
        <v>0</v>
      </c>
      <c r="U77" s="129"/>
      <c r="V77" s="146">
        <f t="shared" si="1"/>
        <v>0</v>
      </c>
      <c r="W77" s="146">
        <f t="shared" si="2"/>
        <v>0</v>
      </c>
      <c r="X77" s="146">
        <f t="shared" si="3"/>
        <v>0</v>
      </c>
      <c r="Y77" s="146">
        <f t="shared" si="4"/>
        <v>0</v>
      </c>
      <c r="Z77" s="146">
        <f t="shared" si="5"/>
        <v>0</v>
      </c>
      <c r="AA77" s="146">
        <f t="shared" si="6"/>
        <v>0</v>
      </c>
      <c r="AB77" s="146">
        <f t="shared" si="7"/>
        <v>0</v>
      </c>
      <c r="AC77" s="146">
        <f t="shared" si="8"/>
        <v>0</v>
      </c>
      <c r="AD77" s="146">
        <f t="shared" si="9"/>
        <v>0</v>
      </c>
      <c r="AE77" s="146">
        <f t="shared" si="10"/>
        <v>0</v>
      </c>
      <c r="AF77" s="146">
        <f t="shared" si="11"/>
        <v>0</v>
      </c>
      <c r="AG77" s="146">
        <f t="shared" si="12"/>
        <v>0</v>
      </c>
      <c r="AH77" s="151">
        <f t="shared" si="13"/>
        <v>0</v>
      </c>
      <c r="AI77" s="215">
        <f t="shared" si="14"/>
        <v>0</v>
      </c>
      <c r="AK77" s="146">
        <f t="shared" si="15"/>
        <v>0</v>
      </c>
    </row>
    <row r="78" spans="1:37" x14ac:dyDescent="0.25">
      <c r="A78" s="121">
        <f t="shared" si="16"/>
        <v>72</v>
      </c>
      <c r="B78" s="159"/>
      <c r="C78" s="159" t="s">
        <v>84</v>
      </c>
      <c r="D78" s="159" t="s">
        <v>128</v>
      </c>
      <c r="E78" s="159" t="s">
        <v>113</v>
      </c>
      <c r="F78" s="150">
        <v>0</v>
      </c>
      <c r="G78" s="129"/>
      <c r="H78" s="167">
        <v>217066</v>
      </c>
      <c r="I78" s="167">
        <v>310142</v>
      </c>
      <c r="J78" s="163">
        <v>266525</v>
      </c>
      <c r="K78" s="163">
        <v>168050</v>
      </c>
      <c r="L78" s="163">
        <v>235257</v>
      </c>
      <c r="M78" s="163">
        <v>189908</v>
      </c>
      <c r="N78" s="163">
        <v>176194</v>
      </c>
      <c r="O78" s="163">
        <v>154147</v>
      </c>
      <c r="P78" s="163">
        <v>102913</v>
      </c>
      <c r="Q78" s="163">
        <v>140580</v>
      </c>
      <c r="R78" s="163">
        <v>255506</v>
      </c>
      <c r="S78" s="163">
        <v>388709</v>
      </c>
      <c r="T78" s="164">
        <v>0</v>
      </c>
      <c r="U78" s="129"/>
      <c r="V78" s="146">
        <f t="shared" si="1"/>
        <v>0</v>
      </c>
      <c r="W78" s="146">
        <f t="shared" si="2"/>
        <v>0</v>
      </c>
      <c r="X78" s="146">
        <f t="shared" si="3"/>
        <v>0</v>
      </c>
      <c r="Y78" s="146">
        <f t="shared" si="4"/>
        <v>0</v>
      </c>
      <c r="Z78" s="146">
        <f t="shared" si="5"/>
        <v>0</v>
      </c>
      <c r="AA78" s="146">
        <f t="shared" si="6"/>
        <v>0</v>
      </c>
      <c r="AB78" s="146">
        <f t="shared" si="7"/>
        <v>0</v>
      </c>
      <c r="AC78" s="146">
        <f t="shared" si="8"/>
        <v>0</v>
      </c>
      <c r="AD78" s="146">
        <f t="shared" si="9"/>
        <v>0</v>
      </c>
      <c r="AE78" s="146">
        <f t="shared" si="10"/>
        <v>0</v>
      </c>
      <c r="AF78" s="146">
        <f t="shared" si="11"/>
        <v>0</v>
      </c>
      <c r="AG78" s="146">
        <f t="shared" si="12"/>
        <v>0</v>
      </c>
      <c r="AH78" s="151">
        <f t="shared" si="13"/>
        <v>0</v>
      </c>
      <c r="AI78" s="215">
        <f t="shared" si="14"/>
        <v>0</v>
      </c>
      <c r="AK78" s="146">
        <f t="shared" si="15"/>
        <v>0</v>
      </c>
    </row>
    <row r="79" spans="1:37" x14ac:dyDescent="0.25">
      <c r="A79" s="121">
        <f t="shared" si="16"/>
        <v>73</v>
      </c>
      <c r="B79" s="160"/>
      <c r="C79" s="160" t="s">
        <v>84</v>
      </c>
      <c r="D79" s="160" t="s">
        <v>128</v>
      </c>
      <c r="E79" s="160" t="s">
        <v>114</v>
      </c>
      <c r="F79" s="149">
        <v>0</v>
      </c>
      <c r="G79" s="127"/>
      <c r="H79" s="166">
        <v>0</v>
      </c>
      <c r="I79" s="166">
        <v>0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0</v>
      </c>
      <c r="Q79" s="161">
        <v>0</v>
      </c>
      <c r="R79" s="161">
        <v>0</v>
      </c>
      <c r="S79" s="161">
        <v>0</v>
      </c>
      <c r="T79" s="162">
        <v>0</v>
      </c>
      <c r="U79" s="127"/>
      <c r="V79" s="145">
        <f t="shared" ref="V79" si="17">ROUND($F79*$H79,2)</f>
        <v>0</v>
      </c>
      <c r="W79" s="145">
        <f t="shared" ref="W79" si="18">ROUND($F79*$I79,2)</f>
        <v>0</v>
      </c>
      <c r="X79" s="145">
        <f t="shared" ref="X79" si="19">ROUND($F79*$J79,2)</f>
        <v>0</v>
      </c>
      <c r="Y79" s="145">
        <f t="shared" ref="Y79" si="20">ROUND($F79*$K79,2)</f>
        <v>0</v>
      </c>
      <c r="Z79" s="145">
        <f t="shared" ref="Z79" si="21">ROUND($F79*$L79,2)</f>
        <v>0</v>
      </c>
      <c r="AA79" s="145">
        <f t="shared" ref="AA79" si="22">ROUND($F79*$M79,2)</f>
        <v>0</v>
      </c>
      <c r="AB79" s="145">
        <f t="shared" ref="AB79" si="23">ROUND($F79*$N79,2)</f>
        <v>0</v>
      </c>
      <c r="AC79" s="145">
        <f t="shared" ref="AC79" si="24">ROUND($F79*$O79,2)</f>
        <v>0</v>
      </c>
      <c r="AD79" s="145">
        <f t="shared" ref="AD79" si="25">ROUND($F79*$P79,2)</f>
        <v>0</v>
      </c>
      <c r="AE79" s="145">
        <f t="shared" ref="AE79" si="26">ROUND($F79*$Q79,2)</f>
        <v>0</v>
      </c>
      <c r="AF79" s="145">
        <f t="shared" ref="AF79" si="27">ROUND($F79*$R79,2)</f>
        <v>0</v>
      </c>
      <c r="AG79" s="145">
        <f t="shared" ref="AG79" si="28">ROUND($F79*$S79,2)</f>
        <v>0</v>
      </c>
      <c r="AH79" s="147">
        <f t="shared" ref="AH79" si="29">ROUND($F79*$T79,2)</f>
        <v>0</v>
      </c>
      <c r="AI79" s="214">
        <f t="shared" ref="AI79" si="30">+SUM(V79:AH79)</f>
        <v>0</v>
      </c>
      <c r="AK79" s="145">
        <f t="shared" ref="AK79" si="31">AI79/(1-0.04372)</f>
        <v>0</v>
      </c>
    </row>
    <row r="80" spans="1:37" s="133" customFormat="1" x14ac:dyDescent="0.25">
      <c r="A80" s="121">
        <f t="shared" si="16"/>
        <v>74</v>
      </c>
      <c r="B80" s="120" t="s">
        <v>148</v>
      </c>
      <c r="C80" s="120"/>
      <c r="D80" s="120"/>
      <c r="E80" s="120"/>
      <c r="F80" s="152"/>
      <c r="G80" s="153"/>
      <c r="H80" s="168">
        <f>SUM(H14:H79)</f>
        <v>4223965.8000000007</v>
      </c>
      <c r="I80" s="168">
        <f t="shared" ref="I80:T80" si="32">SUM(I14:I79)</f>
        <v>12172250.9</v>
      </c>
      <c r="J80" s="168">
        <f t="shared" si="32"/>
        <v>15105760.4</v>
      </c>
      <c r="K80" s="168">
        <f t="shared" si="32"/>
        <v>11135793.799999999</v>
      </c>
      <c r="L80" s="168">
        <f t="shared" si="32"/>
        <v>12311111.999999998</v>
      </c>
      <c r="M80" s="168">
        <f t="shared" si="32"/>
        <v>9307610.2000000011</v>
      </c>
      <c r="N80" s="168">
        <f t="shared" si="32"/>
        <v>5651102.7999999998</v>
      </c>
      <c r="O80" s="168">
        <f t="shared" si="32"/>
        <v>4249856.2</v>
      </c>
      <c r="P80" s="168">
        <f t="shared" si="32"/>
        <v>3766544.5</v>
      </c>
      <c r="Q80" s="168">
        <f t="shared" si="32"/>
        <v>3536976.4000000004</v>
      </c>
      <c r="R80" s="168">
        <f t="shared" si="32"/>
        <v>3785600.9</v>
      </c>
      <c r="S80" s="168">
        <f t="shared" si="32"/>
        <v>5061525.8000000007</v>
      </c>
      <c r="T80" s="168">
        <f t="shared" si="32"/>
        <v>3280353.5</v>
      </c>
      <c r="U80" s="153"/>
      <c r="V80" s="154">
        <f>SUM(V14:V79)</f>
        <v>-66287.540000000008</v>
      </c>
      <c r="W80" s="154">
        <f>SUM(W14:W79)</f>
        <v>-269421.4499999999</v>
      </c>
      <c r="X80" s="154">
        <f>SUM(X14:X79)</f>
        <v>-350788.33999999985</v>
      </c>
      <c r="Y80" s="154">
        <f>SUM(Y14:Y79)</f>
        <v>-250201.22</v>
      </c>
      <c r="Z80" s="154">
        <f>SUM(Z14:Z79)</f>
        <v>-277607.3899999999</v>
      </c>
      <c r="AA80" s="154">
        <f t="shared" ref="AA80:AI80" si="33">SUM(AA14:AA79)</f>
        <v>-201019.24</v>
      </c>
      <c r="AB80" s="154">
        <f t="shared" si="33"/>
        <v>-106757.95999999999</v>
      </c>
      <c r="AC80" s="154">
        <f t="shared" si="33"/>
        <v>-71637.39</v>
      </c>
      <c r="AD80" s="154">
        <f t="shared" si="33"/>
        <v>-59735.179999999993</v>
      </c>
      <c r="AE80" s="154">
        <f t="shared" si="33"/>
        <v>-49191.310000000012</v>
      </c>
      <c r="AF80" s="154">
        <f t="shared" si="33"/>
        <v>-54819.209999999992</v>
      </c>
      <c r="AG80" s="154">
        <f t="shared" si="33"/>
        <v>-80518.660000000018</v>
      </c>
      <c r="AH80" s="155">
        <f t="shared" si="33"/>
        <v>-83698.950000000012</v>
      </c>
      <c r="AI80" s="154">
        <f t="shared" si="33"/>
        <v>-1921683.8399999996</v>
      </c>
      <c r="AK80" s="154">
        <f t="shared" ref="AK80" si="34">SUM(AK14:AK79)</f>
        <v>-2009540.9712636464</v>
      </c>
    </row>
    <row r="81" spans="1:37" x14ac:dyDescent="0.25">
      <c r="A81" s="121">
        <f t="shared" si="16"/>
        <v>75</v>
      </c>
      <c r="F81" s="141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</row>
    <row r="82" spans="1:37" x14ac:dyDescent="0.25">
      <c r="A82" s="121">
        <f t="shared" si="16"/>
        <v>76</v>
      </c>
      <c r="F82" s="141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AK82" s="206"/>
    </row>
    <row r="83" spans="1:37" x14ac:dyDescent="0.25">
      <c r="A83" s="121">
        <f t="shared" si="16"/>
        <v>77</v>
      </c>
      <c r="B83" s="120" t="s">
        <v>231</v>
      </c>
      <c r="F83" s="141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37" x14ac:dyDescent="0.25">
      <c r="A84" s="121">
        <f t="shared" si="16"/>
        <v>78</v>
      </c>
      <c r="B84" s="157" t="s">
        <v>232</v>
      </c>
      <c r="C84" s="207"/>
      <c r="D84" s="207"/>
      <c r="E84" s="207"/>
      <c r="F84" s="208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10">
        <f t="shared" ref="V84:AG84" si="35">+V14</f>
        <v>-288.95999999999998</v>
      </c>
      <c r="W84" s="210">
        <f t="shared" si="35"/>
        <v>-1191.77</v>
      </c>
      <c r="X84" s="210">
        <f t="shared" si="35"/>
        <v>-1550.66</v>
      </c>
      <c r="Y84" s="210">
        <f t="shared" si="35"/>
        <v>-1107.44</v>
      </c>
      <c r="Z84" s="210">
        <f t="shared" si="35"/>
        <v>-1233.9000000000001</v>
      </c>
      <c r="AA84" s="210">
        <f t="shared" si="35"/>
        <v>-908.58</v>
      </c>
      <c r="AB84" s="210">
        <f t="shared" si="35"/>
        <v>-537.17999999999995</v>
      </c>
      <c r="AC84" s="210">
        <f t="shared" si="35"/>
        <v>-396.59</v>
      </c>
      <c r="AD84" s="210">
        <f t="shared" si="35"/>
        <v>-330.98</v>
      </c>
      <c r="AE84" s="210">
        <f t="shared" si="35"/>
        <v>-277.8</v>
      </c>
      <c r="AF84" s="210">
        <f t="shared" si="35"/>
        <v>383.85</v>
      </c>
      <c r="AG84" s="210">
        <f t="shared" si="35"/>
        <v>-418.8</v>
      </c>
      <c r="AH84" s="210">
        <f>+SUM(AH14)</f>
        <v>-418.99</v>
      </c>
      <c r="AI84" s="216">
        <f t="shared" ref="AI84:AI89" si="36">+AI14</f>
        <v>-8277.7999999999993</v>
      </c>
      <c r="AK84" s="210">
        <f t="shared" ref="AK84:AK89" si="37">+AK14</f>
        <v>-8656.2513071485337</v>
      </c>
    </row>
    <row r="85" spans="1:37" x14ac:dyDescent="0.25">
      <c r="A85" s="121">
        <f t="shared" si="16"/>
        <v>79</v>
      </c>
      <c r="B85" s="157" t="s">
        <v>233</v>
      </c>
      <c r="C85" s="207"/>
      <c r="D85" s="207"/>
      <c r="E85" s="207"/>
      <c r="F85" s="208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10">
        <f t="shared" ref="V85:AG85" si="38">+V15</f>
        <v>-60.26</v>
      </c>
      <c r="W85" s="210">
        <f t="shared" si="38"/>
        <v>-181.21</v>
      </c>
      <c r="X85" s="210">
        <f t="shared" si="38"/>
        <v>-233.68</v>
      </c>
      <c r="Y85" s="210">
        <f t="shared" si="38"/>
        <v>-160.55000000000001</v>
      </c>
      <c r="Z85" s="210">
        <f t="shared" si="38"/>
        <v>-173.31</v>
      </c>
      <c r="AA85" s="210">
        <f t="shared" si="38"/>
        <v>-123.88</v>
      </c>
      <c r="AB85" s="210">
        <f t="shared" si="38"/>
        <v>-69.099999999999994</v>
      </c>
      <c r="AC85" s="210">
        <f t="shared" si="38"/>
        <v>-57.63</v>
      </c>
      <c r="AD85" s="210">
        <f t="shared" si="38"/>
        <v>-58.77</v>
      </c>
      <c r="AE85" s="210">
        <f t="shared" si="38"/>
        <v>-51.21</v>
      </c>
      <c r="AF85" s="210">
        <f t="shared" si="38"/>
        <v>-58.24</v>
      </c>
      <c r="AG85" s="210">
        <f t="shared" si="38"/>
        <v>-52.25</v>
      </c>
      <c r="AH85" s="210">
        <f t="shared" ref="AH85:AH89" si="39">+SUM(AH15)</f>
        <v>-39.92</v>
      </c>
      <c r="AI85" s="216">
        <f t="shared" si="36"/>
        <v>-1320.0100000000002</v>
      </c>
      <c r="AK85" s="210">
        <f t="shared" si="37"/>
        <v>-1380.3593089889991</v>
      </c>
    </row>
    <row r="86" spans="1:37" x14ac:dyDescent="0.25">
      <c r="A86" s="121">
        <f t="shared" si="16"/>
        <v>80</v>
      </c>
      <c r="B86" s="157">
        <v>2</v>
      </c>
      <c r="C86" s="207"/>
      <c r="D86" s="207"/>
      <c r="E86" s="207"/>
      <c r="F86" s="208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10">
        <f t="shared" ref="V86:AG86" si="40">+V16</f>
        <v>-50732.42</v>
      </c>
      <c r="W86" s="210">
        <f t="shared" si="40"/>
        <v>-202561.53</v>
      </c>
      <c r="X86" s="210">
        <f t="shared" si="40"/>
        <v>-260386.24</v>
      </c>
      <c r="Y86" s="210">
        <f t="shared" si="40"/>
        <v>-186447.16</v>
      </c>
      <c r="Z86" s="210">
        <f t="shared" si="40"/>
        <v>-205839.85</v>
      </c>
      <c r="AA86" s="210">
        <f t="shared" si="40"/>
        <v>-147954.47</v>
      </c>
      <c r="AB86" s="210">
        <f t="shared" si="40"/>
        <v>-75162.58</v>
      </c>
      <c r="AC86" s="210">
        <f t="shared" si="40"/>
        <v>-49166.75</v>
      </c>
      <c r="AD86" s="210">
        <f t="shared" si="40"/>
        <v>-39451.74</v>
      </c>
      <c r="AE86" s="210">
        <f t="shared" si="40"/>
        <v>-32647.39</v>
      </c>
      <c r="AF86" s="210">
        <f t="shared" si="40"/>
        <v>-36866.26</v>
      </c>
      <c r="AG86" s="210">
        <f t="shared" si="40"/>
        <v>-56828.19</v>
      </c>
      <c r="AH86" s="210">
        <f t="shared" si="39"/>
        <v>-60782.43</v>
      </c>
      <c r="AI86" s="216">
        <f t="shared" si="36"/>
        <v>-1404827.0099999998</v>
      </c>
      <c r="AK86" s="210">
        <f t="shared" si="37"/>
        <v>-1469054.0532061737</v>
      </c>
    </row>
    <row r="87" spans="1:37" x14ac:dyDescent="0.25">
      <c r="A87" s="121">
        <f t="shared" si="16"/>
        <v>81</v>
      </c>
      <c r="B87" s="158" t="s">
        <v>234</v>
      </c>
      <c r="C87" s="207"/>
      <c r="D87" s="207"/>
      <c r="E87" s="207"/>
      <c r="F87" s="208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10">
        <f t="shared" ref="V87:AG87" si="41">+V17</f>
        <v>-11720.41</v>
      </c>
      <c r="W87" s="210">
        <f t="shared" si="41"/>
        <v>-53374.27</v>
      </c>
      <c r="X87" s="210">
        <f t="shared" si="41"/>
        <v>-74132.800000000003</v>
      </c>
      <c r="Y87" s="210">
        <f t="shared" si="41"/>
        <v>-51191.45</v>
      </c>
      <c r="Z87" s="210">
        <f t="shared" si="41"/>
        <v>-58186.63</v>
      </c>
      <c r="AA87" s="210">
        <f t="shared" si="41"/>
        <v>-42345.279999999999</v>
      </c>
      <c r="AB87" s="210">
        <f t="shared" si="41"/>
        <v>-24337.07</v>
      </c>
      <c r="AC87" s="210">
        <f t="shared" si="41"/>
        <v>-17033.62</v>
      </c>
      <c r="AD87" s="210">
        <f t="shared" si="41"/>
        <v>-15661.97</v>
      </c>
      <c r="AE87" s="210">
        <f t="shared" si="41"/>
        <v>-12627.15</v>
      </c>
      <c r="AF87" s="210">
        <f t="shared" si="41"/>
        <v>-14181.71</v>
      </c>
      <c r="AG87" s="210">
        <f t="shared" si="41"/>
        <v>-17883.55</v>
      </c>
      <c r="AH87" s="210">
        <f t="shared" si="39"/>
        <v>-17934.62</v>
      </c>
      <c r="AI87" s="216">
        <f t="shared" si="36"/>
        <v>-410610.52999999997</v>
      </c>
      <c r="AK87" s="210">
        <f t="shared" si="37"/>
        <v>-429383.16183544567</v>
      </c>
    </row>
    <row r="88" spans="1:37" x14ac:dyDescent="0.25">
      <c r="A88" s="121">
        <f t="shared" si="16"/>
        <v>82</v>
      </c>
      <c r="B88" s="158" t="s">
        <v>235</v>
      </c>
      <c r="C88" s="207"/>
      <c r="D88" s="207"/>
      <c r="E88" s="207"/>
      <c r="F88" s="208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10">
        <f t="shared" ref="V88:AG88" si="42">+V18</f>
        <v>0</v>
      </c>
      <c r="W88" s="210">
        <f t="shared" si="42"/>
        <v>0</v>
      </c>
      <c r="X88" s="210">
        <f t="shared" si="42"/>
        <v>0</v>
      </c>
      <c r="Y88" s="210">
        <f t="shared" si="42"/>
        <v>0</v>
      </c>
      <c r="Z88" s="210">
        <f t="shared" si="42"/>
        <v>0</v>
      </c>
      <c r="AA88" s="210">
        <f t="shared" si="42"/>
        <v>0</v>
      </c>
      <c r="AB88" s="210">
        <f t="shared" si="42"/>
        <v>0</v>
      </c>
      <c r="AC88" s="210">
        <f t="shared" si="42"/>
        <v>0</v>
      </c>
      <c r="AD88" s="210">
        <f t="shared" si="42"/>
        <v>0</v>
      </c>
      <c r="AE88" s="210">
        <f t="shared" si="42"/>
        <v>0</v>
      </c>
      <c r="AF88" s="210">
        <f t="shared" si="42"/>
        <v>0</v>
      </c>
      <c r="AG88" s="210">
        <f t="shared" si="42"/>
        <v>0</v>
      </c>
      <c r="AH88" s="210">
        <f t="shared" si="39"/>
        <v>0</v>
      </c>
      <c r="AI88" s="216">
        <f t="shared" si="36"/>
        <v>0</v>
      </c>
      <c r="AK88" s="210">
        <f t="shared" si="37"/>
        <v>0</v>
      </c>
    </row>
    <row r="89" spans="1:37" x14ac:dyDescent="0.25">
      <c r="A89" s="121">
        <f t="shared" si="16"/>
        <v>83</v>
      </c>
      <c r="B89" s="157">
        <v>27</v>
      </c>
      <c r="C89" s="207"/>
      <c r="D89" s="207"/>
      <c r="E89" s="207"/>
      <c r="F89" s="208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10">
        <f t="shared" ref="V89:AG89" si="43">+V19</f>
        <v>-478.84</v>
      </c>
      <c r="W89" s="210">
        <f t="shared" si="43"/>
        <v>-1576.38</v>
      </c>
      <c r="X89" s="210">
        <f t="shared" si="43"/>
        <v>-1801.1</v>
      </c>
      <c r="Y89" s="210">
        <f t="shared" si="43"/>
        <v>-1397.94</v>
      </c>
      <c r="Z89" s="210">
        <f t="shared" si="43"/>
        <v>-1467.67</v>
      </c>
      <c r="AA89" s="210">
        <f t="shared" si="43"/>
        <v>-1090.67</v>
      </c>
      <c r="AB89" s="210">
        <f t="shared" si="43"/>
        <v>-556.48</v>
      </c>
      <c r="AC89" s="210">
        <f t="shared" si="43"/>
        <v>-212.84</v>
      </c>
      <c r="AD89" s="210">
        <f t="shared" si="43"/>
        <v>-82.95</v>
      </c>
      <c r="AE89" s="210">
        <f t="shared" si="43"/>
        <v>-18.579999999999998</v>
      </c>
      <c r="AF89" s="210">
        <f t="shared" si="43"/>
        <v>-65.95</v>
      </c>
      <c r="AG89" s="210">
        <f t="shared" si="43"/>
        <v>-322.7</v>
      </c>
      <c r="AH89" s="210">
        <f t="shared" si="39"/>
        <v>-409.41</v>
      </c>
      <c r="AI89" s="216">
        <f t="shared" si="36"/>
        <v>-9481.510000000002</v>
      </c>
      <c r="AK89" s="210">
        <f t="shared" si="37"/>
        <v>-9914.9935165432744</v>
      </c>
    </row>
    <row r="90" spans="1:37" x14ac:dyDescent="0.25">
      <c r="A90" s="121">
        <f t="shared" si="16"/>
        <v>84</v>
      </c>
      <c r="B90" s="157" t="s">
        <v>95</v>
      </c>
      <c r="C90" s="207"/>
      <c r="D90" s="207"/>
      <c r="E90" s="207"/>
      <c r="F90" s="208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10">
        <f t="shared" ref="V90:AI90" si="44">+SUM(V20:V21)</f>
        <v>-1939.04</v>
      </c>
      <c r="W90" s="210">
        <f t="shared" si="44"/>
        <v>-8235.42</v>
      </c>
      <c r="X90" s="210">
        <f t="shared" si="44"/>
        <v>-10291.280000000001</v>
      </c>
      <c r="Y90" s="210">
        <f t="shared" si="44"/>
        <v>-7730.66</v>
      </c>
      <c r="Z90" s="210">
        <f t="shared" si="44"/>
        <v>-8527.2799999999988</v>
      </c>
      <c r="AA90" s="210">
        <f t="shared" si="44"/>
        <v>-6782.38</v>
      </c>
      <c r="AB90" s="210">
        <f t="shared" si="44"/>
        <v>-4615.22</v>
      </c>
      <c r="AC90" s="210">
        <f t="shared" si="44"/>
        <v>-3527.03</v>
      </c>
      <c r="AD90" s="210">
        <f t="shared" si="44"/>
        <v>-3047.69</v>
      </c>
      <c r="AE90" s="210">
        <f t="shared" si="44"/>
        <v>-2731.0299999999997</v>
      </c>
      <c r="AF90" s="210">
        <f t="shared" si="44"/>
        <v>-3091.19</v>
      </c>
      <c r="AG90" s="210">
        <f t="shared" si="44"/>
        <v>-3747.62</v>
      </c>
      <c r="AH90" s="210">
        <f t="shared" si="44"/>
        <v>-3353.97</v>
      </c>
      <c r="AI90" s="216">
        <f t="shared" si="44"/>
        <v>-67619.81</v>
      </c>
      <c r="AK90" s="210">
        <f>+SUM(AK20:AK21)</f>
        <v>-70711.308403396484</v>
      </c>
    </row>
    <row r="91" spans="1:37" x14ac:dyDescent="0.25">
      <c r="A91" s="121">
        <f t="shared" si="16"/>
        <v>85</v>
      </c>
      <c r="B91" s="157" t="s">
        <v>99</v>
      </c>
      <c r="C91" s="207"/>
      <c r="D91" s="207"/>
      <c r="E91" s="207"/>
      <c r="F91" s="208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10">
        <f t="shared" ref="V91:AI91" si="45">+SUM(V22:V23)</f>
        <v>0</v>
      </c>
      <c r="W91" s="210">
        <f t="shared" si="45"/>
        <v>0</v>
      </c>
      <c r="X91" s="210">
        <f t="shared" si="45"/>
        <v>0</v>
      </c>
      <c r="Y91" s="210">
        <f t="shared" si="45"/>
        <v>0</v>
      </c>
      <c r="Z91" s="210">
        <f t="shared" si="45"/>
        <v>0</v>
      </c>
      <c r="AA91" s="210">
        <f t="shared" si="45"/>
        <v>0</v>
      </c>
      <c r="AB91" s="210">
        <f t="shared" si="45"/>
        <v>0</v>
      </c>
      <c r="AC91" s="210">
        <f t="shared" si="45"/>
        <v>0</v>
      </c>
      <c r="AD91" s="210">
        <f t="shared" si="45"/>
        <v>0</v>
      </c>
      <c r="AE91" s="210">
        <f t="shared" si="45"/>
        <v>0</v>
      </c>
      <c r="AF91" s="210">
        <f t="shared" si="45"/>
        <v>0</v>
      </c>
      <c r="AG91" s="210">
        <f t="shared" si="45"/>
        <v>0</v>
      </c>
      <c r="AH91" s="210">
        <f t="shared" si="45"/>
        <v>0</v>
      </c>
      <c r="AI91" s="216">
        <f t="shared" si="45"/>
        <v>0</v>
      </c>
      <c r="AK91" s="210">
        <f>+SUM(AK22:AK23)</f>
        <v>0</v>
      </c>
    </row>
    <row r="92" spans="1:37" x14ac:dyDescent="0.25">
      <c r="A92" s="121">
        <f t="shared" si="16"/>
        <v>86</v>
      </c>
      <c r="B92" s="157" t="s">
        <v>103</v>
      </c>
      <c r="C92" s="207"/>
      <c r="D92" s="207"/>
      <c r="E92" s="207"/>
      <c r="F92" s="208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10">
        <f t="shared" ref="V92:AI92" si="46">+SUM(V26:V27)</f>
        <v>0</v>
      </c>
      <c r="W92" s="210">
        <f t="shared" si="46"/>
        <v>0</v>
      </c>
      <c r="X92" s="210">
        <f t="shared" si="46"/>
        <v>0</v>
      </c>
      <c r="Y92" s="210">
        <f t="shared" si="46"/>
        <v>0</v>
      </c>
      <c r="Z92" s="210">
        <f t="shared" si="46"/>
        <v>0</v>
      </c>
      <c r="AA92" s="210">
        <f t="shared" si="46"/>
        <v>0</v>
      </c>
      <c r="AB92" s="210">
        <f t="shared" si="46"/>
        <v>0</v>
      </c>
      <c r="AC92" s="210">
        <f t="shared" si="46"/>
        <v>0</v>
      </c>
      <c r="AD92" s="210">
        <f t="shared" si="46"/>
        <v>0</v>
      </c>
      <c r="AE92" s="210">
        <f t="shared" si="46"/>
        <v>0</v>
      </c>
      <c r="AF92" s="210">
        <f t="shared" si="46"/>
        <v>0</v>
      </c>
      <c r="AG92" s="210">
        <f t="shared" si="46"/>
        <v>0</v>
      </c>
      <c r="AH92" s="210">
        <f t="shared" si="46"/>
        <v>0</v>
      </c>
      <c r="AI92" s="216">
        <f t="shared" si="46"/>
        <v>0</v>
      </c>
      <c r="AK92" s="210">
        <f>+SUM(AK26:AK27)</f>
        <v>0</v>
      </c>
    </row>
    <row r="93" spans="1:37" x14ac:dyDescent="0.25">
      <c r="A93" s="121">
        <f t="shared" si="16"/>
        <v>87</v>
      </c>
      <c r="B93" s="157" t="s">
        <v>109</v>
      </c>
      <c r="C93" s="207"/>
      <c r="D93" s="207"/>
      <c r="E93" s="207"/>
      <c r="F93" s="208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10">
        <f t="shared" ref="V93:AI93" si="47">+SUM(V32:V37)</f>
        <v>-499.58000000000004</v>
      </c>
      <c r="W93" s="210">
        <f t="shared" si="47"/>
        <v>-1646.93</v>
      </c>
      <c r="X93" s="210">
        <f t="shared" si="47"/>
        <v>-1819.77</v>
      </c>
      <c r="Y93" s="210">
        <f t="shared" si="47"/>
        <v>-1596.7699999999998</v>
      </c>
      <c r="Z93" s="210">
        <f t="shared" si="47"/>
        <v>-1619.78</v>
      </c>
      <c r="AA93" s="210">
        <f t="shared" si="47"/>
        <v>-1313.79</v>
      </c>
      <c r="AB93" s="210">
        <f t="shared" si="47"/>
        <v>-1015.87</v>
      </c>
      <c r="AC93" s="210">
        <f t="shared" si="47"/>
        <v>-800.41000000000008</v>
      </c>
      <c r="AD93" s="210">
        <f t="shared" si="47"/>
        <v>-688.89</v>
      </c>
      <c r="AE93" s="210">
        <f t="shared" si="47"/>
        <v>-409.01</v>
      </c>
      <c r="AF93" s="210">
        <f t="shared" si="47"/>
        <v>-487.12</v>
      </c>
      <c r="AG93" s="210">
        <f t="shared" si="47"/>
        <v>-774.57999999999993</v>
      </c>
      <c r="AH93" s="210">
        <f t="shared" si="47"/>
        <v>-759.61</v>
      </c>
      <c r="AI93" s="216">
        <f t="shared" si="47"/>
        <v>-13432.11</v>
      </c>
      <c r="AK93" s="210">
        <f>+SUM(AK32:AK37)</f>
        <v>-14046.210314970511</v>
      </c>
    </row>
    <row r="94" spans="1:37" x14ac:dyDescent="0.25">
      <c r="A94" s="121">
        <f t="shared" si="16"/>
        <v>88</v>
      </c>
      <c r="B94" s="157" t="s">
        <v>121</v>
      </c>
      <c r="C94" s="207"/>
      <c r="D94" s="207"/>
      <c r="E94" s="207"/>
      <c r="F94" s="208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10">
        <f t="shared" ref="V94:AI94" si="48">+SUM(V56:V61)</f>
        <v>-568.03</v>
      </c>
      <c r="W94" s="210">
        <f t="shared" si="48"/>
        <v>-653.94000000000005</v>
      </c>
      <c r="X94" s="210">
        <f t="shared" si="48"/>
        <v>-572.80999999999995</v>
      </c>
      <c r="Y94" s="210">
        <f t="shared" si="48"/>
        <v>-569.25</v>
      </c>
      <c r="Z94" s="210">
        <f t="shared" si="48"/>
        <v>-558.97</v>
      </c>
      <c r="AA94" s="210">
        <f t="shared" si="48"/>
        <v>-500.19</v>
      </c>
      <c r="AB94" s="210">
        <f t="shared" si="48"/>
        <v>-464.46</v>
      </c>
      <c r="AC94" s="210">
        <f t="shared" si="48"/>
        <v>-442.52000000000004</v>
      </c>
      <c r="AD94" s="210">
        <f t="shared" si="48"/>
        <v>-412.18999999999994</v>
      </c>
      <c r="AE94" s="210">
        <f t="shared" si="48"/>
        <v>-429.14</v>
      </c>
      <c r="AF94" s="210">
        <f t="shared" si="48"/>
        <v>-452.59</v>
      </c>
      <c r="AG94" s="210">
        <f t="shared" si="48"/>
        <v>-490.96999999999997</v>
      </c>
      <c r="AH94" s="210">
        <f t="shared" si="48"/>
        <v>0</v>
      </c>
      <c r="AI94" s="216">
        <f t="shared" si="48"/>
        <v>-6115.0599999999995</v>
      </c>
      <c r="AK94" s="210">
        <f>+SUM(AK56:AK61)</f>
        <v>-6394.6333709792098</v>
      </c>
    </row>
    <row r="95" spans="1:37" x14ac:dyDescent="0.25">
      <c r="A95" s="121">
        <f t="shared" si="16"/>
        <v>89</v>
      </c>
      <c r="B95" s="120" t="s">
        <v>148</v>
      </c>
      <c r="F95" s="141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54">
        <f>SUM(V84:V94)</f>
        <v>-66287.539999999994</v>
      </c>
      <c r="W95" s="154">
        <f t="shared" ref="W95:AI95" si="49">SUM(W84:W94)</f>
        <v>-269421.45</v>
      </c>
      <c r="X95" s="154">
        <f t="shared" si="49"/>
        <v>-350788.34</v>
      </c>
      <c r="Y95" s="154">
        <f t="shared" si="49"/>
        <v>-250201.21999999997</v>
      </c>
      <c r="Z95" s="154">
        <f t="shared" si="49"/>
        <v>-277607.39</v>
      </c>
      <c r="AA95" s="154">
        <f t="shared" si="49"/>
        <v>-201019.24000000002</v>
      </c>
      <c r="AB95" s="154">
        <f t="shared" si="49"/>
        <v>-106757.95999999999</v>
      </c>
      <c r="AC95" s="154">
        <f t="shared" si="49"/>
        <v>-71637.39</v>
      </c>
      <c r="AD95" s="154">
        <f t="shared" si="49"/>
        <v>-59735.18</v>
      </c>
      <c r="AE95" s="154">
        <f t="shared" si="49"/>
        <v>-49191.310000000005</v>
      </c>
      <c r="AF95" s="154">
        <f t="shared" si="49"/>
        <v>-54819.21</v>
      </c>
      <c r="AG95" s="154">
        <f t="shared" si="49"/>
        <v>-80518.66</v>
      </c>
      <c r="AH95" s="154">
        <f t="shared" si="49"/>
        <v>-83698.950000000012</v>
      </c>
      <c r="AI95" s="154">
        <f t="shared" si="49"/>
        <v>-1921683.84</v>
      </c>
      <c r="AK95" s="206">
        <f t="shared" ref="AK95" si="50">SUM(AK84:AK94)</f>
        <v>-2009540.9712636464</v>
      </c>
    </row>
    <row r="96" spans="1:37" x14ac:dyDescent="0.25">
      <c r="F96" s="141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</row>
    <row r="97" spans="6:21" x14ac:dyDescent="0.25">
      <c r="F97" s="141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</row>
    <row r="98" spans="6:21" x14ac:dyDescent="0.25">
      <c r="F98" s="141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</row>
    <row r="99" spans="6:21" x14ac:dyDescent="0.25">
      <c r="F99" s="141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</row>
    <row r="100" spans="6:21" x14ac:dyDescent="0.25">
      <c r="F100" s="141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</row>
    <row r="101" spans="6:21" x14ac:dyDescent="0.25">
      <c r="F101" s="141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</row>
    <row r="102" spans="6:21" x14ac:dyDescent="0.25">
      <c r="F102" s="141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</row>
    <row r="103" spans="6:21" x14ac:dyDescent="0.25">
      <c r="F103" s="141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</row>
    <row r="104" spans="6:21" x14ac:dyDescent="0.25">
      <c r="F104" s="141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</row>
    <row r="105" spans="6:21" x14ac:dyDescent="0.25">
      <c r="F105" s="141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</row>
    <row r="106" spans="6:21" x14ac:dyDescent="0.25">
      <c r="F106" s="141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</row>
    <row r="107" spans="6:21" x14ac:dyDescent="0.25">
      <c r="F107" s="141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</row>
    <row r="108" spans="6:21" x14ac:dyDescent="0.25">
      <c r="F108" s="141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</row>
    <row r="109" spans="6:21" x14ac:dyDescent="0.25">
      <c r="F109" s="141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</row>
    <row r="110" spans="6:21" x14ac:dyDescent="0.25">
      <c r="F110" s="141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</row>
    <row r="111" spans="6:21" x14ac:dyDescent="0.25">
      <c r="F111" s="141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</row>
    <row r="112" spans="6:21" x14ac:dyDescent="0.25">
      <c r="F112" s="141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</row>
    <row r="113" spans="6:21" x14ac:dyDescent="0.25">
      <c r="F113" s="141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</row>
    <row r="114" spans="6:21" x14ac:dyDescent="0.25">
      <c r="F114" s="141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</row>
    <row r="115" spans="6:21" x14ac:dyDescent="0.25">
      <c r="F115" s="141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</row>
    <row r="116" spans="6:21" x14ac:dyDescent="0.25">
      <c r="F116" s="141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</row>
    <row r="117" spans="6:21" x14ac:dyDescent="0.25">
      <c r="F117" s="141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</row>
    <row r="118" spans="6:21" x14ac:dyDescent="0.25">
      <c r="F118" s="141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</row>
    <row r="119" spans="6:21" x14ac:dyDescent="0.25">
      <c r="F119" s="141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</row>
    <row r="120" spans="6:21" x14ac:dyDescent="0.25">
      <c r="F120" s="141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</row>
    <row r="121" spans="6:21" x14ac:dyDescent="0.25">
      <c r="F121" s="141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6:21" x14ac:dyDescent="0.25">
      <c r="F122" s="14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6:21" x14ac:dyDescent="0.25">
      <c r="F123" s="141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6:21" x14ac:dyDescent="0.25">
      <c r="F124" s="141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  <row r="125" spans="6:21" x14ac:dyDescent="0.25">
      <c r="F125" s="141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</row>
    <row r="126" spans="6:21" x14ac:dyDescent="0.25">
      <c r="F126" s="141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</row>
    <row r="127" spans="6:21" x14ac:dyDescent="0.25">
      <c r="F127" s="141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</row>
    <row r="128" spans="6:21" x14ac:dyDescent="0.25">
      <c r="F128" s="141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</row>
    <row r="129" spans="6:21" x14ac:dyDescent="0.25">
      <c r="F129" s="141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</row>
    <row r="130" spans="6:21" x14ac:dyDescent="0.25">
      <c r="F130" s="141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</row>
    <row r="131" spans="6:21" x14ac:dyDescent="0.25">
      <c r="F131" s="141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</row>
    <row r="132" spans="6:21" x14ac:dyDescent="0.25">
      <c r="F132" s="141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</row>
    <row r="133" spans="6:21" x14ac:dyDescent="0.25">
      <c r="F133" s="141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</row>
    <row r="134" spans="6:21" x14ac:dyDescent="0.25">
      <c r="F134" s="141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</row>
    <row r="135" spans="6:21" x14ac:dyDescent="0.25">
      <c r="F135" s="141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</row>
    <row r="136" spans="6:21" x14ac:dyDescent="0.25">
      <c r="F136" s="141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6:21" x14ac:dyDescent="0.25">
      <c r="F137" s="141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</row>
    <row r="138" spans="6:21" x14ac:dyDescent="0.25">
      <c r="F138" s="141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</row>
    <row r="139" spans="6:21" x14ac:dyDescent="0.25">
      <c r="F139" s="141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</row>
    <row r="140" spans="6:21" x14ac:dyDescent="0.25">
      <c r="F140" s="141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</row>
    <row r="141" spans="6:21" x14ac:dyDescent="0.25">
      <c r="F141" s="141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</row>
    <row r="142" spans="6:21" x14ac:dyDescent="0.25">
      <c r="F142" s="141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</row>
    <row r="143" spans="6:21" x14ac:dyDescent="0.25">
      <c r="F143" s="141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</row>
    <row r="144" spans="6:21" x14ac:dyDescent="0.25">
      <c r="F144" s="141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</row>
    <row r="145" spans="6:21" x14ac:dyDescent="0.25">
      <c r="F145" s="141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</row>
    <row r="146" spans="6:21" x14ac:dyDescent="0.25">
      <c r="F146" s="141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</row>
    <row r="147" spans="6:21" x14ac:dyDescent="0.25">
      <c r="F147" s="141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</row>
    <row r="148" spans="6:21" x14ac:dyDescent="0.25">
      <c r="F148" s="141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</row>
    <row r="149" spans="6:21" x14ac:dyDescent="0.25">
      <c r="F149" s="141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</row>
    <row r="150" spans="6:21" x14ac:dyDescent="0.25">
      <c r="F150" s="141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</row>
    <row r="151" spans="6:21" x14ac:dyDescent="0.25">
      <c r="F151" s="141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</row>
    <row r="152" spans="6:21" x14ac:dyDescent="0.25">
      <c r="F152" s="141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</row>
    <row r="153" spans="6:21" x14ac:dyDescent="0.25">
      <c r="F153" s="141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</row>
    <row r="154" spans="6:21" x14ac:dyDescent="0.25">
      <c r="F154" s="141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</row>
    <row r="155" spans="6:21" x14ac:dyDescent="0.25">
      <c r="F155" s="141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</row>
    <row r="156" spans="6:21" x14ac:dyDescent="0.25">
      <c r="F156" s="141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</row>
  </sheetData>
  <mergeCells count="4">
    <mergeCell ref="H10:T10"/>
    <mergeCell ref="V10:AH10"/>
    <mergeCell ref="H11:T11"/>
    <mergeCell ref="V11:AH11"/>
  </mergeCells>
  <printOptions horizontalCentered="1" verticalCentered="1"/>
  <pageMargins left="0" right="0" top="0" bottom="0" header="0" footer="0.5"/>
  <pageSetup scale="55" orientation="portrait" r:id="rId1"/>
  <headerFooter alignWithMargins="0"/>
  <colBreaks count="2" manualBreakCount="2">
    <brk id="6" max="150" man="1"/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6"/>
  <sheetViews>
    <sheetView workbookViewId="0">
      <selection activeCell="H101" sqref="H101"/>
    </sheetView>
  </sheetViews>
  <sheetFormatPr defaultColWidth="8.88671875" defaultRowHeight="13.2" x14ac:dyDescent="0.25"/>
  <cols>
    <col min="1" max="1" width="4.33203125" style="112" customWidth="1"/>
    <col min="2" max="2" width="17.44140625" style="114" customWidth="1"/>
    <col min="3" max="4" width="8" style="114" customWidth="1"/>
    <col min="5" max="5" width="9.109375" style="114" customWidth="1"/>
    <col min="6" max="6" width="14.109375" style="139" customWidth="1"/>
    <col min="7" max="7" width="3.88671875" style="112" customWidth="1"/>
    <col min="8" max="20" width="16.109375" style="112" customWidth="1"/>
    <col min="21" max="21" width="3.88671875" style="112" customWidth="1"/>
    <col min="22" max="32" width="16.109375" style="112" customWidth="1"/>
    <col min="33" max="33" width="19" style="112" customWidth="1"/>
    <col min="34" max="34" width="16.109375" style="112" customWidth="1"/>
    <col min="35" max="35" width="21.88671875" style="112" customWidth="1"/>
    <col min="36" max="36" width="11" style="112" customWidth="1"/>
    <col min="37" max="37" width="18.6640625" style="112" customWidth="1"/>
    <col min="38" max="46" width="11" style="112" customWidth="1"/>
    <col min="47" max="16384" width="8.88671875" style="112"/>
  </cols>
  <sheetData>
    <row r="1" spans="1:37" ht="13.8" x14ac:dyDescent="0.25">
      <c r="B1" s="113" t="s">
        <v>77</v>
      </c>
    </row>
    <row r="2" spans="1:37" ht="13.8" x14ac:dyDescent="0.25">
      <c r="B2" s="113" t="s">
        <v>78</v>
      </c>
    </row>
    <row r="3" spans="1:37" ht="13.8" x14ac:dyDescent="0.25">
      <c r="B3" s="217" t="s">
        <v>250</v>
      </c>
    </row>
    <row r="4" spans="1:37" ht="13.8" x14ac:dyDescent="0.25">
      <c r="B4" s="113" t="s">
        <v>131</v>
      </c>
    </row>
    <row r="5" spans="1:37" x14ac:dyDescent="0.25">
      <c r="B5" s="116"/>
    </row>
    <row r="7" spans="1:37" x14ac:dyDescent="0.25">
      <c r="A7" s="117">
        <v>1</v>
      </c>
      <c r="B7" s="156" t="s">
        <v>80</v>
      </c>
      <c r="C7" s="118"/>
      <c r="D7" s="118"/>
      <c r="F7" s="119"/>
    </row>
    <row r="8" spans="1:37" x14ac:dyDescent="0.25">
      <c r="A8" s="117">
        <f t="shared" ref="A8:A71" si="0">+A7+1</f>
        <v>2</v>
      </c>
      <c r="B8" s="120"/>
      <c r="C8" s="120"/>
      <c r="D8" s="120"/>
      <c r="F8" s="119"/>
    </row>
    <row r="9" spans="1:37" x14ac:dyDescent="0.25">
      <c r="A9" s="121">
        <f t="shared" si="0"/>
        <v>3</v>
      </c>
      <c r="B9" s="122"/>
      <c r="C9" s="122"/>
      <c r="D9" s="122"/>
      <c r="E9" s="122"/>
      <c r="F9" s="140"/>
    </row>
    <row r="10" spans="1:37" s="123" customFormat="1" ht="13.8" thickBot="1" x14ac:dyDescent="0.3">
      <c r="A10" s="121">
        <f t="shared" si="0"/>
        <v>4</v>
      </c>
      <c r="B10" s="122"/>
      <c r="C10" s="122"/>
      <c r="D10" s="122"/>
      <c r="E10" s="122"/>
      <c r="F10" s="140"/>
      <c r="H10" s="308" t="s">
        <v>132</v>
      </c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V10" s="308" t="s">
        <v>44</v>
      </c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</row>
    <row r="11" spans="1:37" s="123" customFormat="1" ht="13.8" thickBot="1" x14ac:dyDescent="0.3">
      <c r="A11" s="121">
        <f t="shared" si="0"/>
        <v>5</v>
      </c>
      <c r="B11" s="122"/>
      <c r="C11" s="122"/>
      <c r="D11" s="122"/>
      <c r="E11" s="122"/>
      <c r="F11" s="135" t="s">
        <v>147</v>
      </c>
      <c r="H11" s="309" t="s">
        <v>145</v>
      </c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V11" s="309" t="s">
        <v>145</v>
      </c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K11" s="124"/>
    </row>
    <row r="12" spans="1:37" s="123" customFormat="1" ht="15" customHeight="1" x14ac:dyDescent="0.25">
      <c r="A12" s="121">
        <f t="shared" si="0"/>
        <v>6</v>
      </c>
      <c r="B12" s="136" t="s">
        <v>130</v>
      </c>
      <c r="C12" s="134" t="s">
        <v>81</v>
      </c>
      <c r="D12" s="134" t="s">
        <v>18</v>
      </c>
      <c r="E12" s="136" t="s">
        <v>82</v>
      </c>
      <c r="F12" s="136" t="s">
        <v>129</v>
      </c>
      <c r="G12" s="126"/>
      <c r="H12" s="126" t="s">
        <v>262</v>
      </c>
      <c r="I12" s="137" t="s">
        <v>263</v>
      </c>
      <c r="J12" s="138" t="s">
        <v>251</v>
      </c>
      <c r="K12" s="137" t="s">
        <v>252</v>
      </c>
      <c r="L12" s="137" t="s">
        <v>253</v>
      </c>
      <c r="M12" s="137" t="s">
        <v>254</v>
      </c>
      <c r="N12" s="137" t="s">
        <v>255</v>
      </c>
      <c r="O12" s="137" t="s">
        <v>256</v>
      </c>
      <c r="P12" s="137" t="s">
        <v>257</v>
      </c>
      <c r="Q12" s="137" t="s">
        <v>258</v>
      </c>
      <c r="R12" s="137" t="s">
        <v>259</v>
      </c>
      <c r="S12" s="137" t="s">
        <v>260</v>
      </c>
      <c r="T12" s="137" t="s">
        <v>261</v>
      </c>
      <c r="U12" s="126"/>
      <c r="V12" s="126" t="s">
        <v>262</v>
      </c>
      <c r="W12" s="137" t="s">
        <v>263</v>
      </c>
      <c r="X12" s="138" t="s">
        <v>251</v>
      </c>
      <c r="Y12" s="137" t="s">
        <v>252</v>
      </c>
      <c r="Z12" s="137" t="s">
        <v>253</v>
      </c>
      <c r="AA12" s="137" t="s">
        <v>254</v>
      </c>
      <c r="AB12" s="137" t="s">
        <v>255</v>
      </c>
      <c r="AC12" s="137" t="s">
        <v>256</v>
      </c>
      <c r="AD12" s="137" t="s">
        <v>257</v>
      </c>
      <c r="AE12" s="137" t="s">
        <v>258</v>
      </c>
      <c r="AF12" s="137" t="s">
        <v>259</v>
      </c>
      <c r="AG12" s="137" t="s">
        <v>260</v>
      </c>
      <c r="AH12" s="137" t="s">
        <v>261</v>
      </c>
      <c r="AI12" s="124" t="s">
        <v>307</v>
      </c>
      <c r="AK12" s="124" t="s">
        <v>308</v>
      </c>
    </row>
    <row r="13" spans="1:37" s="123" customFormat="1" ht="15" customHeight="1" x14ac:dyDescent="0.25">
      <c r="A13" s="121">
        <f t="shared" si="0"/>
        <v>7</v>
      </c>
      <c r="B13" s="125"/>
      <c r="C13" s="125"/>
      <c r="D13" s="125"/>
      <c r="E13" s="125"/>
      <c r="F13" s="125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spans="1:37" x14ac:dyDescent="0.25">
      <c r="A14" s="121">
        <f t="shared" si="0"/>
        <v>8</v>
      </c>
      <c r="B14" s="157" t="s">
        <v>83</v>
      </c>
      <c r="C14" s="157" t="s">
        <v>84</v>
      </c>
      <c r="D14" s="157" t="s">
        <v>85</v>
      </c>
      <c r="E14" s="157"/>
      <c r="F14" s="149">
        <v>-4.2450000000000002E-2</v>
      </c>
      <c r="G14" s="127"/>
      <c r="H14" s="161">
        <v>4839.1000000000004</v>
      </c>
      <c r="I14" s="161">
        <v>25567.1</v>
      </c>
      <c r="J14" s="161">
        <v>43271.3</v>
      </c>
      <c r="K14" s="161">
        <v>32688.5</v>
      </c>
      <c r="L14" s="161">
        <v>24963.3</v>
      </c>
      <c r="M14" s="161">
        <v>17742.8</v>
      </c>
      <c r="N14" s="161">
        <v>13140.6</v>
      </c>
      <c r="O14" s="161">
        <v>9715.9</v>
      </c>
      <c r="P14" s="161">
        <v>7065</v>
      </c>
      <c r="Q14" s="161">
        <v>5526.5</v>
      </c>
      <c r="R14" s="161">
        <v>5894.6</v>
      </c>
      <c r="S14" s="161">
        <v>9502.5</v>
      </c>
      <c r="T14" s="162">
        <v>10241.6</v>
      </c>
      <c r="U14" s="127"/>
      <c r="V14" s="142">
        <f>ROUND($F14*$H14,2)</f>
        <v>-205.42</v>
      </c>
      <c r="W14" s="142">
        <f>ROUND($F14*$I14,2)</f>
        <v>-1085.32</v>
      </c>
      <c r="X14" s="142">
        <f>ROUND($F14*$J14,2)</f>
        <v>-1836.87</v>
      </c>
      <c r="Y14" s="142">
        <f>ROUND($F14*$K14,2)</f>
        <v>-1387.63</v>
      </c>
      <c r="Z14" s="142">
        <f>ROUND($F14*$L14,2)</f>
        <v>-1059.69</v>
      </c>
      <c r="AA14" s="142">
        <f>ROUND($F14*$M14,2)</f>
        <v>-753.18</v>
      </c>
      <c r="AB14" s="142">
        <f>ROUND($F14*$N14,2)</f>
        <v>-557.82000000000005</v>
      </c>
      <c r="AC14" s="142">
        <f>ROUND($F14*$O14,2)</f>
        <v>-412.44</v>
      </c>
      <c r="AD14" s="142">
        <f>ROUND($F14*$P14,2)</f>
        <v>-299.91000000000003</v>
      </c>
      <c r="AE14" s="142">
        <f>ROUND($F14*$Q14,2)</f>
        <v>-234.6</v>
      </c>
      <c r="AF14" s="142">
        <f>ROUND($F14*$R14,2)</f>
        <v>-250.23</v>
      </c>
      <c r="AG14" s="142">
        <f>ROUND($F14*$S14,2)</f>
        <v>-403.38</v>
      </c>
      <c r="AH14" s="142">
        <f>ROUND($F14*$T14,2)</f>
        <v>-434.76</v>
      </c>
      <c r="AI14" s="211">
        <f>+SUM(V14:AH14)</f>
        <v>-8921.25</v>
      </c>
      <c r="AK14" s="142">
        <f>AI14/(1-0.04372)</f>
        <v>-9329.1190864600321</v>
      </c>
    </row>
    <row r="15" spans="1:37" x14ac:dyDescent="0.25">
      <c r="A15" s="121">
        <f t="shared" si="0"/>
        <v>9</v>
      </c>
      <c r="B15" s="158" t="s">
        <v>86</v>
      </c>
      <c r="C15" s="158" t="s">
        <v>84</v>
      </c>
      <c r="D15" s="158" t="s">
        <v>87</v>
      </c>
      <c r="E15" s="158"/>
      <c r="F15" s="149">
        <v>-3.6380000000000003E-2</v>
      </c>
      <c r="G15" s="127"/>
      <c r="H15" s="161">
        <v>360.6</v>
      </c>
      <c r="I15" s="161">
        <v>2986.9</v>
      </c>
      <c r="J15" s="161">
        <v>8385</v>
      </c>
      <c r="K15" s="161">
        <v>5454.7</v>
      </c>
      <c r="L15" s="161">
        <v>3655.8</v>
      </c>
      <c r="M15" s="161">
        <v>2217.3000000000002</v>
      </c>
      <c r="N15" s="161">
        <v>2269.3000000000002</v>
      </c>
      <c r="O15" s="161">
        <v>2010.5</v>
      </c>
      <c r="P15" s="161">
        <v>1816.5</v>
      </c>
      <c r="Q15" s="161">
        <v>1589.8</v>
      </c>
      <c r="R15" s="161">
        <v>1848.2</v>
      </c>
      <c r="S15" s="161">
        <v>1655.5</v>
      </c>
      <c r="T15" s="162">
        <v>1320.6</v>
      </c>
      <c r="U15" s="127"/>
      <c r="V15" s="142">
        <f t="shared" ref="V15:V78" si="1">ROUND($F15*$H15,2)</f>
        <v>-13.12</v>
      </c>
      <c r="W15" s="142">
        <f t="shared" ref="W15:W78" si="2">ROUND($F15*$I15,2)</f>
        <v>-108.66</v>
      </c>
      <c r="X15" s="142">
        <f t="shared" ref="X15:X78" si="3">ROUND($F15*$J15,2)</f>
        <v>-305.05</v>
      </c>
      <c r="Y15" s="142">
        <f t="shared" ref="Y15:Y78" si="4">ROUND($F15*$K15,2)</f>
        <v>-198.44</v>
      </c>
      <c r="Z15" s="142">
        <f t="shared" ref="Z15:Z78" si="5">ROUND($F15*$L15,2)</f>
        <v>-133</v>
      </c>
      <c r="AA15" s="142">
        <f t="shared" ref="AA15:AA78" si="6">ROUND($F15*$M15,2)</f>
        <v>-80.67</v>
      </c>
      <c r="AB15" s="142">
        <f t="shared" ref="AB15:AB78" si="7">ROUND($F15*$N15,2)</f>
        <v>-82.56</v>
      </c>
      <c r="AC15" s="142">
        <f t="shared" ref="AC15:AC78" si="8">ROUND($F15*$O15,2)</f>
        <v>-73.14</v>
      </c>
      <c r="AD15" s="142">
        <f t="shared" ref="AD15:AD78" si="9">ROUND($F15*$P15,2)</f>
        <v>-66.08</v>
      </c>
      <c r="AE15" s="142">
        <f t="shared" ref="AE15:AE78" si="10">ROUND($F15*$Q15,2)</f>
        <v>-57.84</v>
      </c>
      <c r="AF15" s="142">
        <f t="shared" ref="AF15:AF78" si="11">ROUND($F15*$R15,2)</f>
        <v>-67.239999999999995</v>
      </c>
      <c r="AG15" s="142">
        <f t="shared" ref="AG15:AG78" si="12">ROUND($F15*$S15,2)</f>
        <v>-60.23</v>
      </c>
      <c r="AH15" s="147">
        <f t="shared" ref="AH15:AH78" si="13">ROUND($F15*$T15,2)</f>
        <v>-48.04</v>
      </c>
      <c r="AI15" s="211">
        <f t="shared" ref="AI15:AI78" si="14">+SUM(V15:AH15)</f>
        <v>-1294.07</v>
      </c>
      <c r="AK15" s="142">
        <f t="shared" ref="AK15:AK78" si="15">AI15/(1-0.04372)</f>
        <v>-1353.2333626134605</v>
      </c>
    </row>
    <row r="16" spans="1:37" x14ac:dyDescent="0.25">
      <c r="A16" s="121">
        <f t="shared" si="0"/>
        <v>10</v>
      </c>
      <c r="B16" s="158" t="s">
        <v>88</v>
      </c>
      <c r="C16" s="158" t="s">
        <v>84</v>
      </c>
      <c r="D16" s="158" t="s">
        <v>89</v>
      </c>
      <c r="E16" s="158"/>
      <c r="F16" s="149">
        <v>-2.6720000000000001E-2</v>
      </c>
      <c r="G16" s="127"/>
      <c r="H16" s="161">
        <v>1306667.1000000001</v>
      </c>
      <c r="I16" s="161">
        <v>6812285.9000000004</v>
      </c>
      <c r="J16" s="161">
        <v>11606921.800000001</v>
      </c>
      <c r="K16" s="161">
        <v>8629043.6999999993</v>
      </c>
      <c r="L16" s="161">
        <v>6673758.0999999996</v>
      </c>
      <c r="M16" s="161">
        <v>4754512.3</v>
      </c>
      <c r="N16" s="161">
        <v>3301429.1</v>
      </c>
      <c r="O16" s="161">
        <v>1907419.4</v>
      </c>
      <c r="P16" s="161">
        <v>1355481</v>
      </c>
      <c r="Q16" s="161">
        <v>1112307.1000000001</v>
      </c>
      <c r="R16" s="161">
        <v>1212154.7</v>
      </c>
      <c r="S16" s="161">
        <v>2178414.7000000002</v>
      </c>
      <c r="T16" s="162">
        <v>2477983.7000000002</v>
      </c>
      <c r="U16" s="127"/>
      <c r="V16" s="142">
        <f t="shared" si="1"/>
        <v>-34914.14</v>
      </c>
      <c r="W16" s="142">
        <f t="shared" si="2"/>
        <v>-182024.28</v>
      </c>
      <c r="X16" s="142">
        <f t="shared" si="3"/>
        <v>-310136.95</v>
      </c>
      <c r="Y16" s="142">
        <f t="shared" si="4"/>
        <v>-230568.05</v>
      </c>
      <c r="Z16" s="142">
        <f t="shared" si="5"/>
        <v>-178322.82</v>
      </c>
      <c r="AA16" s="142">
        <f t="shared" si="6"/>
        <v>-127040.57</v>
      </c>
      <c r="AB16" s="142">
        <f t="shared" si="7"/>
        <v>-88214.19</v>
      </c>
      <c r="AC16" s="142">
        <f t="shared" si="8"/>
        <v>-50966.25</v>
      </c>
      <c r="AD16" s="142">
        <f t="shared" si="9"/>
        <v>-36218.449999999997</v>
      </c>
      <c r="AE16" s="142">
        <f t="shared" si="10"/>
        <v>-29720.85</v>
      </c>
      <c r="AF16" s="142">
        <f t="shared" si="11"/>
        <v>-32388.77</v>
      </c>
      <c r="AG16" s="142">
        <f t="shared" si="12"/>
        <v>-58207.24</v>
      </c>
      <c r="AH16" s="147">
        <f t="shared" si="13"/>
        <v>-66211.72</v>
      </c>
      <c r="AI16" s="211">
        <f t="shared" si="14"/>
        <v>-1424934.28</v>
      </c>
      <c r="AK16" s="142">
        <f t="shared" si="15"/>
        <v>-1490080.6040071945</v>
      </c>
    </row>
    <row r="17" spans="1:37" x14ac:dyDescent="0.25">
      <c r="A17" s="121">
        <f t="shared" si="0"/>
        <v>11</v>
      </c>
      <c r="B17" s="158" t="s">
        <v>90</v>
      </c>
      <c r="C17" s="158" t="s">
        <v>84</v>
      </c>
      <c r="D17" s="158" t="s">
        <v>91</v>
      </c>
      <c r="E17" s="158"/>
      <c r="F17" s="149">
        <v>-2.3470000000000001E-2</v>
      </c>
      <c r="G17" s="127"/>
      <c r="H17" s="161">
        <v>354780.1</v>
      </c>
      <c r="I17" s="161">
        <v>2020063.4</v>
      </c>
      <c r="J17" s="161">
        <v>3766779.7</v>
      </c>
      <c r="K17" s="161">
        <v>2918140.2</v>
      </c>
      <c r="L17" s="161">
        <v>2244587.1</v>
      </c>
      <c r="M17" s="161">
        <v>1552639</v>
      </c>
      <c r="N17" s="161">
        <v>1168313.4000000001</v>
      </c>
      <c r="O17" s="161">
        <v>754431.2</v>
      </c>
      <c r="P17" s="161">
        <v>600400.4</v>
      </c>
      <c r="Q17" s="161">
        <v>488506.8</v>
      </c>
      <c r="R17" s="161">
        <v>514357.1</v>
      </c>
      <c r="S17" s="161">
        <v>706386.70000000007</v>
      </c>
      <c r="T17" s="162">
        <v>780298.10000000009</v>
      </c>
      <c r="U17" s="127"/>
      <c r="V17" s="142">
        <f t="shared" si="1"/>
        <v>-8326.69</v>
      </c>
      <c r="W17" s="142">
        <f t="shared" si="2"/>
        <v>-47410.89</v>
      </c>
      <c r="X17" s="142">
        <f t="shared" si="3"/>
        <v>-88406.32</v>
      </c>
      <c r="Y17" s="142">
        <f t="shared" si="4"/>
        <v>-68488.75</v>
      </c>
      <c r="Z17" s="142">
        <f t="shared" si="5"/>
        <v>-52680.46</v>
      </c>
      <c r="AA17" s="142">
        <f t="shared" si="6"/>
        <v>-36440.44</v>
      </c>
      <c r="AB17" s="142">
        <f t="shared" si="7"/>
        <v>-27420.32</v>
      </c>
      <c r="AC17" s="142">
        <f t="shared" si="8"/>
        <v>-17706.5</v>
      </c>
      <c r="AD17" s="142">
        <f t="shared" si="9"/>
        <v>-14091.4</v>
      </c>
      <c r="AE17" s="142">
        <f t="shared" si="10"/>
        <v>-11465.25</v>
      </c>
      <c r="AF17" s="142">
        <f t="shared" si="11"/>
        <v>-12071.96</v>
      </c>
      <c r="AG17" s="142">
        <f t="shared" si="12"/>
        <v>-16578.900000000001</v>
      </c>
      <c r="AH17" s="147">
        <f t="shared" si="13"/>
        <v>-18313.599999999999</v>
      </c>
      <c r="AI17" s="211">
        <f t="shared" si="14"/>
        <v>-419401.4800000001</v>
      </c>
      <c r="AK17" s="142">
        <f t="shared" si="15"/>
        <v>-438576.02375873184</v>
      </c>
    </row>
    <row r="18" spans="1:37" x14ac:dyDescent="0.25">
      <c r="A18" s="121">
        <f t="shared" si="0"/>
        <v>12</v>
      </c>
      <c r="B18" s="158" t="s">
        <v>92</v>
      </c>
      <c r="C18" s="158" t="s">
        <v>84</v>
      </c>
      <c r="D18" s="158" t="s">
        <v>93</v>
      </c>
      <c r="E18" s="158"/>
      <c r="F18" s="149">
        <v>0</v>
      </c>
      <c r="G18" s="127"/>
      <c r="H18" s="161">
        <v>11637.3</v>
      </c>
      <c r="I18" s="161">
        <v>42853.7</v>
      </c>
      <c r="J18" s="161">
        <v>67447.600000000006</v>
      </c>
      <c r="K18" s="161">
        <v>61983.4</v>
      </c>
      <c r="L18" s="161">
        <v>50647.199999999997</v>
      </c>
      <c r="M18" s="161">
        <v>41430</v>
      </c>
      <c r="N18" s="161">
        <v>34006.800000000003</v>
      </c>
      <c r="O18" s="161">
        <v>26379.5</v>
      </c>
      <c r="P18" s="161">
        <v>22918.3</v>
      </c>
      <c r="Q18" s="161">
        <v>19826</v>
      </c>
      <c r="R18" s="161">
        <v>21342.400000000001</v>
      </c>
      <c r="S18" s="161">
        <v>28380.400000000001</v>
      </c>
      <c r="T18" s="162">
        <v>27786.1</v>
      </c>
      <c r="U18" s="127"/>
      <c r="V18" s="142">
        <f t="shared" si="1"/>
        <v>0</v>
      </c>
      <c r="W18" s="142">
        <f t="shared" si="2"/>
        <v>0</v>
      </c>
      <c r="X18" s="142">
        <f t="shared" si="3"/>
        <v>0</v>
      </c>
      <c r="Y18" s="142">
        <f t="shared" si="4"/>
        <v>0</v>
      </c>
      <c r="Z18" s="142">
        <f t="shared" si="5"/>
        <v>0</v>
      </c>
      <c r="AA18" s="142">
        <f t="shared" si="6"/>
        <v>0</v>
      </c>
      <c r="AB18" s="142">
        <f t="shared" si="7"/>
        <v>0</v>
      </c>
      <c r="AC18" s="142">
        <f t="shared" si="8"/>
        <v>0</v>
      </c>
      <c r="AD18" s="142">
        <f t="shared" si="9"/>
        <v>0</v>
      </c>
      <c r="AE18" s="142">
        <f t="shared" si="10"/>
        <v>0</v>
      </c>
      <c r="AF18" s="142">
        <f t="shared" si="11"/>
        <v>0</v>
      </c>
      <c r="AG18" s="142">
        <f t="shared" si="12"/>
        <v>0</v>
      </c>
      <c r="AH18" s="147">
        <f t="shared" si="13"/>
        <v>0</v>
      </c>
      <c r="AI18" s="211">
        <f t="shared" si="14"/>
        <v>0</v>
      </c>
      <c r="AK18" s="142">
        <f t="shared" si="15"/>
        <v>0</v>
      </c>
    </row>
    <row r="19" spans="1:37" x14ac:dyDescent="0.25">
      <c r="A19" s="121">
        <f t="shared" si="0"/>
        <v>13</v>
      </c>
      <c r="B19" s="157">
        <v>27</v>
      </c>
      <c r="C19" s="157" t="s">
        <v>84</v>
      </c>
      <c r="D19" s="157" t="s">
        <v>94</v>
      </c>
      <c r="E19" s="157"/>
      <c r="F19" s="149">
        <v>-1.8919999999999999E-2</v>
      </c>
      <c r="G19" s="127"/>
      <c r="H19" s="161">
        <v>16349.5</v>
      </c>
      <c r="I19" s="161">
        <v>70046.399999999994</v>
      </c>
      <c r="J19" s="161">
        <v>99530.7</v>
      </c>
      <c r="K19" s="161">
        <v>76766.399999999994</v>
      </c>
      <c r="L19" s="161">
        <v>66465.899999999994</v>
      </c>
      <c r="M19" s="161">
        <v>52859.5</v>
      </c>
      <c r="N19" s="161">
        <v>36109</v>
      </c>
      <c r="O19" s="161">
        <v>15602.8</v>
      </c>
      <c r="P19" s="161">
        <v>4489</v>
      </c>
      <c r="Q19" s="161">
        <v>1632.1</v>
      </c>
      <c r="R19" s="161">
        <v>1871.5</v>
      </c>
      <c r="S19" s="161">
        <v>17879.7</v>
      </c>
      <c r="T19" s="162">
        <v>24482.9</v>
      </c>
      <c r="U19" s="127"/>
      <c r="V19" s="142">
        <f t="shared" si="1"/>
        <v>-309.33</v>
      </c>
      <c r="W19" s="142">
        <f t="shared" si="2"/>
        <v>-1325.28</v>
      </c>
      <c r="X19" s="142">
        <f t="shared" si="3"/>
        <v>-1883.12</v>
      </c>
      <c r="Y19" s="142">
        <f t="shared" si="4"/>
        <v>-1452.42</v>
      </c>
      <c r="Z19" s="142">
        <f t="shared" si="5"/>
        <v>-1257.53</v>
      </c>
      <c r="AA19" s="142">
        <f t="shared" si="6"/>
        <v>-1000.1</v>
      </c>
      <c r="AB19" s="142">
        <f t="shared" si="7"/>
        <v>-683.18</v>
      </c>
      <c r="AC19" s="142">
        <f t="shared" si="8"/>
        <v>-295.2</v>
      </c>
      <c r="AD19" s="142">
        <f t="shared" si="9"/>
        <v>-84.93</v>
      </c>
      <c r="AE19" s="142">
        <f t="shared" si="10"/>
        <v>-30.88</v>
      </c>
      <c r="AF19" s="142">
        <f t="shared" si="11"/>
        <v>-35.409999999999997</v>
      </c>
      <c r="AG19" s="142">
        <f t="shared" si="12"/>
        <v>-338.28</v>
      </c>
      <c r="AH19" s="147">
        <f t="shared" si="13"/>
        <v>-463.22</v>
      </c>
      <c r="AI19" s="211">
        <f t="shared" si="14"/>
        <v>-9158.8799999999992</v>
      </c>
      <c r="AK19" s="142">
        <f t="shared" si="15"/>
        <v>-9577.6132513489756</v>
      </c>
    </row>
    <row r="20" spans="1:37" x14ac:dyDescent="0.25">
      <c r="A20" s="121">
        <f t="shared" si="0"/>
        <v>14</v>
      </c>
      <c r="B20" s="159" t="s">
        <v>95</v>
      </c>
      <c r="C20" s="159" t="s">
        <v>84</v>
      </c>
      <c r="D20" s="159" t="s">
        <v>96</v>
      </c>
      <c r="E20" s="159" t="s">
        <v>97</v>
      </c>
      <c r="F20" s="150">
        <v>-1.8290000000000001E-2</v>
      </c>
      <c r="G20" s="129"/>
      <c r="H20" s="163">
        <v>49754.9</v>
      </c>
      <c r="I20" s="163">
        <v>165697.5</v>
      </c>
      <c r="J20" s="163">
        <v>165770.70000000001</v>
      </c>
      <c r="K20" s="163">
        <v>167189.4</v>
      </c>
      <c r="L20" s="163">
        <v>166260.5</v>
      </c>
      <c r="M20" s="163">
        <v>160809.5</v>
      </c>
      <c r="N20" s="163">
        <v>155381.9</v>
      </c>
      <c r="O20" s="163">
        <v>134677.70000000001</v>
      </c>
      <c r="P20" s="163">
        <v>116224.3</v>
      </c>
      <c r="Q20" s="163">
        <v>104965.2</v>
      </c>
      <c r="R20" s="163">
        <v>106561.8</v>
      </c>
      <c r="S20" s="163">
        <v>137878.6</v>
      </c>
      <c r="T20" s="164">
        <v>116472.6</v>
      </c>
      <c r="U20" s="129"/>
      <c r="V20" s="143">
        <f t="shared" si="1"/>
        <v>-910.02</v>
      </c>
      <c r="W20" s="143">
        <f t="shared" si="2"/>
        <v>-3030.61</v>
      </c>
      <c r="X20" s="143">
        <f t="shared" si="3"/>
        <v>-3031.95</v>
      </c>
      <c r="Y20" s="143">
        <f t="shared" si="4"/>
        <v>-3057.89</v>
      </c>
      <c r="Z20" s="143">
        <f t="shared" si="5"/>
        <v>-3040.9</v>
      </c>
      <c r="AA20" s="143">
        <f t="shared" si="6"/>
        <v>-2941.21</v>
      </c>
      <c r="AB20" s="143">
        <f t="shared" si="7"/>
        <v>-2841.93</v>
      </c>
      <c r="AC20" s="143">
        <f t="shared" si="8"/>
        <v>-2463.2600000000002</v>
      </c>
      <c r="AD20" s="143">
        <f t="shared" si="9"/>
        <v>-2125.7399999999998</v>
      </c>
      <c r="AE20" s="143">
        <f t="shared" si="10"/>
        <v>-1919.81</v>
      </c>
      <c r="AF20" s="143">
        <f t="shared" si="11"/>
        <v>-1949.02</v>
      </c>
      <c r="AG20" s="143">
        <f t="shared" si="12"/>
        <v>-2521.8000000000002</v>
      </c>
      <c r="AH20" s="148">
        <f t="shared" si="13"/>
        <v>-2130.2800000000002</v>
      </c>
      <c r="AI20" s="212">
        <f t="shared" si="14"/>
        <v>-31964.419999999995</v>
      </c>
      <c r="AK20" s="143">
        <f t="shared" si="15"/>
        <v>-33425.795792027435</v>
      </c>
    </row>
    <row r="21" spans="1:37" x14ac:dyDescent="0.25">
      <c r="A21" s="121">
        <f t="shared" si="0"/>
        <v>15</v>
      </c>
      <c r="B21" s="160" t="s">
        <v>96</v>
      </c>
      <c r="C21" s="160" t="s">
        <v>84</v>
      </c>
      <c r="D21" s="160" t="s">
        <v>96</v>
      </c>
      <c r="E21" s="160" t="s">
        <v>98</v>
      </c>
      <c r="F21" s="149">
        <v>-1.6119999999999999E-2</v>
      </c>
      <c r="G21" s="127"/>
      <c r="H21" s="161">
        <v>39563.300000000003</v>
      </c>
      <c r="I21" s="161">
        <v>229403</v>
      </c>
      <c r="J21" s="161">
        <v>469294.7</v>
      </c>
      <c r="K21" s="161">
        <v>306208.40000000002</v>
      </c>
      <c r="L21" s="161">
        <v>221520.8</v>
      </c>
      <c r="M21" s="161">
        <v>152183.4</v>
      </c>
      <c r="N21" s="161">
        <v>90858.5</v>
      </c>
      <c r="O21" s="161">
        <v>47143.4</v>
      </c>
      <c r="P21" s="161">
        <v>33507.599999999999</v>
      </c>
      <c r="Q21" s="161">
        <v>26156.5</v>
      </c>
      <c r="R21" s="161">
        <v>30383.7</v>
      </c>
      <c r="S21" s="161">
        <v>53968.800000000003</v>
      </c>
      <c r="T21" s="162">
        <v>69394.2</v>
      </c>
      <c r="U21" s="127"/>
      <c r="V21" s="142">
        <f t="shared" si="1"/>
        <v>-637.76</v>
      </c>
      <c r="W21" s="142">
        <f t="shared" si="2"/>
        <v>-3697.98</v>
      </c>
      <c r="X21" s="142">
        <f t="shared" si="3"/>
        <v>-7565.03</v>
      </c>
      <c r="Y21" s="142">
        <f t="shared" si="4"/>
        <v>-4936.08</v>
      </c>
      <c r="Z21" s="142">
        <f t="shared" si="5"/>
        <v>-3570.92</v>
      </c>
      <c r="AA21" s="142">
        <f t="shared" si="6"/>
        <v>-2453.1999999999998</v>
      </c>
      <c r="AB21" s="142">
        <f t="shared" si="7"/>
        <v>-1464.64</v>
      </c>
      <c r="AC21" s="142">
        <f t="shared" si="8"/>
        <v>-759.95</v>
      </c>
      <c r="AD21" s="142">
        <f t="shared" si="9"/>
        <v>-540.14</v>
      </c>
      <c r="AE21" s="142">
        <f t="shared" si="10"/>
        <v>-421.64</v>
      </c>
      <c r="AF21" s="142">
        <f t="shared" si="11"/>
        <v>-489.79</v>
      </c>
      <c r="AG21" s="142">
        <f t="shared" si="12"/>
        <v>-869.98</v>
      </c>
      <c r="AH21" s="147">
        <f t="shared" si="13"/>
        <v>-1118.6300000000001</v>
      </c>
      <c r="AI21" s="211">
        <f t="shared" si="14"/>
        <v>-28525.739999999998</v>
      </c>
      <c r="AK21" s="142">
        <f t="shared" si="15"/>
        <v>-29829.903375580372</v>
      </c>
    </row>
    <row r="22" spans="1:37" x14ac:dyDescent="0.25">
      <c r="A22" s="121">
        <f t="shared" si="0"/>
        <v>16</v>
      </c>
      <c r="B22" s="159" t="s">
        <v>99</v>
      </c>
      <c r="C22" s="159" t="s">
        <v>84</v>
      </c>
      <c r="D22" s="159" t="s">
        <v>100</v>
      </c>
      <c r="E22" s="159" t="s">
        <v>97</v>
      </c>
      <c r="F22" s="150">
        <v>-1.746E-2</v>
      </c>
      <c r="G22" s="129"/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4">
        <v>0</v>
      </c>
      <c r="U22" s="129"/>
      <c r="V22" s="143">
        <f t="shared" si="1"/>
        <v>0</v>
      </c>
      <c r="W22" s="143">
        <f t="shared" si="2"/>
        <v>0</v>
      </c>
      <c r="X22" s="143">
        <f t="shared" si="3"/>
        <v>0</v>
      </c>
      <c r="Y22" s="143">
        <f t="shared" si="4"/>
        <v>0</v>
      </c>
      <c r="Z22" s="143">
        <f t="shared" si="5"/>
        <v>0</v>
      </c>
      <c r="AA22" s="143">
        <f t="shared" si="6"/>
        <v>0</v>
      </c>
      <c r="AB22" s="143">
        <f t="shared" si="7"/>
        <v>0</v>
      </c>
      <c r="AC22" s="143">
        <f t="shared" si="8"/>
        <v>0</v>
      </c>
      <c r="AD22" s="143">
        <f t="shared" si="9"/>
        <v>0</v>
      </c>
      <c r="AE22" s="143">
        <f t="shared" si="10"/>
        <v>0</v>
      </c>
      <c r="AF22" s="143">
        <f t="shared" si="11"/>
        <v>0</v>
      </c>
      <c r="AG22" s="143">
        <f t="shared" si="12"/>
        <v>0</v>
      </c>
      <c r="AH22" s="148">
        <f t="shared" si="13"/>
        <v>0</v>
      </c>
      <c r="AI22" s="212">
        <f t="shared" si="14"/>
        <v>0</v>
      </c>
      <c r="AK22" s="143">
        <f t="shared" si="15"/>
        <v>0</v>
      </c>
    </row>
    <row r="23" spans="1:37" x14ac:dyDescent="0.25">
      <c r="A23" s="121">
        <f t="shared" si="0"/>
        <v>17</v>
      </c>
      <c r="B23" s="160" t="s">
        <v>100</v>
      </c>
      <c r="C23" s="160" t="s">
        <v>84</v>
      </c>
      <c r="D23" s="160" t="s">
        <v>100</v>
      </c>
      <c r="E23" s="160" t="s">
        <v>98</v>
      </c>
      <c r="F23" s="149">
        <v>-1.5389999999999999E-2</v>
      </c>
      <c r="G23" s="127"/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2">
        <v>0</v>
      </c>
      <c r="U23" s="127"/>
      <c r="V23" s="142">
        <f t="shared" si="1"/>
        <v>0</v>
      </c>
      <c r="W23" s="142">
        <f t="shared" si="2"/>
        <v>0</v>
      </c>
      <c r="X23" s="142">
        <f t="shared" si="3"/>
        <v>0</v>
      </c>
      <c r="Y23" s="142">
        <f t="shared" si="4"/>
        <v>0</v>
      </c>
      <c r="Z23" s="142">
        <f t="shared" si="5"/>
        <v>0</v>
      </c>
      <c r="AA23" s="142">
        <f t="shared" si="6"/>
        <v>0</v>
      </c>
      <c r="AB23" s="142">
        <f t="shared" si="7"/>
        <v>0</v>
      </c>
      <c r="AC23" s="142">
        <f t="shared" si="8"/>
        <v>0</v>
      </c>
      <c r="AD23" s="142">
        <f t="shared" si="9"/>
        <v>0</v>
      </c>
      <c r="AE23" s="142">
        <f t="shared" si="10"/>
        <v>0</v>
      </c>
      <c r="AF23" s="142">
        <f t="shared" si="11"/>
        <v>0</v>
      </c>
      <c r="AG23" s="142">
        <f t="shared" si="12"/>
        <v>0</v>
      </c>
      <c r="AH23" s="147">
        <f t="shared" si="13"/>
        <v>0</v>
      </c>
      <c r="AI23" s="211">
        <f t="shared" si="14"/>
        <v>0</v>
      </c>
      <c r="AK23" s="142">
        <f t="shared" si="15"/>
        <v>0</v>
      </c>
    </row>
    <row r="24" spans="1:37" x14ac:dyDescent="0.25">
      <c r="A24" s="121">
        <f t="shared" si="0"/>
        <v>18</v>
      </c>
      <c r="B24" s="159" t="s">
        <v>101</v>
      </c>
      <c r="C24" s="159" t="s">
        <v>84</v>
      </c>
      <c r="D24" s="159" t="s">
        <v>102</v>
      </c>
      <c r="E24" s="159" t="s">
        <v>97</v>
      </c>
      <c r="F24" s="150">
        <v>0</v>
      </c>
      <c r="G24" s="129"/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4">
        <v>0</v>
      </c>
      <c r="U24" s="129"/>
      <c r="V24" s="143">
        <f t="shared" si="1"/>
        <v>0</v>
      </c>
      <c r="W24" s="143">
        <f t="shared" si="2"/>
        <v>0</v>
      </c>
      <c r="X24" s="143">
        <f t="shared" si="3"/>
        <v>0</v>
      </c>
      <c r="Y24" s="143">
        <f t="shared" si="4"/>
        <v>0</v>
      </c>
      <c r="Z24" s="143">
        <f t="shared" si="5"/>
        <v>0</v>
      </c>
      <c r="AA24" s="143">
        <f t="shared" si="6"/>
        <v>0</v>
      </c>
      <c r="AB24" s="143">
        <f t="shared" si="7"/>
        <v>0</v>
      </c>
      <c r="AC24" s="143">
        <f t="shared" si="8"/>
        <v>0</v>
      </c>
      <c r="AD24" s="143">
        <f t="shared" si="9"/>
        <v>0</v>
      </c>
      <c r="AE24" s="143">
        <f t="shared" si="10"/>
        <v>0</v>
      </c>
      <c r="AF24" s="143">
        <f t="shared" si="11"/>
        <v>0</v>
      </c>
      <c r="AG24" s="143">
        <f t="shared" si="12"/>
        <v>0</v>
      </c>
      <c r="AH24" s="148">
        <f t="shared" si="13"/>
        <v>0</v>
      </c>
      <c r="AI24" s="212">
        <f t="shared" si="14"/>
        <v>0</v>
      </c>
      <c r="AK24" s="143">
        <f t="shared" si="15"/>
        <v>0</v>
      </c>
    </row>
    <row r="25" spans="1:37" x14ac:dyDescent="0.25">
      <c r="A25" s="121">
        <f t="shared" si="0"/>
        <v>19</v>
      </c>
      <c r="B25" s="160" t="s">
        <v>102</v>
      </c>
      <c r="C25" s="160" t="s">
        <v>84</v>
      </c>
      <c r="D25" s="160" t="s">
        <v>102</v>
      </c>
      <c r="E25" s="160" t="s">
        <v>98</v>
      </c>
      <c r="F25" s="149">
        <v>0</v>
      </c>
      <c r="G25" s="127"/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2">
        <v>0</v>
      </c>
      <c r="U25" s="127"/>
      <c r="V25" s="142">
        <f t="shared" si="1"/>
        <v>0</v>
      </c>
      <c r="W25" s="142">
        <f t="shared" si="2"/>
        <v>0</v>
      </c>
      <c r="X25" s="142">
        <f t="shared" si="3"/>
        <v>0</v>
      </c>
      <c r="Y25" s="142">
        <f t="shared" si="4"/>
        <v>0</v>
      </c>
      <c r="Z25" s="142">
        <f t="shared" si="5"/>
        <v>0</v>
      </c>
      <c r="AA25" s="142">
        <f t="shared" si="6"/>
        <v>0</v>
      </c>
      <c r="AB25" s="142">
        <f t="shared" si="7"/>
        <v>0</v>
      </c>
      <c r="AC25" s="142">
        <f t="shared" si="8"/>
        <v>0</v>
      </c>
      <c r="AD25" s="142">
        <f t="shared" si="9"/>
        <v>0</v>
      </c>
      <c r="AE25" s="142">
        <f t="shared" si="10"/>
        <v>0</v>
      </c>
      <c r="AF25" s="142">
        <f t="shared" si="11"/>
        <v>0</v>
      </c>
      <c r="AG25" s="142">
        <f t="shared" si="12"/>
        <v>0</v>
      </c>
      <c r="AH25" s="147">
        <f t="shared" si="13"/>
        <v>0</v>
      </c>
      <c r="AI25" s="211">
        <f t="shared" si="14"/>
        <v>0</v>
      </c>
      <c r="AK25" s="142">
        <f t="shared" si="15"/>
        <v>0</v>
      </c>
    </row>
    <row r="26" spans="1:37" x14ac:dyDescent="0.25">
      <c r="A26" s="121">
        <f t="shared" si="0"/>
        <v>20</v>
      </c>
      <c r="B26" s="159" t="s">
        <v>103</v>
      </c>
      <c r="C26" s="159" t="s">
        <v>84</v>
      </c>
      <c r="D26" s="159" t="s">
        <v>104</v>
      </c>
      <c r="E26" s="159" t="s">
        <v>97</v>
      </c>
      <c r="F26" s="150">
        <v>0</v>
      </c>
      <c r="G26" s="129"/>
      <c r="H26" s="165">
        <v>33882</v>
      </c>
      <c r="I26" s="165">
        <v>34000</v>
      </c>
      <c r="J26" s="163">
        <v>34000</v>
      </c>
      <c r="K26" s="163">
        <v>34000</v>
      </c>
      <c r="L26" s="163">
        <v>34000</v>
      </c>
      <c r="M26" s="163">
        <v>34000</v>
      </c>
      <c r="N26" s="163">
        <v>31853</v>
      </c>
      <c r="O26" s="163">
        <v>28000</v>
      </c>
      <c r="P26" s="163">
        <v>25482</v>
      </c>
      <c r="Q26" s="163">
        <v>23283</v>
      </c>
      <c r="R26" s="163">
        <v>28229</v>
      </c>
      <c r="S26" s="163">
        <v>33682</v>
      </c>
      <c r="T26" s="164">
        <v>0</v>
      </c>
      <c r="U26" s="129"/>
      <c r="V26" s="144">
        <f t="shared" si="1"/>
        <v>0</v>
      </c>
      <c r="W26" s="144">
        <f t="shared" si="2"/>
        <v>0</v>
      </c>
      <c r="X26" s="144">
        <f t="shared" si="3"/>
        <v>0</v>
      </c>
      <c r="Y26" s="144">
        <f t="shared" si="4"/>
        <v>0</v>
      </c>
      <c r="Z26" s="144">
        <f t="shared" si="5"/>
        <v>0</v>
      </c>
      <c r="AA26" s="144">
        <f t="shared" si="6"/>
        <v>0</v>
      </c>
      <c r="AB26" s="144">
        <f t="shared" si="7"/>
        <v>0</v>
      </c>
      <c r="AC26" s="144">
        <f t="shared" si="8"/>
        <v>0</v>
      </c>
      <c r="AD26" s="144">
        <f t="shared" si="9"/>
        <v>0</v>
      </c>
      <c r="AE26" s="144">
        <f t="shared" si="10"/>
        <v>0</v>
      </c>
      <c r="AF26" s="144">
        <f t="shared" si="11"/>
        <v>0</v>
      </c>
      <c r="AG26" s="144">
        <f t="shared" si="12"/>
        <v>0</v>
      </c>
      <c r="AH26" s="151">
        <f t="shared" si="13"/>
        <v>0</v>
      </c>
      <c r="AI26" s="213">
        <f t="shared" si="14"/>
        <v>0</v>
      </c>
      <c r="AK26" s="144">
        <f t="shared" si="15"/>
        <v>0</v>
      </c>
    </row>
    <row r="27" spans="1:37" x14ac:dyDescent="0.25">
      <c r="A27" s="121">
        <f t="shared" si="0"/>
        <v>21</v>
      </c>
      <c r="B27" s="160" t="s">
        <v>104</v>
      </c>
      <c r="C27" s="160" t="s">
        <v>84</v>
      </c>
      <c r="D27" s="160" t="s">
        <v>104</v>
      </c>
      <c r="E27" s="160" t="s">
        <v>98</v>
      </c>
      <c r="F27" s="149">
        <v>0</v>
      </c>
      <c r="G27" s="127"/>
      <c r="H27" s="161">
        <v>52002</v>
      </c>
      <c r="I27" s="161">
        <v>112552</v>
      </c>
      <c r="J27" s="161">
        <v>137903</v>
      </c>
      <c r="K27" s="161">
        <v>87250</v>
      </c>
      <c r="L27" s="161">
        <v>72190</v>
      </c>
      <c r="M27" s="161">
        <v>63735</v>
      </c>
      <c r="N27" s="161">
        <v>3652</v>
      </c>
      <c r="O27" s="161">
        <v>9644</v>
      </c>
      <c r="P27" s="161">
        <v>5025</v>
      </c>
      <c r="Q27" s="161">
        <v>5367</v>
      </c>
      <c r="R27" s="161">
        <v>11041</v>
      </c>
      <c r="S27" s="161">
        <v>42959</v>
      </c>
      <c r="T27" s="162">
        <v>0</v>
      </c>
      <c r="U27" s="127"/>
      <c r="V27" s="142">
        <f t="shared" si="1"/>
        <v>0</v>
      </c>
      <c r="W27" s="142">
        <f t="shared" si="2"/>
        <v>0</v>
      </c>
      <c r="X27" s="142">
        <f t="shared" si="3"/>
        <v>0</v>
      </c>
      <c r="Y27" s="142">
        <f t="shared" si="4"/>
        <v>0</v>
      </c>
      <c r="Z27" s="142">
        <f t="shared" si="5"/>
        <v>0</v>
      </c>
      <c r="AA27" s="142">
        <f t="shared" si="6"/>
        <v>0</v>
      </c>
      <c r="AB27" s="142">
        <f t="shared" si="7"/>
        <v>0</v>
      </c>
      <c r="AC27" s="142">
        <f t="shared" si="8"/>
        <v>0</v>
      </c>
      <c r="AD27" s="142">
        <f t="shared" si="9"/>
        <v>0</v>
      </c>
      <c r="AE27" s="142">
        <f t="shared" si="10"/>
        <v>0</v>
      </c>
      <c r="AF27" s="142">
        <f t="shared" si="11"/>
        <v>0</v>
      </c>
      <c r="AG27" s="142">
        <f t="shared" si="12"/>
        <v>0</v>
      </c>
      <c r="AH27" s="147">
        <f t="shared" si="13"/>
        <v>0</v>
      </c>
      <c r="AI27" s="211">
        <f t="shared" si="14"/>
        <v>0</v>
      </c>
      <c r="AK27" s="142">
        <f t="shared" si="15"/>
        <v>0</v>
      </c>
    </row>
    <row r="28" spans="1:37" x14ac:dyDescent="0.25">
      <c r="A28" s="121">
        <f t="shared" si="0"/>
        <v>22</v>
      </c>
      <c r="B28" s="159" t="s">
        <v>105</v>
      </c>
      <c r="C28" s="159" t="s">
        <v>84</v>
      </c>
      <c r="D28" s="159" t="s">
        <v>106</v>
      </c>
      <c r="E28" s="159" t="s">
        <v>97</v>
      </c>
      <c r="F28" s="150">
        <v>0</v>
      </c>
      <c r="G28" s="129"/>
      <c r="H28" s="163">
        <v>6217.6</v>
      </c>
      <c r="I28" s="163">
        <v>24000</v>
      </c>
      <c r="J28" s="163">
        <v>24000</v>
      </c>
      <c r="K28" s="163">
        <v>25740.799999999999</v>
      </c>
      <c r="L28" s="163">
        <v>26000</v>
      </c>
      <c r="M28" s="163">
        <v>26000</v>
      </c>
      <c r="N28" s="163">
        <v>27847</v>
      </c>
      <c r="O28" s="163">
        <v>26153.9</v>
      </c>
      <c r="P28" s="163">
        <v>24383.3</v>
      </c>
      <c r="Q28" s="163">
        <v>19372.8</v>
      </c>
      <c r="R28" s="163">
        <v>19302.599999999999</v>
      </c>
      <c r="S28" s="163">
        <v>23424.7</v>
      </c>
      <c r="T28" s="164">
        <v>20916.2</v>
      </c>
      <c r="U28" s="129"/>
      <c r="V28" s="143">
        <f t="shared" si="1"/>
        <v>0</v>
      </c>
      <c r="W28" s="143">
        <f t="shared" si="2"/>
        <v>0</v>
      </c>
      <c r="X28" s="143">
        <f t="shared" si="3"/>
        <v>0</v>
      </c>
      <c r="Y28" s="143">
        <f t="shared" si="4"/>
        <v>0</v>
      </c>
      <c r="Z28" s="143">
        <f t="shared" si="5"/>
        <v>0</v>
      </c>
      <c r="AA28" s="143">
        <f t="shared" si="6"/>
        <v>0</v>
      </c>
      <c r="AB28" s="143">
        <f t="shared" si="7"/>
        <v>0</v>
      </c>
      <c r="AC28" s="143">
        <f t="shared" si="8"/>
        <v>0</v>
      </c>
      <c r="AD28" s="143">
        <f t="shared" si="9"/>
        <v>0</v>
      </c>
      <c r="AE28" s="143">
        <f t="shared" si="10"/>
        <v>0</v>
      </c>
      <c r="AF28" s="143">
        <f t="shared" si="11"/>
        <v>0</v>
      </c>
      <c r="AG28" s="143">
        <f t="shared" si="12"/>
        <v>0</v>
      </c>
      <c r="AH28" s="148">
        <f t="shared" si="13"/>
        <v>0</v>
      </c>
      <c r="AI28" s="212">
        <f t="shared" si="14"/>
        <v>0</v>
      </c>
      <c r="AK28" s="143">
        <f t="shared" si="15"/>
        <v>0</v>
      </c>
    </row>
    <row r="29" spans="1:37" x14ac:dyDescent="0.25">
      <c r="A29" s="121">
        <f t="shared" si="0"/>
        <v>23</v>
      </c>
      <c r="B29" s="160" t="s">
        <v>106</v>
      </c>
      <c r="C29" s="160" t="s">
        <v>84</v>
      </c>
      <c r="D29" s="160" t="s">
        <v>106</v>
      </c>
      <c r="E29" s="160" t="s">
        <v>98</v>
      </c>
      <c r="F29" s="149">
        <v>0</v>
      </c>
      <c r="G29" s="127"/>
      <c r="H29" s="161">
        <v>6951.5</v>
      </c>
      <c r="I29" s="161">
        <v>29355.9</v>
      </c>
      <c r="J29" s="161">
        <v>45300.6</v>
      </c>
      <c r="K29" s="161">
        <v>43702.400000000001</v>
      </c>
      <c r="L29" s="161">
        <v>42546.9</v>
      </c>
      <c r="M29" s="161">
        <v>33614.9</v>
      </c>
      <c r="N29" s="161">
        <v>30803.7</v>
      </c>
      <c r="O29" s="161">
        <v>18779.599999999999</v>
      </c>
      <c r="P29" s="161">
        <v>14588.5</v>
      </c>
      <c r="Q29" s="161">
        <v>12505.8</v>
      </c>
      <c r="R29" s="161">
        <v>13714</v>
      </c>
      <c r="S29" s="161">
        <v>15812</v>
      </c>
      <c r="T29" s="162">
        <v>15343.7</v>
      </c>
      <c r="U29" s="127"/>
      <c r="V29" s="142">
        <f t="shared" si="1"/>
        <v>0</v>
      </c>
      <c r="W29" s="142">
        <f t="shared" si="2"/>
        <v>0</v>
      </c>
      <c r="X29" s="142">
        <f t="shared" si="3"/>
        <v>0</v>
      </c>
      <c r="Y29" s="142">
        <f t="shared" si="4"/>
        <v>0</v>
      </c>
      <c r="Z29" s="142">
        <f t="shared" si="5"/>
        <v>0</v>
      </c>
      <c r="AA29" s="142">
        <f t="shared" si="6"/>
        <v>0</v>
      </c>
      <c r="AB29" s="142">
        <f t="shared" si="7"/>
        <v>0</v>
      </c>
      <c r="AC29" s="142">
        <f t="shared" si="8"/>
        <v>0</v>
      </c>
      <c r="AD29" s="142">
        <f t="shared" si="9"/>
        <v>0</v>
      </c>
      <c r="AE29" s="142">
        <f t="shared" si="10"/>
        <v>0</v>
      </c>
      <c r="AF29" s="142">
        <f t="shared" si="11"/>
        <v>0</v>
      </c>
      <c r="AG29" s="142">
        <f t="shared" si="12"/>
        <v>0</v>
      </c>
      <c r="AH29" s="147">
        <f t="shared" si="13"/>
        <v>0</v>
      </c>
      <c r="AI29" s="211">
        <f t="shared" si="14"/>
        <v>0</v>
      </c>
      <c r="AK29" s="142">
        <f t="shared" si="15"/>
        <v>0</v>
      </c>
    </row>
    <row r="30" spans="1:37" x14ac:dyDescent="0.25">
      <c r="A30" s="121">
        <f t="shared" si="0"/>
        <v>24</v>
      </c>
      <c r="B30" s="159" t="s">
        <v>107</v>
      </c>
      <c r="C30" s="159" t="s">
        <v>84</v>
      </c>
      <c r="D30" s="159" t="s">
        <v>108</v>
      </c>
      <c r="E30" s="159" t="s">
        <v>97</v>
      </c>
      <c r="F30" s="150">
        <v>0</v>
      </c>
      <c r="G30" s="129"/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4">
        <v>0</v>
      </c>
      <c r="U30" s="129"/>
      <c r="V30" s="143">
        <f t="shared" si="1"/>
        <v>0</v>
      </c>
      <c r="W30" s="143">
        <f t="shared" si="2"/>
        <v>0</v>
      </c>
      <c r="X30" s="143">
        <f t="shared" si="3"/>
        <v>0</v>
      </c>
      <c r="Y30" s="143">
        <f t="shared" si="4"/>
        <v>0</v>
      </c>
      <c r="Z30" s="143">
        <f t="shared" si="5"/>
        <v>0</v>
      </c>
      <c r="AA30" s="143">
        <f t="shared" si="6"/>
        <v>0</v>
      </c>
      <c r="AB30" s="143">
        <f t="shared" si="7"/>
        <v>0</v>
      </c>
      <c r="AC30" s="143">
        <f t="shared" si="8"/>
        <v>0</v>
      </c>
      <c r="AD30" s="143">
        <f t="shared" si="9"/>
        <v>0</v>
      </c>
      <c r="AE30" s="143">
        <f t="shared" si="10"/>
        <v>0</v>
      </c>
      <c r="AF30" s="143">
        <f t="shared" si="11"/>
        <v>0</v>
      </c>
      <c r="AG30" s="143">
        <f t="shared" si="12"/>
        <v>0</v>
      </c>
      <c r="AH30" s="148">
        <f t="shared" si="13"/>
        <v>0</v>
      </c>
      <c r="AI30" s="212">
        <f t="shared" si="14"/>
        <v>0</v>
      </c>
      <c r="AK30" s="143">
        <f t="shared" si="15"/>
        <v>0</v>
      </c>
    </row>
    <row r="31" spans="1:37" x14ac:dyDescent="0.25">
      <c r="A31" s="121">
        <f t="shared" si="0"/>
        <v>25</v>
      </c>
      <c r="B31" s="160" t="s">
        <v>108</v>
      </c>
      <c r="C31" s="160" t="s">
        <v>84</v>
      </c>
      <c r="D31" s="160" t="s">
        <v>108</v>
      </c>
      <c r="E31" s="160" t="s">
        <v>98</v>
      </c>
      <c r="F31" s="149">
        <v>0</v>
      </c>
      <c r="G31" s="127"/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2">
        <v>0</v>
      </c>
      <c r="U31" s="127"/>
      <c r="V31" s="142">
        <f t="shared" si="1"/>
        <v>0</v>
      </c>
      <c r="W31" s="142">
        <f t="shared" si="2"/>
        <v>0</v>
      </c>
      <c r="X31" s="142">
        <f t="shared" si="3"/>
        <v>0</v>
      </c>
      <c r="Y31" s="142">
        <f t="shared" si="4"/>
        <v>0</v>
      </c>
      <c r="Z31" s="142">
        <f t="shared" si="5"/>
        <v>0</v>
      </c>
      <c r="AA31" s="142">
        <f t="shared" si="6"/>
        <v>0</v>
      </c>
      <c r="AB31" s="142">
        <f t="shared" si="7"/>
        <v>0</v>
      </c>
      <c r="AC31" s="142">
        <f t="shared" si="8"/>
        <v>0</v>
      </c>
      <c r="AD31" s="142">
        <f t="shared" si="9"/>
        <v>0</v>
      </c>
      <c r="AE31" s="142">
        <f t="shared" si="10"/>
        <v>0</v>
      </c>
      <c r="AF31" s="142">
        <f t="shared" si="11"/>
        <v>0</v>
      </c>
      <c r="AG31" s="142">
        <f t="shared" si="12"/>
        <v>0</v>
      </c>
      <c r="AH31" s="147">
        <f t="shared" si="13"/>
        <v>0</v>
      </c>
      <c r="AI31" s="211">
        <f t="shared" si="14"/>
        <v>0</v>
      </c>
      <c r="AK31" s="142">
        <f t="shared" si="15"/>
        <v>0</v>
      </c>
    </row>
    <row r="32" spans="1:37" x14ac:dyDescent="0.25">
      <c r="A32" s="121">
        <f t="shared" si="0"/>
        <v>26</v>
      </c>
      <c r="B32" s="159" t="s">
        <v>109</v>
      </c>
      <c r="C32" s="159" t="s">
        <v>84</v>
      </c>
      <c r="D32" s="159" t="s">
        <v>110</v>
      </c>
      <c r="E32" s="159" t="s">
        <v>97</v>
      </c>
      <c r="F32" s="150">
        <v>-1.0019999999999999E-2</v>
      </c>
      <c r="G32" s="129"/>
      <c r="H32" s="163">
        <v>23988.1</v>
      </c>
      <c r="I32" s="163">
        <v>58041.3</v>
      </c>
      <c r="J32" s="163">
        <v>60000</v>
      </c>
      <c r="K32" s="163">
        <v>55095.199999999997</v>
      </c>
      <c r="L32" s="163">
        <v>51253.4</v>
      </c>
      <c r="M32" s="163">
        <v>44007.6</v>
      </c>
      <c r="N32" s="163">
        <v>39208.199999999997</v>
      </c>
      <c r="O32" s="163">
        <v>32019.599999999999</v>
      </c>
      <c r="P32" s="163">
        <v>22219.7</v>
      </c>
      <c r="Q32" s="163">
        <v>30453.8</v>
      </c>
      <c r="R32" s="163">
        <v>30051.1</v>
      </c>
      <c r="S32" s="163">
        <v>40318.5</v>
      </c>
      <c r="T32" s="164">
        <v>25877.8</v>
      </c>
      <c r="U32" s="129"/>
      <c r="V32" s="143">
        <f t="shared" si="1"/>
        <v>-240.36</v>
      </c>
      <c r="W32" s="143">
        <f t="shared" si="2"/>
        <v>-581.57000000000005</v>
      </c>
      <c r="X32" s="143">
        <f t="shared" si="3"/>
        <v>-601.20000000000005</v>
      </c>
      <c r="Y32" s="143">
        <f t="shared" si="4"/>
        <v>-552.04999999999995</v>
      </c>
      <c r="Z32" s="143">
        <f t="shared" si="5"/>
        <v>-513.55999999999995</v>
      </c>
      <c r="AA32" s="143">
        <f t="shared" si="6"/>
        <v>-440.96</v>
      </c>
      <c r="AB32" s="143">
        <f t="shared" si="7"/>
        <v>-392.87</v>
      </c>
      <c r="AC32" s="143">
        <f t="shared" si="8"/>
        <v>-320.83999999999997</v>
      </c>
      <c r="AD32" s="143">
        <f t="shared" si="9"/>
        <v>-222.64</v>
      </c>
      <c r="AE32" s="143">
        <f t="shared" si="10"/>
        <v>-305.14999999999998</v>
      </c>
      <c r="AF32" s="143">
        <f t="shared" si="11"/>
        <v>-301.11</v>
      </c>
      <c r="AG32" s="143">
        <f t="shared" si="12"/>
        <v>-403.99</v>
      </c>
      <c r="AH32" s="148">
        <f t="shared" si="13"/>
        <v>-259.3</v>
      </c>
      <c r="AI32" s="212">
        <f t="shared" si="14"/>
        <v>-5135.5999999999995</v>
      </c>
      <c r="AK32" s="143">
        <f t="shared" si="15"/>
        <v>-5370.3936085665282</v>
      </c>
    </row>
    <row r="33" spans="1:37" x14ac:dyDescent="0.25">
      <c r="A33" s="121">
        <f t="shared" si="0"/>
        <v>27</v>
      </c>
      <c r="B33" s="159" t="s">
        <v>110</v>
      </c>
      <c r="C33" s="159" t="s">
        <v>84</v>
      </c>
      <c r="D33" s="159" t="s">
        <v>110</v>
      </c>
      <c r="E33" s="159" t="s">
        <v>98</v>
      </c>
      <c r="F33" s="150">
        <v>-8.9700000000000005E-3</v>
      </c>
      <c r="G33" s="129"/>
      <c r="H33" s="163">
        <v>9305</v>
      </c>
      <c r="I33" s="163">
        <v>37848.300000000003</v>
      </c>
      <c r="J33" s="163">
        <v>61229.5</v>
      </c>
      <c r="K33" s="163">
        <v>41931.5</v>
      </c>
      <c r="L33" s="163">
        <v>26683.4</v>
      </c>
      <c r="M33" s="163">
        <v>15587.4</v>
      </c>
      <c r="N33" s="163">
        <v>9919.1</v>
      </c>
      <c r="O33" s="163">
        <v>2094</v>
      </c>
      <c r="P33" s="163">
        <v>1120</v>
      </c>
      <c r="Q33" s="163">
        <v>11056.8</v>
      </c>
      <c r="R33" s="163">
        <v>9981.2000000000007</v>
      </c>
      <c r="S33" s="163">
        <v>21365.8</v>
      </c>
      <c r="T33" s="164">
        <v>23841.8</v>
      </c>
      <c r="U33" s="129"/>
      <c r="V33" s="143">
        <f t="shared" si="1"/>
        <v>-83.47</v>
      </c>
      <c r="W33" s="143">
        <f t="shared" si="2"/>
        <v>-339.5</v>
      </c>
      <c r="X33" s="143">
        <f t="shared" si="3"/>
        <v>-549.23</v>
      </c>
      <c r="Y33" s="143">
        <f t="shared" si="4"/>
        <v>-376.13</v>
      </c>
      <c r="Z33" s="143">
        <f t="shared" si="5"/>
        <v>-239.35</v>
      </c>
      <c r="AA33" s="143">
        <f t="shared" si="6"/>
        <v>-139.82</v>
      </c>
      <c r="AB33" s="143">
        <f t="shared" si="7"/>
        <v>-88.97</v>
      </c>
      <c r="AC33" s="143">
        <f t="shared" si="8"/>
        <v>-18.78</v>
      </c>
      <c r="AD33" s="143">
        <f t="shared" si="9"/>
        <v>-10.050000000000001</v>
      </c>
      <c r="AE33" s="143">
        <f t="shared" si="10"/>
        <v>-99.18</v>
      </c>
      <c r="AF33" s="143">
        <f t="shared" si="11"/>
        <v>-89.53</v>
      </c>
      <c r="AG33" s="143">
        <f t="shared" si="12"/>
        <v>-191.65</v>
      </c>
      <c r="AH33" s="148">
        <f t="shared" si="13"/>
        <v>-213.86</v>
      </c>
      <c r="AI33" s="212">
        <f t="shared" si="14"/>
        <v>-2439.52</v>
      </c>
      <c r="AK33" s="143">
        <f t="shared" si="15"/>
        <v>-2551.0519931400845</v>
      </c>
    </row>
    <row r="34" spans="1:37" x14ac:dyDescent="0.25">
      <c r="A34" s="121">
        <f t="shared" si="0"/>
        <v>28</v>
      </c>
      <c r="B34" s="159"/>
      <c r="C34" s="159" t="s">
        <v>84</v>
      </c>
      <c r="D34" s="159" t="s">
        <v>110</v>
      </c>
      <c r="E34" s="159" t="s">
        <v>111</v>
      </c>
      <c r="F34" s="150">
        <v>-6.8799999999999998E-3</v>
      </c>
      <c r="G34" s="129"/>
      <c r="H34" s="163">
        <v>0</v>
      </c>
      <c r="I34" s="163">
        <v>11101</v>
      </c>
      <c r="J34" s="163">
        <v>22284.5</v>
      </c>
      <c r="K34" s="163">
        <v>409</v>
      </c>
      <c r="L34" s="163">
        <v>673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163">
        <v>0</v>
      </c>
      <c r="T34" s="164">
        <v>352.3</v>
      </c>
      <c r="U34" s="129"/>
      <c r="V34" s="143">
        <f t="shared" si="1"/>
        <v>0</v>
      </c>
      <c r="W34" s="143">
        <f t="shared" si="2"/>
        <v>-76.37</v>
      </c>
      <c r="X34" s="143">
        <f t="shared" si="3"/>
        <v>-153.32</v>
      </c>
      <c r="Y34" s="143">
        <f t="shared" si="4"/>
        <v>-2.81</v>
      </c>
      <c r="Z34" s="143">
        <f t="shared" si="5"/>
        <v>-4.63</v>
      </c>
      <c r="AA34" s="143">
        <f t="shared" si="6"/>
        <v>0</v>
      </c>
      <c r="AB34" s="143">
        <f t="shared" si="7"/>
        <v>0</v>
      </c>
      <c r="AC34" s="143">
        <f t="shared" si="8"/>
        <v>0</v>
      </c>
      <c r="AD34" s="143">
        <f t="shared" si="9"/>
        <v>0</v>
      </c>
      <c r="AE34" s="143">
        <f t="shared" si="10"/>
        <v>0</v>
      </c>
      <c r="AF34" s="143">
        <f t="shared" si="11"/>
        <v>0</v>
      </c>
      <c r="AG34" s="143">
        <f t="shared" si="12"/>
        <v>0</v>
      </c>
      <c r="AH34" s="148">
        <f t="shared" si="13"/>
        <v>-2.42</v>
      </c>
      <c r="AI34" s="212">
        <f t="shared" si="14"/>
        <v>-239.54999999999998</v>
      </c>
      <c r="AK34" s="143">
        <f t="shared" si="15"/>
        <v>-250.50194503701843</v>
      </c>
    </row>
    <row r="35" spans="1:37" x14ac:dyDescent="0.25">
      <c r="A35" s="121">
        <f t="shared" si="0"/>
        <v>29</v>
      </c>
      <c r="B35" s="159"/>
      <c r="C35" s="159" t="s">
        <v>84</v>
      </c>
      <c r="D35" s="159" t="s">
        <v>110</v>
      </c>
      <c r="E35" s="159" t="s">
        <v>112</v>
      </c>
      <c r="F35" s="150">
        <v>-5.4999999999999997E-3</v>
      </c>
      <c r="G35" s="129"/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4">
        <v>0</v>
      </c>
      <c r="U35" s="129"/>
      <c r="V35" s="143">
        <f t="shared" si="1"/>
        <v>0</v>
      </c>
      <c r="W35" s="143">
        <f t="shared" si="2"/>
        <v>0</v>
      </c>
      <c r="X35" s="143">
        <f t="shared" si="3"/>
        <v>0</v>
      </c>
      <c r="Y35" s="143">
        <f t="shared" si="4"/>
        <v>0</v>
      </c>
      <c r="Z35" s="143">
        <f t="shared" si="5"/>
        <v>0</v>
      </c>
      <c r="AA35" s="143">
        <f t="shared" si="6"/>
        <v>0</v>
      </c>
      <c r="AB35" s="143">
        <f t="shared" si="7"/>
        <v>0</v>
      </c>
      <c r="AC35" s="143">
        <f t="shared" si="8"/>
        <v>0</v>
      </c>
      <c r="AD35" s="143">
        <f t="shared" si="9"/>
        <v>0</v>
      </c>
      <c r="AE35" s="143">
        <f t="shared" si="10"/>
        <v>0</v>
      </c>
      <c r="AF35" s="143">
        <f t="shared" si="11"/>
        <v>0</v>
      </c>
      <c r="AG35" s="143">
        <f t="shared" si="12"/>
        <v>0</v>
      </c>
      <c r="AH35" s="148">
        <f t="shared" si="13"/>
        <v>0</v>
      </c>
      <c r="AI35" s="212">
        <f t="shared" si="14"/>
        <v>0</v>
      </c>
      <c r="AK35" s="143">
        <f t="shared" si="15"/>
        <v>0</v>
      </c>
    </row>
    <row r="36" spans="1:37" x14ac:dyDescent="0.25">
      <c r="A36" s="121">
        <f t="shared" si="0"/>
        <v>30</v>
      </c>
      <c r="B36" s="159"/>
      <c r="C36" s="159" t="s">
        <v>84</v>
      </c>
      <c r="D36" s="159" t="s">
        <v>110</v>
      </c>
      <c r="E36" s="159" t="s">
        <v>113</v>
      </c>
      <c r="F36" s="150">
        <v>-3.6700000000000001E-3</v>
      </c>
      <c r="G36" s="129"/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4">
        <v>0</v>
      </c>
      <c r="U36" s="129"/>
      <c r="V36" s="143">
        <f t="shared" si="1"/>
        <v>0</v>
      </c>
      <c r="W36" s="143">
        <f t="shared" si="2"/>
        <v>0</v>
      </c>
      <c r="X36" s="143">
        <f t="shared" si="3"/>
        <v>0</v>
      </c>
      <c r="Y36" s="143">
        <f t="shared" si="4"/>
        <v>0</v>
      </c>
      <c r="Z36" s="143">
        <f t="shared" si="5"/>
        <v>0</v>
      </c>
      <c r="AA36" s="143">
        <f t="shared" si="6"/>
        <v>0</v>
      </c>
      <c r="AB36" s="143">
        <f t="shared" si="7"/>
        <v>0</v>
      </c>
      <c r="AC36" s="143">
        <f t="shared" si="8"/>
        <v>0</v>
      </c>
      <c r="AD36" s="143">
        <f t="shared" si="9"/>
        <v>0</v>
      </c>
      <c r="AE36" s="143">
        <f t="shared" si="10"/>
        <v>0</v>
      </c>
      <c r="AF36" s="143">
        <f t="shared" si="11"/>
        <v>0</v>
      </c>
      <c r="AG36" s="143">
        <f t="shared" si="12"/>
        <v>0</v>
      </c>
      <c r="AH36" s="148">
        <f t="shared" si="13"/>
        <v>0</v>
      </c>
      <c r="AI36" s="212">
        <f t="shared" si="14"/>
        <v>0</v>
      </c>
      <c r="AK36" s="143">
        <f t="shared" si="15"/>
        <v>0</v>
      </c>
    </row>
    <row r="37" spans="1:37" x14ac:dyDescent="0.25">
      <c r="A37" s="121">
        <f t="shared" si="0"/>
        <v>31</v>
      </c>
      <c r="B37" s="160"/>
      <c r="C37" s="160" t="s">
        <v>84</v>
      </c>
      <c r="D37" s="160" t="s">
        <v>110</v>
      </c>
      <c r="E37" s="160" t="s">
        <v>114</v>
      </c>
      <c r="F37" s="149">
        <v>-1.3799999999999999E-3</v>
      </c>
      <c r="G37" s="127"/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2">
        <v>0</v>
      </c>
      <c r="U37" s="127"/>
      <c r="V37" s="142">
        <f t="shared" si="1"/>
        <v>0</v>
      </c>
      <c r="W37" s="142">
        <f t="shared" si="2"/>
        <v>0</v>
      </c>
      <c r="X37" s="142">
        <f t="shared" si="3"/>
        <v>0</v>
      </c>
      <c r="Y37" s="142">
        <f t="shared" si="4"/>
        <v>0</v>
      </c>
      <c r="Z37" s="142">
        <f t="shared" si="5"/>
        <v>0</v>
      </c>
      <c r="AA37" s="142">
        <f t="shared" si="6"/>
        <v>0</v>
      </c>
      <c r="AB37" s="142">
        <f t="shared" si="7"/>
        <v>0</v>
      </c>
      <c r="AC37" s="142">
        <f t="shared" si="8"/>
        <v>0</v>
      </c>
      <c r="AD37" s="142">
        <f t="shared" si="9"/>
        <v>0</v>
      </c>
      <c r="AE37" s="142">
        <f t="shared" si="10"/>
        <v>0</v>
      </c>
      <c r="AF37" s="142">
        <f t="shared" si="11"/>
        <v>0</v>
      </c>
      <c r="AG37" s="142">
        <f t="shared" si="12"/>
        <v>0</v>
      </c>
      <c r="AH37" s="147">
        <f t="shared" si="13"/>
        <v>0</v>
      </c>
      <c r="AI37" s="211">
        <f t="shared" si="14"/>
        <v>0</v>
      </c>
      <c r="AK37" s="142">
        <f t="shared" si="15"/>
        <v>0</v>
      </c>
    </row>
    <row r="38" spans="1:37" ht="12" customHeight="1" x14ac:dyDescent="0.25">
      <c r="A38" s="121">
        <f t="shared" si="0"/>
        <v>32</v>
      </c>
      <c r="B38" s="159" t="s">
        <v>115</v>
      </c>
      <c r="C38" s="159" t="s">
        <v>84</v>
      </c>
      <c r="D38" s="159" t="s">
        <v>116</v>
      </c>
      <c r="E38" s="159" t="s">
        <v>97</v>
      </c>
      <c r="F38" s="150">
        <v>0</v>
      </c>
      <c r="G38" s="129"/>
      <c r="H38" s="163">
        <v>67505.100000000006</v>
      </c>
      <c r="I38" s="163">
        <v>107045.3</v>
      </c>
      <c r="J38" s="163">
        <v>113075.3</v>
      </c>
      <c r="K38" s="163">
        <v>113324.4</v>
      </c>
      <c r="L38" s="163">
        <v>112586</v>
      </c>
      <c r="M38" s="163">
        <v>111952</v>
      </c>
      <c r="N38" s="163">
        <v>93154.1</v>
      </c>
      <c r="O38" s="163">
        <v>82722.100000000006</v>
      </c>
      <c r="P38" s="163">
        <v>75647.8</v>
      </c>
      <c r="Q38" s="163">
        <v>75621.899999999994</v>
      </c>
      <c r="R38" s="163">
        <v>76136.600000000006</v>
      </c>
      <c r="S38" s="163">
        <v>91448.2</v>
      </c>
      <c r="T38" s="164">
        <v>40873.300000000003</v>
      </c>
      <c r="U38" s="129"/>
      <c r="V38" s="143">
        <f t="shared" si="1"/>
        <v>0</v>
      </c>
      <c r="W38" s="143">
        <f t="shared" si="2"/>
        <v>0</v>
      </c>
      <c r="X38" s="143">
        <f t="shared" si="3"/>
        <v>0</v>
      </c>
      <c r="Y38" s="143">
        <f t="shared" si="4"/>
        <v>0</v>
      </c>
      <c r="Z38" s="143">
        <f t="shared" si="5"/>
        <v>0</v>
      </c>
      <c r="AA38" s="143">
        <f t="shared" si="6"/>
        <v>0</v>
      </c>
      <c r="AB38" s="143">
        <f t="shared" si="7"/>
        <v>0</v>
      </c>
      <c r="AC38" s="143">
        <f t="shared" si="8"/>
        <v>0</v>
      </c>
      <c r="AD38" s="143">
        <f t="shared" si="9"/>
        <v>0</v>
      </c>
      <c r="AE38" s="143">
        <f t="shared" si="10"/>
        <v>0</v>
      </c>
      <c r="AF38" s="143">
        <f t="shared" si="11"/>
        <v>0</v>
      </c>
      <c r="AG38" s="143">
        <f t="shared" si="12"/>
        <v>0</v>
      </c>
      <c r="AH38" s="148">
        <f t="shared" si="13"/>
        <v>0</v>
      </c>
      <c r="AI38" s="212">
        <f t="shared" si="14"/>
        <v>0</v>
      </c>
      <c r="AK38" s="143">
        <f t="shared" si="15"/>
        <v>0</v>
      </c>
    </row>
    <row r="39" spans="1:37" x14ac:dyDescent="0.25">
      <c r="A39" s="121">
        <f t="shared" si="0"/>
        <v>33</v>
      </c>
      <c r="B39" s="159" t="s">
        <v>116</v>
      </c>
      <c r="C39" s="159" t="s">
        <v>84</v>
      </c>
      <c r="D39" s="159" t="s">
        <v>116</v>
      </c>
      <c r="E39" s="159" t="s">
        <v>98</v>
      </c>
      <c r="F39" s="150">
        <v>0</v>
      </c>
      <c r="G39" s="129"/>
      <c r="H39" s="163">
        <v>36868.300000000003</v>
      </c>
      <c r="I39" s="163">
        <v>79838.2</v>
      </c>
      <c r="J39" s="163">
        <v>127827.2</v>
      </c>
      <c r="K39" s="163">
        <v>104019.2</v>
      </c>
      <c r="L39" s="163">
        <v>94856.3</v>
      </c>
      <c r="M39" s="163">
        <v>71896.5</v>
      </c>
      <c r="N39" s="163">
        <v>48802.400000000001</v>
      </c>
      <c r="O39" s="163">
        <v>50957.7</v>
      </c>
      <c r="P39" s="163">
        <v>47285.4</v>
      </c>
      <c r="Q39" s="163">
        <v>39596.400000000001</v>
      </c>
      <c r="R39" s="163">
        <v>34216.6</v>
      </c>
      <c r="S39" s="163">
        <v>46101.7</v>
      </c>
      <c r="T39" s="164">
        <v>12031</v>
      </c>
      <c r="U39" s="129"/>
      <c r="V39" s="143">
        <f t="shared" si="1"/>
        <v>0</v>
      </c>
      <c r="W39" s="143">
        <f t="shared" si="2"/>
        <v>0</v>
      </c>
      <c r="X39" s="143">
        <f t="shared" si="3"/>
        <v>0</v>
      </c>
      <c r="Y39" s="143">
        <f t="shared" si="4"/>
        <v>0</v>
      </c>
      <c r="Z39" s="143">
        <f t="shared" si="5"/>
        <v>0</v>
      </c>
      <c r="AA39" s="143">
        <f t="shared" si="6"/>
        <v>0</v>
      </c>
      <c r="AB39" s="143">
        <f t="shared" si="7"/>
        <v>0</v>
      </c>
      <c r="AC39" s="143">
        <f t="shared" si="8"/>
        <v>0</v>
      </c>
      <c r="AD39" s="143">
        <f t="shared" si="9"/>
        <v>0</v>
      </c>
      <c r="AE39" s="143">
        <f t="shared" si="10"/>
        <v>0</v>
      </c>
      <c r="AF39" s="143">
        <f t="shared" si="11"/>
        <v>0</v>
      </c>
      <c r="AG39" s="143">
        <f t="shared" si="12"/>
        <v>0</v>
      </c>
      <c r="AH39" s="148">
        <f t="shared" si="13"/>
        <v>0</v>
      </c>
      <c r="AI39" s="212">
        <f t="shared" si="14"/>
        <v>0</v>
      </c>
      <c r="AK39" s="143">
        <f t="shared" si="15"/>
        <v>0</v>
      </c>
    </row>
    <row r="40" spans="1:37" x14ac:dyDescent="0.25">
      <c r="A40" s="121">
        <f t="shared" si="0"/>
        <v>34</v>
      </c>
      <c r="B40" s="159"/>
      <c r="C40" s="159" t="s">
        <v>84</v>
      </c>
      <c r="D40" s="159" t="s">
        <v>116</v>
      </c>
      <c r="E40" s="159" t="s">
        <v>111</v>
      </c>
      <c r="F40" s="150">
        <v>0</v>
      </c>
      <c r="G40" s="129"/>
      <c r="H40" s="163">
        <v>668</v>
      </c>
      <c r="I40" s="163">
        <v>10087.5</v>
      </c>
      <c r="J40" s="163">
        <v>27566.400000000001</v>
      </c>
      <c r="K40" s="163">
        <v>15652.7</v>
      </c>
      <c r="L40" s="163">
        <v>8950.7000000000007</v>
      </c>
      <c r="M40" s="163">
        <v>3404.8</v>
      </c>
      <c r="N40" s="163">
        <v>1770</v>
      </c>
      <c r="O40" s="163">
        <v>3040</v>
      </c>
      <c r="P40" s="163">
        <v>0</v>
      </c>
      <c r="Q40" s="163">
        <v>2889</v>
      </c>
      <c r="R40" s="163">
        <v>0</v>
      </c>
      <c r="S40" s="163">
        <v>3945</v>
      </c>
      <c r="T40" s="164">
        <v>0</v>
      </c>
      <c r="U40" s="129"/>
      <c r="V40" s="143">
        <f t="shared" si="1"/>
        <v>0</v>
      </c>
      <c r="W40" s="143">
        <f t="shared" si="2"/>
        <v>0</v>
      </c>
      <c r="X40" s="143">
        <f t="shared" si="3"/>
        <v>0</v>
      </c>
      <c r="Y40" s="143">
        <f t="shared" si="4"/>
        <v>0</v>
      </c>
      <c r="Z40" s="143">
        <f t="shared" si="5"/>
        <v>0</v>
      </c>
      <c r="AA40" s="143">
        <f t="shared" si="6"/>
        <v>0</v>
      </c>
      <c r="AB40" s="143">
        <f t="shared" si="7"/>
        <v>0</v>
      </c>
      <c r="AC40" s="143">
        <f t="shared" si="8"/>
        <v>0</v>
      </c>
      <c r="AD40" s="143">
        <f t="shared" si="9"/>
        <v>0</v>
      </c>
      <c r="AE40" s="143">
        <f t="shared" si="10"/>
        <v>0</v>
      </c>
      <c r="AF40" s="143">
        <f t="shared" si="11"/>
        <v>0</v>
      </c>
      <c r="AG40" s="143">
        <f t="shared" si="12"/>
        <v>0</v>
      </c>
      <c r="AH40" s="148">
        <f t="shared" si="13"/>
        <v>0</v>
      </c>
      <c r="AI40" s="212">
        <f t="shared" si="14"/>
        <v>0</v>
      </c>
      <c r="AK40" s="143">
        <f t="shared" si="15"/>
        <v>0</v>
      </c>
    </row>
    <row r="41" spans="1:37" x14ac:dyDescent="0.25">
      <c r="A41" s="121">
        <f t="shared" si="0"/>
        <v>35</v>
      </c>
      <c r="B41" s="159"/>
      <c r="C41" s="159" t="s">
        <v>84</v>
      </c>
      <c r="D41" s="159" t="s">
        <v>116</v>
      </c>
      <c r="E41" s="159" t="s">
        <v>112</v>
      </c>
      <c r="F41" s="150">
        <v>0</v>
      </c>
      <c r="G41" s="129"/>
      <c r="H41" s="163">
        <v>0</v>
      </c>
      <c r="I41" s="163">
        <v>0</v>
      </c>
      <c r="J41" s="163">
        <v>23236.6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163">
        <v>0</v>
      </c>
      <c r="T41" s="164">
        <v>0</v>
      </c>
      <c r="U41" s="129"/>
      <c r="V41" s="143">
        <f t="shared" si="1"/>
        <v>0</v>
      </c>
      <c r="W41" s="143">
        <f t="shared" si="2"/>
        <v>0</v>
      </c>
      <c r="X41" s="143">
        <f t="shared" si="3"/>
        <v>0</v>
      </c>
      <c r="Y41" s="143">
        <f t="shared" si="4"/>
        <v>0</v>
      </c>
      <c r="Z41" s="143">
        <f t="shared" si="5"/>
        <v>0</v>
      </c>
      <c r="AA41" s="143">
        <f t="shared" si="6"/>
        <v>0</v>
      </c>
      <c r="AB41" s="143">
        <f t="shared" si="7"/>
        <v>0</v>
      </c>
      <c r="AC41" s="143">
        <f t="shared" si="8"/>
        <v>0</v>
      </c>
      <c r="AD41" s="143">
        <f t="shared" si="9"/>
        <v>0</v>
      </c>
      <c r="AE41" s="143">
        <f t="shared" si="10"/>
        <v>0</v>
      </c>
      <c r="AF41" s="143">
        <f t="shared" si="11"/>
        <v>0</v>
      </c>
      <c r="AG41" s="143">
        <f t="shared" si="12"/>
        <v>0</v>
      </c>
      <c r="AH41" s="148">
        <f t="shared" si="13"/>
        <v>0</v>
      </c>
      <c r="AI41" s="212">
        <f t="shared" si="14"/>
        <v>0</v>
      </c>
      <c r="AK41" s="143">
        <f t="shared" si="15"/>
        <v>0</v>
      </c>
    </row>
    <row r="42" spans="1:37" x14ac:dyDescent="0.25">
      <c r="A42" s="121">
        <f t="shared" si="0"/>
        <v>36</v>
      </c>
      <c r="B42" s="159"/>
      <c r="C42" s="159" t="s">
        <v>84</v>
      </c>
      <c r="D42" s="159" t="s">
        <v>116</v>
      </c>
      <c r="E42" s="159" t="s">
        <v>113</v>
      </c>
      <c r="F42" s="150">
        <v>0</v>
      </c>
      <c r="G42" s="129"/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163">
        <v>0</v>
      </c>
      <c r="T42" s="164">
        <v>0</v>
      </c>
      <c r="U42" s="129"/>
      <c r="V42" s="143">
        <f t="shared" si="1"/>
        <v>0</v>
      </c>
      <c r="W42" s="143">
        <f t="shared" si="2"/>
        <v>0</v>
      </c>
      <c r="X42" s="143">
        <f t="shared" si="3"/>
        <v>0</v>
      </c>
      <c r="Y42" s="143">
        <f t="shared" si="4"/>
        <v>0</v>
      </c>
      <c r="Z42" s="143">
        <f t="shared" si="5"/>
        <v>0</v>
      </c>
      <c r="AA42" s="143">
        <f t="shared" si="6"/>
        <v>0</v>
      </c>
      <c r="AB42" s="143">
        <f t="shared" si="7"/>
        <v>0</v>
      </c>
      <c r="AC42" s="143">
        <f t="shared" si="8"/>
        <v>0</v>
      </c>
      <c r="AD42" s="143">
        <f t="shared" si="9"/>
        <v>0</v>
      </c>
      <c r="AE42" s="143">
        <f t="shared" si="10"/>
        <v>0</v>
      </c>
      <c r="AF42" s="143">
        <f t="shared" si="11"/>
        <v>0</v>
      </c>
      <c r="AG42" s="143">
        <f t="shared" si="12"/>
        <v>0</v>
      </c>
      <c r="AH42" s="148">
        <f t="shared" si="13"/>
        <v>0</v>
      </c>
      <c r="AI42" s="212">
        <f t="shared" si="14"/>
        <v>0</v>
      </c>
      <c r="AK42" s="143">
        <f t="shared" si="15"/>
        <v>0</v>
      </c>
    </row>
    <row r="43" spans="1:37" x14ac:dyDescent="0.25">
      <c r="A43" s="121">
        <f t="shared" si="0"/>
        <v>37</v>
      </c>
      <c r="B43" s="160"/>
      <c r="C43" s="160" t="s">
        <v>84</v>
      </c>
      <c r="D43" s="160" t="s">
        <v>116</v>
      </c>
      <c r="E43" s="160" t="s">
        <v>114</v>
      </c>
      <c r="F43" s="149">
        <v>0</v>
      </c>
      <c r="G43" s="127"/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162">
        <v>0</v>
      </c>
      <c r="U43" s="127"/>
      <c r="V43" s="142">
        <f t="shared" si="1"/>
        <v>0</v>
      </c>
      <c r="W43" s="142">
        <f t="shared" si="2"/>
        <v>0</v>
      </c>
      <c r="X43" s="142">
        <f t="shared" si="3"/>
        <v>0</v>
      </c>
      <c r="Y43" s="142">
        <f t="shared" si="4"/>
        <v>0</v>
      </c>
      <c r="Z43" s="142">
        <f t="shared" si="5"/>
        <v>0</v>
      </c>
      <c r="AA43" s="142">
        <f t="shared" si="6"/>
        <v>0</v>
      </c>
      <c r="AB43" s="142">
        <f t="shared" si="7"/>
        <v>0</v>
      </c>
      <c r="AC43" s="142">
        <f t="shared" si="8"/>
        <v>0</v>
      </c>
      <c r="AD43" s="142">
        <f t="shared" si="9"/>
        <v>0</v>
      </c>
      <c r="AE43" s="142">
        <f t="shared" si="10"/>
        <v>0</v>
      </c>
      <c r="AF43" s="142">
        <f t="shared" si="11"/>
        <v>0</v>
      </c>
      <c r="AG43" s="142">
        <f t="shared" si="12"/>
        <v>0</v>
      </c>
      <c r="AH43" s="147">
        <f t="shared" si="13"/>
        <v>0</v>
      </c>
      <c r="AI43" s="211">
        <f t="shared" si="14"/>
        <v>0</v>
      </c>
      <c r="AK43" s="142">
        <f t="shared" si="15"/>
        <v>0</v>
      </c>
    </row>
    <row r="44" spans="1:37" x14ac:dyDescent="0.25">
      <c r="A44" s="121">
        <f t="shared" si="0"/>
        <v>38</v>
      </c>
      <c r="B44" s="159" t="s">
        <v>117</v>
      </c>
      <c r="C44" s="159" t="s">
        <v>84</v>
      </c>
      <c r="D44" s="159" t="s">
        <v>118</v>
      </c>
      <c r="E44" s="159" t="s">
        <v>97</v>
      </c>
      <c r="F44" s="150">
        <v>0</v>
      </c>
      <c r="G44" s="129"/>
      <c r="H44" s="163">
        <v>40000</v>
      </c>
      <c r="I44" s="163">
        <v>40000</v>
      </c>
      <c r="J44" s="163">
        <v>40000</v>
      </c>
      <c r="K44" s="163">
        <v>40000</v>
      </c>
      <c r="L44" s="163">
        <v>40000</v>
      </c>
      <c r="M44" s="163">
        <v>40000</v>
      </c>
      <c r="N44" s="163">
        <v>40000</v>
      </c>
      <c r="O44" s="163">
        <v>40000</v>
      </c>
      <c r="P44" s="163">
        <v>40000</v>
      </c>
      <c r="Q44" s="163">
        <v>40000</v>
      </c>
      <c r="R44" s="163">
        <v>40000</v>
      </c>
      <c r="S44" s="163">
        <v>40000</v>
      </c>
      <c r="T44" s="164">
        <v>0</v>
      </c>
      <c r="U44" s="129"/>
      <c r="V44" s="143">
        <f t="shared" si="1"/>
        <v>0</v>
      </c>
      <c r="W44" s="143">
        <f t="shared" si="2"/>
        <v>0</v>
      </c>
      <c r="X44" s="143">
        <f t="shared" si="3"/>
        <v>0</v>
      </c>
      <c r="Y44" s="143">
        <f t="shared" si="4"/>
        <v>0</v>
      </c>
      <c r="Z44" s="143">
        <f t="shared" si="5"/>
        <v>0</v>
      </c>
      <c r="AA44" s="143">
        <f t="shared" si="6"/>
        <v>0</v>
      </c>
      <c r="AB44" s="143">
        <f t="shared" si="7"/>
        <v>0</v>
      </c>
      <c r="AC44" s="143">
        <f t="shared" si="8"/>
        <v>0</v>
      </c>
      <c r="AD44" s="143">
        <f t="shared" si="9"/>
        <v>0</v>
      </c>
      <c r="AE44" s="143">
        <f t="shared" si="10"/>
        <v>0</v>
      </c>
      <c r="AF44" s="143">
        <f t="shared" si="11"/>
        <v>0</v>
      </c>
      <c r="AG44" s="143">
        <f t="shared" si="12"/>
        <v>0</v>
      </c>
      <c r="AH44" s="148">
        <f t="shared" si="13"/>
        <v>0</v>
      </c>
      <c r="AI44" s="212">
        <f t="shared" si="14"/>
        <v>0</v>
      </c>
      <c r="AK44" s="143">
        <f t="shared" si="15"/>
        <v>0</v>
      </c>
    </row>
    <row r="45" spans="1:37" x14ac:dyDescent="0.25">
      <c r="A45" s="121">
        <f t="shared" si="0"/>
        <v>39</v>
      </c>
      <c r="B45" s="159" t="s">
        <v>118</v>
      </c>
      <c r="C45" s="159" t="s">
        <v>84</v>
      </c>
      <c r="D45" s="159" t="s">
        <v>118</v>
      </c>
      <c r="E45" s="159" t="s">
        <v>98</v>
      </c>
      <c r="F45" s="150">
        <v>0</v>
      </c>
      <c r="G45" s="129"/>
      <c r="H45" s="163">
        <v>55401</v>
      </c>
      <c r="I45" s="163">
        <v>77605</v>
      </c>
      <c r="J45" s="163">
        <v>80000</v>
      </c>
      <c r="K45" s="163">
        <v>72121</v>
      </c>
      <c r="L45" s="163">
        <v>66886</v>
      </c>
      <c r="M45" s="163">
        <v>60527</v>
      </c>
      <c r="N45" s="163">
        <v>56774</v>
      </c>
      <c r="O45" s="163">
        <v>54303</v>
      </c>
      <c r="P45" s="163">
        <v>54693</v>
      </c>
      <c r="Q45" s="163">
        <v>52172</v>
      </c>
      <c r="R45" s="163">
        <v>53626</v>
      </c>
      <c r="S45" s="163">
        <v>66739</v>
      </c>
      <c r="T45" s="164">
        <v>0</v>
      </c>
      <c r="U45" s="129"/>
      <c r="V45" s="143">
        <f t="shared" si="1"/>
        <v>0</v>
      </c>
      <c r="W45" s="143">
        <f t="shared" si="2"/>
        <v>0</v>
      </c>
      <c r="X45" s="143">
        <f t="shared" si="3"/>
        <v>0</v>
      </c>
      <c r="Y45" s="143">
        <f t="shared" si="4"/>
        <v>0</v>
      </c>
      <c r="Z45" s="143">
        <f t="shared" si="5"/>
        <v>0</v>
      </c>
      <c r="AA45" s="143">
        <f t="shared" si="6"/>
        <v>0</v>
      </c>
      <c r="AB45" s="143">
        <f t="shared" si="7"/>
        <v>0</v>
      </c>
      <c r="AC45" s="143">
        <f t="shared" si="8"/>
        <v>0</v>
      </c>
      <c r="AD45" s="143">
        <f t="shared" si="9"/>
        <v>0</v>
      </c>
      <c r="AE45" s="143">
        <f t="shared" si="10"/>
        <v>0</v>
      </c>
      <c r="AF45" s="143">
        <f t="shared" si="11"/>
        <v>0</v>
      </c>
      <c r="AG45" s="143">
        <f t="shared" si="12"/>
        <v>0</v>
      </c>
      <c r="AH45" s="148">
        <f t="shared" si="13"/>
        <v>0</v>
      </c>
      <c r="AI45" s="212">
        <f t="shared" si="14"/>
        <v>0</v>
      </c>
      <c r="AK45" s="143">
        <f t="shared" si="15"/>
        <v>0</v>
      </c>
    </row>
    <row r="46" spans="1:37" x14ac:dyDescent="0.25">
      <c r="A46" s="121">
        <f t="shared" si="0"/>
        <v>40</v>
      </c>
      <c r="B46" s="159"/>
      <c r="C46" s="159" t="s">
        <v>84</v>
      </c>
      <c r="D46" s="159" t="s">
        <v>118</v>
      </c>
      <c r="E46" s="159" t="s">
        <v>111</v>
      </c>
      <c r="F46" s="150">
        <v>0</v>
      </c>
      <c r="G46" s="129"/>
      <c r="H46" s="163">
        <v>26721</v>
      </c>
      <c r="I46" s="163">
        <v>21746</v>
      </c>
      <c r="J46" s="163">
        <v>31724</v>
      </c>
      <c r="K46" s="163">
        <v>24928</v>
      </c>
      <c r="L46" s="163">
        <v>23288</v>
      </c>
      <c r="M46" s="163">
        <v>26797</v>
      </c>
      <c r="N46" s="163">
        <v>38055</v>
      </c>
      <c r="O46" s="163">
        <v>35578</v>
      </c>
      <c r="P46" s="163">
        <v>29767</v>
      </c>
      <c r="Q46" s="163">
        <v>34103</v>
      </c>
      <c r="R46" s="163">
        <v>29634</v>
      </c>
      <c r="S46" s="163">
        <v>37546</v>
      </c>
      <c r="T46" s="164">
        <v>0</v>
      </c>
      <c r="U46" s="129"/>
      <c r="V46" s="143">
        <f t="shared" si="1"/>
        <v>0</v>
      </c>
      <c r="W46" s="143">
        <f t="shared" si="2"/>
        <v>0</v>
      </c>
      <c r="X46" s="143">
        <f t="shared" si="3"/>
        <v>0</v>
      </c>
      <c r="Y46" s="143">
        <f t="shared" si="4"/>
        <v>0</v>
      </c>
      <c r="Z46" s="143">
        <f t="shared" si="5"/>
        <v>0</v>
      </c>
      <c r="AA46" s="143">
        <f t="shared" si="6"/>
        <v>0</v>
      </c>
      <c r="AB46" s="143">
        <f t="shared" si="7"/>
        <v>0</v>
      </c>
      <c r="AC46" s="143">
        <f t="shared" si="8"/>
        <v>0</v>
      </c>
      <c r="AD46" s="143">
        <f t="shared" si="9"/>
        <v>0</v>
      </c>
      <c r="AE46" s="143">
        <f t="shared" si="10"/>
        <v>0</v>
      </c>
      <c r="AF46" s="143">
        <f t="shared" si="11"/>
        <v>0</v>
      </c>
      <c r="AG46" s="143">
        <f t="shared" si="12"/>
        <v>0</v>
      </c>
      <c r="AH46" s="148">
        <f t="shared" si="13"/>
        <v>0</v>
      </c>
      <c r="AI46" s="212">
        <f t="shared" si="14"/>
        <v>0</v>
      </c>
      <c r="AK46" s="143">
        <f t="shared" si="15"/>
        <v>0</v>
      </c>
    </row>
    <row r="47" spans="1:37" x14ac:dyDescent="0.25">
      <c r="A47" s="121">
        <f t="shared" si="0"/>
        <v>41</v>
      </c>
      <c r="B47" s="159"/>
      <c r="C47" s="159" t="s">
        <v>84</v>
      </c>
      <c r="D47" s="159" t="s">
        <v>118</v>
      </c>
      <c r="E47" s="159" t="s">
        <v>112</v>
      </c>
      <c r="F47" s="150">
        <v>0</v>
      </c>
      <c r="G47" s="129"/>
      <c r="H47" s="163">
        <v>21079</v>
      </c>
      <c r="I47" s="163">
        <v>45535</v>
      </c>
      <c r="J47" s="163">
        <v>52891</v>
      </c>
      <c r="K47" s="163">
        <v>30268</v>
      </c>
      <c r="L47" s="163">
        <v>31063</v>
      </c>
      <c r="M47" s="163">
        <v>25182</v>
      </c>
      <c r="N47" s="163">
        <v>18276</v>
      </c>
      <c r="O47" s="163">
        <v>9573</v>
      </c>
      <c r="P47" s="163">
        <v>22551</v>
      </c>
      <c r="Q47" s="163">
        <v>25222</v>
      </c>
      <c r="R47" s="163">
        <v>25921</v>
      </c>
      <c r="S47" s="163">
        <v>25390</v>
      </c>
      <c r="T47" s="164">
        <v>0</v>
      </c>
      <c r="U47" s="129"/>
      <c r="V47" s="143">
        <f t="shared" si="1"/>
        <v>0</v>
      </c>
      <c r="W47" s="143">
        <f t="shared" si="2"/>
        <v>0</v>
      </c>
      <c r="X47" s="143">
        <f t="shared" si="3"/>
        <v>0</v>
      </c>
      <c r="Y47" s="143">
        <f t="shared" si="4"/>
        <v>0</v>
      </c>
      <c r="Z47" s="143">
        <f t="shared" si="5"/>
        <v>0</v>
      </c>
      <c r="AA47" s="143">
        <f t="shared" si="6"/>
        <v>0</v>
      </c>
      <c r="AB47" s="143">
        <f t="shared" si="7"/>
        <v>0</v>
      </c>
      <c r="AC47" s="143">
        <f t="shared" si="8"/>
        <v>0</v>
      </c>
      <c r="AD47" s="143">
        <f t="shared" si="9"/>
        <v>0</v>
      </c>
      <c r="AE47" s="143">
        <f t="shared" si="10"/>
        <v>0</v>
      </c>
      <c r="AF47" s="143">
        <f t="shared" si="11"/>
        <v>0</v>
      </c>
      <c r="AG47" s="143">
        <f t="shared" si="12"/>
        <v>0</v>
      </c>
      <c r="AH47" s="148">
        <f t="shared" si="13"/>
        <v>0</v>
      </c>
      <c r="AI47" s="212">
        <f t="shared" si="14"/>
        <v>0</v>
      </c>
      <c r="AK47" s="143">
        <f t="shared" si="15"/>
        <v>0</v>
      </c>
    </row>
    <row r="48" spans="1:37" x14ac:dyDescent="0.25">
      <c r="A48" s="121">
        <f t="shared" si="0"/>
        <v>42</v>
      </c>
      <c r="B48" s="159"/>
      <c r="C48" s="159" t="s">
        <v>84</v>
      </c>
      <c r="D48" s="159" t="s">
        <v>118</v>
      </c>
      <c r="E48" s="159" t="s">
        <v>113</v>
      </c>
      <c r="F48" s="150">
        <v>0</v>
      </c>
      <c r="G48" s="129"/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163">
        <v>0</v>
      </c>
      <c r="T48" s="164">
        <v>0</v>
      </c>
      <c r="U48" s="129"/>
      <c r="V48" s="143">
        <f t="shared" si="1"/>
        <v>0</v>
      </c>
      <c r="W48" s="143">
        <f t="shared" si="2"/>
        <v>0</v>
      </c>
      <c r="X48" s="143">
        <f t="shared" si="3"/>
        <v>0</v>
      </c>
      <c r="Y48" s="143">
        <f t="shared" si="4"/>
        <v>0</v>
      </c>
      <c r="Z48" s="143">
        <f t="shared" si="5"/>
        <v>0</v>
      </c>
      <c r="AA48" s="143">
        <f t="shared" si="6"/>
        <v>0</v>
      </c>
      <c r="AB48" s="143">
        <f t="shared" si="7"/>
        <v>0</v>
      </c>
      <c r="AC48" s="143">
        <f t="shared" si="8"/>
        <v>0</v>
      </c>
      <c r="AD48" s="143">
        <f t="shared" si="9"/>
        <v>0</v>
      </c>
      <c r="AE48" s="143">
        <f t="shared" si="10"/>
        <v>0</v>
      </c>
      <c r="AF48" s="143">
        <f t="shared" si="11"/>
        <v>0</v>
      </c>
      <c r="AG48" s="143">
        <f t="shared" si="12"/>
        <v>0</v>
      </c>
      <c r="AH48" s="148">
        <f t="shared" si="13"/>
        <v>0</v>
      </c>
      <c r="AI48" s="212">
        <f t="shared" si="14"/>
        <v>0</v>
      </c>
      <c r="AK48" s="143">
        <f t="shared" si="15"/>
        <v>0</v>
      </c>
    </row>
    <row r="49" spans="1:37" x14ac:dyDescent="0.25">
      <c r="A49" s="121">
        <f t="shared" si="0"/>
        <v>43</v>
      </c>
      <c r="B49" s="160"/>
      <c r="C49" s="160" t="s">
        <v>84</v>
      </c>
      <c r="D49" s="160" t="s">
        <v>118</v>
      </c>
      <c r="E49" s="160" t="s">
        <v>114</v>
      </c>
      <c r="F49" s="149">
        <v>0</v>
      </c>
      <c r="G49" s="127"/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2">
        <v>0</v>
      </c>
      <c r="U49" s="127"/>
      <c r="V49" s="142">
        <f t="shared" si="1"/>
        <v>0</v>
      </c>
      <c r="W49" s="142">
        <f t="shared" si="2"/>
        <v>0</v>
      </c>
      <c r="X49" s="142">
        <f t="shared" si="3"/>
        <v>0</v>
      </c>
      <c r="Y49" s="142">
        <f t="shared" si="4"/>
        <v>0</v>
      </c>
      <c r="Z49" s="142">
        <f t="shared" si="5"/>
        <v>0</v>
      </c>
      <c r="AA49" s="142">
        <f t="shared" si="6"/>
        <v>0</v>
      </c>
      <c r="AB49" s="142">
        <f t="shared" si="7"/>
        <v>0</v>
      </c>
      <c r="AC49" s="142">
        <f t="shared" si="8"/>
        <v>0</v>
      </c>
      <c r="AD49" s="142">
        <f t="shared" si="9"/>
        <v>0</v>
      </c>
      <c r="AE49" s="142">
        <f t="shared" si="10"/>
        <v>0</v>
      </c>
      <c r="AF49" s="142">
        <f t="shared" si="11"/>
        <v>0</v>
      </c>
      <c r="AG49" s="142">
        <f t="shared" si="12"/>
        <v>0</v>
      </c>
      <c r="AH49" s="147">
        <f t="shared" si="13"/>
        <v>0</v>
      </c>
      <c r="AI49" s="211">
        <f t="shared" si="14"/>
        <v>0</v>
      </c>
      <c r="AK49" s="142">
        <f t="shared" si="15"/>
        <v>0</v>
      </c>
    </row>
    <row r="50" spans="1:37" x14ac:dyDescent="0.25">
      <c r="A50" s="121">
        <f t="shared" si="0"/>
        <v>44</v>
      </c>
      <c r="B50" s="159" t="s">
        <v>119</v>
      </c>
      <c r="C50" s="159" t="s">
        <v>84</v>
      </c>
      <c r="D50" s="159" t="s">
        <v>120</v>
      </c>
      <c r="E50" s="159" t="s">
        <v>97</v>
      </c>
      <c r="F50" s="150">
        <v>0</v>
      </c>
      <c r="G50" s="129"/>
      <c r="H50" s="163">
        <v>71233</v>
      </c>
      <c r="I50" s="163">
        <v>74534</v>
      </c>
      <c r="J50" s="163">
        <v>74597</v>
      </c>
      <c r="K50" s="163">
        <v>73730</v>
      </c>
      <c r="L50" s="163">
        <v>72194</v>
      </c>
      <c r="M50" s="163">
        <v>71286</v>
      </c>
      <c r="N50" s="163">
        <v>68756</v>
      </c>
      <c r="O50" s="163">
        <v>64314</v>
      </c>
      <c r="P50" s="163">
        <v>63393</v>
      </c>
      <c r="Q50" s="163">
        <v>64676</v>
      </c>
      <c r="R50" s="163">
        <v>64757</v>
      </c>
      <c r="S50" s="163">
        <v>71082</v>
      </c>
      <c r="T50" s="164">
        <v>0</v>
      </c>
      <c r="U50" s="129"/>
      <c r="V50" s="143">
        <f t="shared" si="1"/>
        <v>0</v>
      </c>
      <c r="W50" s="143">
        <f t="shared" si="2"/>
        <v>0</v>
      </c>
      <c r="X50" s="143">
        <f t="shared" si="3"/>
        <v>0</v>
      </c>
      <c r="Y50" s="143">
        <f t="shared" si="4"/>
        <v>0</v>
      </c>
      <c r="Z50" s="143">
        <f t="shared" si="5"/>
        <v>0</v>
      </c>
      <c r="AA50" s="143">
        <f t="shared" si="6"/>
        <v>0</v>
      </c>
      <c r="AB50" s="143">
        <f t="shared" si="7"/>
        <v>0</v>
      </c>
      <c r="AC50" s="143">
        <f t="shared" si="8"/>
        <v>0</v>
      </c>
      <c r="AD50" s="143">
        <f t="shared" si="9"/>
        <v>0</v>
      </c>
      <c r="AE50" s="143">
        <f t="shared" si="10"/>
        <v>0</v>
      </c>
      <c r="AF50" s="143">
        <f t="shared" si="11"/>
        <v>0</v>
      </c>
      <c r="AG50" s="143">
        <f t="shared" si="12"/>
        <v>0</v>
      </c>
      <c r="AH50" s="148">
        <f t="shared" si="13"/>
        <v>0</v>
      </c>
      <c r="AI50" s="212">
        <f t="shared" si="14"/>
        <v>0</v>
      </c>
      <c r="AK50" s="143">
        <f t="shared" si="15"/>
        <v>0</v>
      </c>
    </row>
    <row r="51" spans="1:37" x14ac:dyDescent="0.25">
      <c r="A51" s="121">
        <f t="shared" si="0"/>
        <v>45</v>
      </c>
      <c r="B51" s="159" t="s">
        <v>120</v>
      </c>
      <c r="C51" s="159" t="s">
        <v>84</v>
      </c>
      <c r="D51" s="159" t="s">
        <v>120</v>
      </c>
      <c r="E51" s="159" t="s">
        <v>98</v>
      </c>
      <c r="F51" s="150">
        <v>0</v>
      </c>
      <c r="G51" s="129"/>
      <c r="H51" s="163">
        <v>67332</v>
      </c>
      <c r="I51" s="163">
        <v>79640</v>
      </c>
      <c r="J51" s="163">
        <v>87688</v>
      </c>
      <c r="K51" s="163">
        <v>70622</v>
      </c>
      <c r="L51" s="163">
        <v>76254</v>
      </c>
      <c r="M51" s="163">
        <v>71205</v>
      </c>
      <c r="N51" s="163">
        <v>70358</v>
      </c>
      <c r="O51" s="163">
        <v>67918</v>
      </c>
      <c r="P51" s="163">
        <v>66066</v>
      </c>
      <c r="Q51" s="163">
        <v>65092</v>
      </c>
      <c r="R51" s="163">
        <v>66210</v>
      </c>
      <c r="S51" s="163">
        <v>71812</v>
      </c>
      <c r="T51" s="164">
        <v>-1922</v>
      </c>
      <c r="U51" s="129"/>
      <c r="V51" s="143">
        <f t="shared" si="1"/>
        <v>0</v>
      </c>
      <c r="W51" s="143">
        <f t="shared" si="2"/>
        <v>0</v>
      </c>
      <c r="X51" s="143">
        <f t="shared" si="3"/>
        <v>0</v>
      </c>
      <c r="Y51" s="143">
        <f t="shared" si="4"/>
        <v>0</v>
      </c>
      <c r="Z51" s="143">
        <f t="shared" si="5"/>
        <v>0</v>
      </c>
      <c r="AA51" s="143">
        <f t="shared" si="6"/>
        <v>0</v>
      </c>
      <c r="AB51" s="143">
        <f t="shared" si="7"/>
        <v>0</v>
      </c>
      <c r="AC51" s="143">
        <f t="shared" si="8"/>
        <v>0</v>
      </c>
      <c r="AD51" s="143">
        <f t="shared" si="9"/>
        <v>0</v>
      </c>
      <c r="AE51" s="143">
        <f t="shared" si="10"/>
        <v>0</v>
      </c>
      <c r="AF51" s="143">
        <f t="shared" si="11"/>
        <v>0</v>
      </c>
      <c r="AG51" s="143">
        <f t="shared" si="12"/>
        <v>0</v>
      </c>
      <c r="AH51" s="148">
        <f t="shared" si="13"/>
        <v>0</v>
      </c>
      <c r="AI51" s="212">
        <f t="shared" si="14"/>
        <v>0</v>
      </c>
      <c r="AK51" s="143">
        <f t="shared" si="15"/>
        <v>0</v>
      </c>
    </row>
    <row r="52" spans="1:37" x14ac:dyDescent="0.25">
      <c r="A52" s="121">
        <f t="shared" si="0"/>
        <v>46</v>
      </c>
      <c r="B52" s="159"/>
      <c r="C52" s="159" t="s">
        <v>84</v>
      </c>
      <c r="D52" s="159" t="s">
        <v>120</v>
      </c>
      <c r="E52" s="159" t="s">
        <v>111</v>
      </c>
      <c r="F52" s="150">
        <v>0</v>
      </c>
      <c r="G52" s="129"/>
      <c r="H52" s="163">
        <v>60000</v>
      </c>
      <c r="I52" s="163">
        <v>60000</v>
      </c>
      <c r="J52" s="163">
        <v>60000</v>
      </c>
      <c r="K52" s="163">
        <v>60000</v>
      </c>
      <c r="L52" s="163">
        <v>60000</v>
      </c>
      <c r="M52" s="163">
        <v>60000</v>
      </c>
      <c r="N52" s="163">
        <v>60000</v>
      </c>
      <c r="O52" s="163">
        <v>58216</v>
      </c>
      <c r="P52" s="163">
        <v>58398</v>
      </c>
      <c r="Q52" s="163">
        <v>60000</v>
      </c>
      <c r="R52" s="163">
        <v>60000</v>
      </c>
      <c r="S52" s="163">
        <v>60000</v>
      </c>
      <c r="T52" s="164">
        <v>0</v>
      </c>
      <c r="U52" s="129"/>
      <c r="V52" s="143">
        <f t="shared" si="1"/>
        <v>0</v>
      </c>
      <c r="W52" s="143">
        <f t="shared" si="2"/>
        <v>0</v>
      </c>
      <c r="X52" s="143">
        <f t="shared" si="3"/>
        <v>0</v>
      </c>
      <c r="Y52" s="143">
        <f t="shared" si="4"/>
        <v>0</v>
      </c>
      <c r="Z52" s="143">
        <f t="shared" si="5"/>
        <v>0</v>
      </c>
      <c r="AA52" s="143">
        <f t="shared" si="6"/>
        <v>0</v>
      </c>
      <c r="AB52" s="143">
        <f t="shared" si="7"/>
        <v>0</v>
      </c>
      <c r="AC52" s="143">
        <f t="shared" si="8"/>
        <v>0</v>
      </c>
      <c r="AD52" s="143">
        <f t="shared" si="9"/>
        <v>0</v>
      </c>
      <c r="AE52" s="143">
        <f t="shared" si="10"/>
        <v>0</v>
      </c>
      <c r="AF52" s="143">
        <f t="shared" si="11"/>
        <v>0</v>
      </c>
      <c r="AG52" s="143">
        <f t="shared" si="12"/>
        <v>0</v>
      </c>
      <c r="AH52" s="148">
        <f t="shared" si="13"/>
        <v>0</v>
      </c>
      <c r="AI52" s="212">
        <f t="shared" si="14"/>
        <v>0</v>
      </c>
      <c r="AK52" s="143">
        <f t="shared" si="15"/>
        <v>0</v>
      </c>
    </row>
    <row r="53" spans="1:37" x14ac:dyDescent="0.25">
      <c r="A53" s="121">
        <f t="shared" si="0"/>
        <v>47</v>
      </c>
      <c r="B53" s="159"/>
      <c r="C53" s="159" t="s">
        <v>84</v>
      </c>
      <c r="D53" s="159" t="s">
        <v>120</v>
      </c>
      <c r="E53" s="159" t="s">
        <v>112</v>
      </c>
      <c r="F53" s="150">
        <v>0</v>
      </c>
      <c r="G53" s="129"/>
      <c r="H53" s="163">
        <v>94472</v>
      </c>
      <c r="I53" s="163">
        <v>118334</v>
      </c>
      <c r="J53" s="163">
        <v>131408</v>
      </c>
      <c r="K53" s="163">
        <v>112310</v>
      </c>
      <c r="L53" s="163">
        <v>124439</v>
      </c>
      <c r="M53" s="163">
        <v>119241</v>
      </c>
      <c r="N53" s="163">
        <v>93095</v>
      </c>
      <c r="O53" s="163">
        <v>56714</v>
      </c>
      <c r="P53" s="163">
        <v>47606</v>
      </c>
      <c r="Q53" s="163">
        <v>45289</v>
      </c>
      <c r="R53" s="163">
        <v>51238</v>
      </c>
      <c r="S53" s="163">
        <v>120501</v>
      </c>
      <c r="T53" s="164">
        <v>0</v>
      </c>
      <c r="U53" s="129"/>
      <c r="V53" s="143">
        <f t="shared" si="1"/>
        <v>0</v>
      </c>
      <c r="W53" s="143">
        <f t="shared" si="2"/>
        <v>0</v>
      </c>
      <c r="X53" s="143">
        <f t="shared" si="3"/>
        <v>0</v>
      </c>
      <c r="Y53" s="143">
        <f t="shared" si="4"/>
        <v>0</v>
      </c>
      <c r="Z53" s="143">
        <f t="shared" si="5"/>
        <v>0</v>
      </c>
      <c r="AA53" s="143">
        <f t="shared" si="6"/>
        <v>0</v>
      </c>
      <c r="AB53" s="143">
        <f t="shared" si="7"/>
        <v>0</v>
      </c>
      <c r="AC53" s="143">
        <f t="shared" si="8"/>
        <v>0</v>
      </c>
      <c r="AD53" s="143">
        <f t="shared" si="9"/>
        <v>0</v>
      </c>
      <c r="AE53" s="143">
        <f t="shared" si="10"/>
        <v>0</v>
      </c>
      <c r="AF53" s="143">
        <f t="shared" si="11"/>
        <v>0</v>
      </c>
      <c r="AG53" s="143">
        <f t="shared" si="12"/>
        <v>0</v>
      </c>
      <c r="AH53" s="148">
        <f t="shared" si="13"/>
        <v>0</v>
      </c>
      <c r="AI53" s="212">
        <f t="shared" si="14"/>
        <v>0</v>
      </c>
      <c r="AK53" s="143">
        <f t="shared" si="15"/>
        <v>0</v>
      </c>
    </row>
    <row r="54" spans="1:37" x14ac:dyDescent="0.25">
      <c r="A54" s="121">
        <f t="shared" si="0"/>
        <v>48</v>
      </c>
      <c r="B54" s="159"/>
      <c r="C54" s="159" t="s">
        <v>84</v>
      </c>
      <c r="D54" s="159" t="s">
        <v>120</v>
      </c>
      <c r="E54" s="159" t="s">
        <v>113</v>
      </c>
      <c r="F54" s="150">
        <v>0</v>
      </c>
      <c r="G54" s="129"/>
      <c r="H54" s="163">
        <v>0</v>
      </c>
      <c r="I54" s="163">
        <v>99892</v>
      </c>
      <c r="J54" s="163">
        <v>114342</v>
      </c>
      <c r="K54" s="163">
        <v>35933</v>
      </c>
      <c r="L54" s="163">
        <v>34449</v>
      </c>
      <c r="M54" s="163">
        <v>12471</v>
      </c>
      <c r="N54" s="163">
        <v>0</v>
      </c>
      <c r="O54" s="163">
        <v>0</v>
      </c>
      <c r="P54" s="163">
        <v>0</v>
      </c>
      <c r="Q54" s="163">
        <v>0</v>
      </c>
      <c r="R54" s="163">
        <v>0</v>
      </c>
      <c r="S54" s="163">
        <v>0</v>
      </c>
      <c r="T54" s="164">
        <v>0</v>
      </c>
      <c r="U54" s="129"/>
      <c r="V54" s="143">
        <f t="shared" si="1"/>
        <v>0</v>
      </c>
      <c r="W54" s="143">
        <f t="shared" si="2"/>
        <v>0</v>
      </c>
      <c r="X54" s="143">
        <f t="shared" si="3"/>
        <v>0</v>
      </c>
      <c r="Y54" s="143">
        <f t="shared" si="4"/>
        <v>0</v>
      </c>
      <c r="Z54" s="143">
        <f t="shared" si="5"/>
        <v>0</v>
      </c>
      <c r="AA54" s="143">
        <f t="shared" si="6"/>
        <v>0</v>
      </c>
      <c r="AB54" s="143">
        <f t="shared" si="7"/>
        <v>0</v>
      </c>
      <c r="AC54" s="143">
        <f t="shared" si="8"/>
        <v>0</v>
      </c>
      <c r="AD54" s="143">
        <f t="shared" si="9"/>
        <v>0</v>
      </c>
      <c r="AE54" s="143">
        <f t="shared" si="10"/>
        <v>0</v>
      </c>
      <c r="AF54" s="143">
        <f t="shared" si="11"/>
        <v>0</v>
      </c>
      <c r="AG54" s="143">
        <f t="shared" si="12"/>
        <v>0</v>
      </c>
      <c r="AH54" s="148">
        <f t="shared" si="13"/>
        <v>0</v>
      </c>
      <c r="AI54" s="212">
        <f t="shared" si="14"/>
        <v>0</v>
      </c>
      <c r="AK54" s="143">
        <f t="shared" si="15"/>
        <v>0</v>
      </c>
    </row>
    <row r="55" spans="1:37" x14ac:dyDescent="0.25">
      <c r="A55" s="121">
        <f t="shared" si="0"/>
        <v>49</v>
      </c>
      <c r="B55" s="160"/>
      <c r="C55" s="160" t="s">
        <v>84</v>
      </c>
      <c r="D55" s="160" t="s">
        <v>120</v>
      </c>
      <c r="E55" s="160" t="s">
        <v>114</v>
      </c>
      <c r="F55" s="149">
        <v>0</v>
      </c>
      <c r="G55" s="127"/>
      <c r="H55" s="166">
        <v>0</v>
      </c>
      <c r="I55" s="166">
        <v>0</v>
      </c>
      <c r="J55" s="161"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162">
        <v>0</v>
      </c>
      <c r="U55" s="127"/>
      <c r="V55" s="145">
        <f t="shared" si="1"/>
        <v>0</v>
      </c>
      <c r="W55" s="145">
        <f t="shared" si="2"/>
        <v>0</v>
      </c>
      <c r="X55" s="145">
        <f t="shared" si="3"/>
        <v>0</v>
      </c>
      <c r="Y55" s="145">
        <f t="shared" si="4"/>
        <v>0</v>
      </c>
      <c r="Z55" s="145">
        <f t="shared" si="5"/>
        <v>0</v>
      </c>
      <c r="AA55" s="145">
        <f t="shared" si="6"/>
        <v>0</v>
      </c>
      <c r="AB55" s="145">
        <f t="shared" si="7"/>
        <v>0</v>
      </c>
      <c r="AC55" s="145">
        <f t="shared" si="8"/>
        <v>0</v>
      </c>
      <c r="AD55" s="145">
        <f t="shared" si="9"/>
        <v>0</v>
      </c>
      <c r="AE55" s="145">
        <f t="shared" si="10"/>
        <v>0</v>
      </c>
      <c r="AF55" s="145">
        <f t="shared" si="11"/>
        <v>0</v>
      </c>
      <c r="AG55" s="145">
        <f t="shared" si="12"/>
        <v>0</v>
      </c>
      <c r="AH55" s="147">
        <f t="shared" si="13"/>
        <v>0</v>
      </c>
      <c r="AI55" s="214">
        <f t="shared" si="14"/>
        <v>0</v>
      </c>
      <c r="AK55" s="145">
        <f t="shared" si="15"/>
        <v>0</v>
      </c>
    </row>
    <row r="56" spans="1:37" x14ac:dyDescent="0.25">
      <c r="A56" s="121">
        <f t="shared" si="0"/>
        <v>50</v>
      </c>
      <c r="B56" s="159" t="s">
        <v>121</v>
      </c>
      <c r="C56" s="159" t="s">
        <v>84</v>
      </c>
      <c r="D56" s="159" t="s">
        <v>122</v>
      </c>
      <c r="E56" s="159" t="s">
        <v>97</v>
      </c>
      <c r="F56" s="150">
        <v>-7.7400000000000004E-3</v>
      </c>
      <c r="G56" s="129"/>
      <c r="H56" s="163">
        <v>20000</v>
      </c>
      <c r="I56" s="163">
        <v>22811</v>
      </c>
      <c r="J56" s="163">
        <v>17189</v>
      </c>
      <c r="K56" s="163">
        <v>29589</v>
      </c>
      <c r="L56" s="163">
        <v>10411</v>
      </c>
      <c r="M56" s="163">
        <v>20000</v>
      </c>
      <c r="N56" s="163">
        <v>20000</v>
      </c>
      <c r="O56" s="163">
        <v>20000</v>
      </c>
      <c r="P56" s="163">
        <v>20000</v>
      </c>
      <c r="Q56" s="163">
        <v>20000</v>
      </c>
      <c r="R56" s="163">
        <v>20000</v>
      </c>
      <c r="S56" s="163">
        <v>20000</v>
      </c>
      <c r="T56" s="164">
        <v>0</v>
      </c>
      <c r="U56" s="129"/>
      <c r="V56" s="143">
        <f t="shared" si="1"/>
        <v>-154.80000000000001</v>
      </c>
      <c r="W56" s="143">
        <f t="shared" si="2"/>
        <v>-176.56</v>
      </c>
      <c r="X56" s="143">
        <f t="shared" si="3"/>
        <v>-133.04</v>
      </c>
      <c r="Y56" s="143">
        <f t="shared" si="4"/>
        <v>-229.02</v>
      </c>
      <c r="Z56" s="143">
        <f t="shared" si="5"/>
        <v>-80.58</v>
      </c>
      <c r="AA56" s="143">
        <f t="shared" si="6"/>
        <v>-154.80000000000001</v>
      </c>
      <c r="AB56" s="143">
        <f t="shared" si="7"/>
        <v>-154.80000000000001</v>
      </c>
      <c r="AC56" s="143">
        <f t="shared" si="8"/>
        <v>-154.80000000000001</v>
      </c>
      <c r="AD56" s="143">
        <f t="shared" si="9"/>
        <v>-154.80000000000001</v>
      </c>
      <c r="AE56" s="143">
        <f t="shared" si="10"/>
        <v>-154.80000000000001</v>
      </c>
      <c r="AF56" s="143">
        <f t="shared" si="11"/>
        <v>-154.80000000000001</v>
      </c>
      <c r="AG56" s="143">
        <f t="shared" si="12"/>
        <v>-154.80000000000001</v>
      </c>
      <c r="AH56" s="148">
        <f t="shared" si="13"/>
        <v>0</v>
      </c>
      <c r="AI56" s="212">
        <f t="shared" si="14"/>
        <v>-1857.5999999999997</v>
      </c>
      <c r="AK56" s="143">
        <f t="shared" si="15"/>
        <v>-1942.5272932613875</v>
      </c>
    </row>
    <row r="57" spans="1:37" x14ac:dyDescent="0.25">
      <c r="A57" s="121">
        <f t="shared" si="0"/>
        <v>51</v>
      </c>
      <c r="B57" s="159" t="s">
        <v>122</v>
      </c>
      <c r="C57" s="159" t="s">
        <v>84</v>
      </c>
      <c r="D57" s="159" t="s">
        <v>122</v>
      </c>
      <c r="E57" s="159" t="s">
        <v>98</v>
      </c>
      <c r="F57" s="150">
        <v>-6.9199999999999999E-3</v>
      </c>
      <c r="G57" s="129"/>
      <c r="H57" s="163">
        <v>40000</v>
      </c>
      <c r="I57" s="163">
        <v>40000</v>
      </c>
      <c r="J57" s="163">
        <v>40000</v>
      </c>
      <c r="K57" s="163">
        <v>40000</v>
      </c>
      <c r="L57" s="163">
        <v>40000</v>
      </c>
      <c r="M57" s="163">
        <v>40000</v>
      </c>
      <c r="N57" s="163">
        <v>40000</v>
      </c>
      <c r="O57" s="163">
        <v>39707</v>
      </c>
      <c r="P57" s="163">
        <v>38107</v>
      </c>
      <c r="Q57" s="163">
        <v>34901</v>
      </c>
      <c r="R57" s="163">
        <v>34839</v>
      </c>
      <c r="S57" s="163">
        <v>40000</v>
      </c>
      <c r="T57" s="164">
        <v>0</v>
      </c>
      <c r="U57" s="129"/>
      <c r="V57" s="143">
        <f t="shared" si="1"/>
        <v>-276.8</v>
      </c>
      <c r="W57" s="143">
        <f t="shared" si="2"/>
        <v>-276.8</v>
      </c>
      <c r="X57" s="143">
        <f t="shared" si="3"/>
        <v>-276.8</v>
      </c>
      <c r="Y57" s="143">
        <f t="shared" si="4"/>
        <v>-276.8</v>
      </c>
      <c r="Z57" s="143">
        <f t="shared" si="5"/>
        <v>-276.8</v>
      </c>
      <c r="AA57" s="143">
        <f t="shared" si="6"/>
        <v>-276.8</v>
      </c>
      <c r="AB57" s="143">
        <f t="shared" si="7"/>
        <v>-276.8</v>
      </c>
      <c r="AC57" s="143">
        <f t="shared" si="8"/>
        <v>-274.77</v>
      </c>
      <c r="AD57" s="143">
        <f t="shared" si="9"/>
        <v>-263.7</v>
      </c>
      <c r="AE57" s="143">
        <f t="shared" si="10"/>
        <v>-241.51</v>
      </c>
      <c r="AF57" s="143">
        <f t="shared" si="11"/>
        <v>-241.09</v>
      </c>
      <c r="AG57" s="143">
        <f t="shared" si="12"/>
        <v>-276.8</v>
      </c>
      <c r="AH57" s="148">
        <f t="shared" si="13"/>
        <v>0</v>
      </c>
      <c r="AI57" s="212">
        <f t="shared" si="14"/>
        <v>-3235.4700000000003</v>
      </c>
      <c r="AK57" s="143">
        <f t="shared" si="15"/>
        <v>-3383.3918935876522</v>
      </c>
    </row>
    <row r="58" spans="1:37" x14ac:dyDescent="0.25">
      <c r="A58" s="121">
        <f t="shared" si="0"/>
        <v>52</v>
      </c>
      <c r="B58" s="159"/>
      <c r="C58" s="159" t="s">
        <v>84</v>
      </c>
      <c r="D58" s="159" t="s">
        <v>122</v>
      </c>
      <c r="E58" s="159" t="s">
        <v>111</v>
      </c>
      <c r="F58" s="150">
        <v>-5.3099999999999996E-3</v>
      </c>
      <c r="G58" s="129"/>
      <c r="H58" s="163">
        <v>24765</v>
      </c>
      <c r="I58" s="163">
        <v>32266</v>
      </c>
      <c r="J58" s="163">
        <v>36625</v>
      </c>
      <c r="K58" s="163">
        <v>27102</v>
      </c>
      <c r="L58" s="163">
        <v>27594</v>
      </c>
      <c r="M58" s="163">
        <v>23794</v>
      </c>
      <c r="N58" s="163">
        <v>12900</v>
      </c>
      <c r="O58" s="163">
        <v>7614</v>
      </c>
      <c r="P58" s="163">
        <v>6630</v>
      </c>
      <c r="Q58" s="163">
        <v>4190</v>
      </c>
      <c r="R58" s="163">
        <v>8924</v>
      </c>
      <c r="S58" s="163">
        <v>21339</v>
      </c>
      <c r="T58" s="164">
        <v>0</v>
      </c>
      <c r="U58" s="129"/>
      <c r="V58" s="143">
        <f t="shared" si="1"/>
        <v>-131.5</v>
      </c>
      <c r="W58" s="143">
        <f t="shared" si="2"/>
        <v>-171.33</v>
      </c>
      <c r="X58" s="143">
        <f t="shared" si="3"/>
        <v>-194.48</v>
      </c>
      <c r="Y58" s="143">
        <f t="shared" si="4"/>
        <v>-143.91</v>
      </c>
      <c r="Z58" s="143">
        <f t="shared" si="5"/>
        <v>-146.52000000000001</v>
      </c>
      <c r="AA58" s="143">
        <f t="shared" si="6"/>
        <v>-126.35</v>
      </c>
      <c r="AB58" s="143">
        <f t="shared" si="7"/>
        <v>-68.5</v>
      </c>
      <c r="AC58" s="143">
        <f t="shared" si="8"/>
        <v>-40.43</v>
      </c>
      <c r="AD58" s="143">
        <f t="shared" si="9"/>
        <v>-35.21</v>
      </c>
      <c r="AE58" s="143">
        <f t="shared" si="10"/>
        <v>-22.25</v>
      </c>
      <c r="AF58" s="143">
        <f t="shared" si="11"/>
        <v>-47.39</v>
      </c>
      <c r="AG58" s="143">
        <f t="shared" si="12"/>
        <v>-113.31</v>
      </c>
      <c r="AH58" s="148">
        <f t="shared" si="13"/>
        <v>0</v>
      </c>
      <c r="AI58" s="212">
        <f t="shared" si="14"/>
        <v>-1241.18</v>
      </c>
      <c r="AK58" s="143">
        <f t="shared" si="15"/>
        <v>-1297.9252938469904</v>
      </c>
    </row>
    <row r="59" spans="1:37" x14ac:dyDescent="0.25">
      <c r="A59" s="121">
        <f t="shared" si="0"/>
        <v>53</v>
      </c>
      <c r="B59" s="159"/>
      <c r="C59" s="159" t="s">
        <v>84</v>
      </c>
      <c r="D59" s="159" t="s">
        <v>122</v>
      </c>
      <c r="E59" s="159" t="s">
        <v>112</v>
      </c>
      <c r="F59" s="150">
        <v>-4.2500000000000003E-3</v>
      </c>
      <c r="G59" s="129"/>
      <c r="H59" s="163">
        <v>275</v>
      </c>
      <c r="I59" s="163">
        <v>15951</v>
      </c>
      <c r="J59" s="163">
        <v>51048</v>
      </c>
      <c r="K59" s="163">
        <v>8773</v>
      </c>
      <c r="L59" s="163">
        <v>7509</v>
      </c>
      <c r="M59" s="163">
        <v>2675</v>
      </c>
      <c r="N59" s="163">
        <v>0</v>
      </c>
      <c r="O59" s="163">
        <v>0</v>
      </c>
      <c r="P59" s="163">
        <v>0</v>
      </c>
      <c r="Q59" s="163">
        <v>0</v>
      </c>
      <c r="R59" s="163">
        <v>0</v>
      </c>
      <c r="S59" s="163">
        <v>2402</v>
      </c>
      <c r="T59" s="164">
        <v>0</v>
      </c>
      <c r="U59" s="129"/>
      <c r="V59" s="143">
        <f t="shared" si="1"/>
        <v>-1.17</v>
      </c>
      <c r="W59" s="143">
        <f t="shared" si="2"/>
        <v>-67.790000000000006</v>
      </c>
      <c r="X59" s="143">
        <f t="shared" si="3"/>
        <v>-216.95</v>
      </c>
      <c r="Y59" s="143">
        <f t="shared" si="4"/>
        <v>-37.29</v>
      </c>
      <c r="Z59" s="143">
        <f t="shared" si="5"/>
        <v>-31.91</v>
      </c>
      <c r="AA59" s="143">
        <f t="shared" si="6"/>
        <v>-11.37</v>
      </c>
      <c r="AB59" s="143">
        <f t="shared" si="7"/>
        <v>0</v>
      </c>
      <c r="AC59" s="143">
        <f t="shared" si="8"/>
        <v>0</v>
      </c>
      <c r="AD59" s="143">
        <f t="shared" si="9"/>
        <v>0</v>
      </c>
      <c r="AE59" s="143">
        <f t="shared" si="10"/>
        <v>0</v>
      </c>
      <c r="AF59" s="143">
        <f t="shared" si="11"/>
        <v>0</v>
      </c>
      <c r="AG59" s="143">
        <f t="shared" si="12"/>
        <v>-10.210000000000001</v>
      </c>
      <c r="AH59" s="148">
        <f t="shared" si="13"/>
        <v>0</v>
      </c>
      <c r="AI59" s="212">
        <f t="shared" si="14"/>
        <v>-376.69</v>
      </c>
      <c r="AK59" s="143">
        <f t="shared" si="15"/>
        <v>-393.91182498849707</v>
      </c>
    </row>
    <row r="60" spans="1:37" x14ac:dyDescent="0.25">
      <c r="A60" s="121">
        <f t="shared" si="0"/>
        <v>54</v>
      </c>
      <c r="B60" s="159"/>
      <c r="C60" s="159" t="s">
        <v>84</v>
      </c>
      <c r="D60" s="159" t="s">
        <v>122</v>
      </c>
      <c r="E60" s="159" t="s">
        <v>113</v>
      </c>
      <c r="F60" s="150">
        <v>-2.8300000000000001E-3</v>
      </c>
      <c r="G60" s="129"/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4">
        <v>0</v>
      </c>
      <c r="U60" s="129"/>
      <c r="V60" s="143">
        <f t="shared" si="1"/>
        <v>0</v>
      </c>
      <c r="W60" s="143">
        <f t="shared" si="2"/>
        <v>0</v>
      </c>
      <c r="X60" s="143">
        <f t="shared" si="3"/>
        <v>0</v>
      </c>
      <c r="Y60" s="143">
        <f t="shared" si="4"/>
        <v>0</v>
      </c>
      <c r="Z60" s="143">
        <f t="shared" si="5"/>
        <v>0</v>
      </c>
      <c r="AA60" s="143">
        <f t="shared" si="6"/>
        <v>0</v>
      </c>
      <c r="AB60" s="143">
        <f t="shared" si="7"/>
        <v>0</v>
      </c>
      <c r="AC60" s="143">
        <f t="shared" si="8"/>
        <v>0</v>
      </c>
      <c r="AD60" s="143">
        <f t="shared" si="9"/>
        <v>0</v>
      </c>
      <c r="AE60" s="143">
        <f t="shared" si="10"/>
        <v>0</v>
      </c>
      <c r="AF60" s="143">
        <f t="shared" si="11"/>
        <v>0</v>
      </c>
      <c r="AG60" s="143">
        <f t="shared" si="12"/>
        <v>0</v>
      </c>
      <c r="AH60" s="148">
        <f t="shared" si="13"/>
        <v>0</v>
      </c>
      <c r="AI60" s="212">
        <f t="shared" si="14"/>
        <v>0</v>
      </c>
      <c r="AK60" s="143">
        <f t="shared" si="15"/>
        <v>0</v>
      </c>
    </row>
    <row r="61" spans="1:37" x14ac:dyDescent="0.25">
      <c r="A61" s="121">
        <f t="shared" si="0"/>
        <v>55</v>
      </c>
      <c r="B61" s="160"/>
      <c r="C61" s="160" t="s">
        <v>84</v>
      </c>
      <c r="D61" s="160" t="s">
        <v>122</v>
      </c>
      <c r="E61" s="160" t="s">
        <v>114</v>
      </c>
      <c r="F61" s="149">
        <v>-1.06E-3</v>
      </c>
      <c r="G61" s="127"/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2">
        <v>0</v>
      </c>
      <c r="U61" s="127"/>
      <c r="V61" s="142">
        <f t="shared" si="1"/>
        <v>0</v>
      </c>
      <c r="W61" s="142">
        <f t="shared" si="2"/>
        <v>0</v>
      </c>
      <c r="X61" s="142">
        <f t="shared" si="3"/>
        <v>0</v>
      </c>
      <c r="Y61" s="142">
        <f t="shared" si="4"/>
        <v>0</v>
      </c>
      <c r="Z61" s="142">
        <f t="shared" si="5"/>
        <v>0</v>
      </c>
      <c r="AA61" s="142">
        <f t="shared" si="6"/>
        <v>0</v>
      </c>
      <c r="AB61" s="142">
        <f t="shared" si="7"/>
        <v>0</v>
      </c>
      <c r="AC61" s="142">
        <f t="shared" si="8"/>
        <v>0</v>
      </c>
      <c r="AD61" s="142">
        <f t="shared" si="9"/>
        <v>0</v>
      </c>
      <c r="AE61" s="142">
        <f t="shared" si="10"/>
        <v>0</v>
      </c>
      <c r="AF61" s="142">
        <f t="shared" si="11"/>
        <v>0</v>
      </c>
      <c r="AG61" s="142">
        <f t="shared" si="12"/>
        <v>0</v>
      </c>
      <c r="AH61" s="147">
        <f t="shared" si="13"/>
        <v>0</v>
      </c>
      <c r="AI61" s="211">
        <f t="shared" si="14"/>
        <v>0</v>
      </c>
      <c r="AK61" s="142">
        <f t="shared" si="15"/>
        <v>0</v>
      </c>
    </row>
    <row r="62" spans="1:37" x14ac:dyDescent="0.25">
      <c r="A62" s="121">
        <f t="shared" si="0"/>
        <v>56</v>
      </c>
      <c r="B62" s="159" t="s">
        <v>123</v>
      </c>
      <c r="C62" s="159" t="s">
        <v>84</v>
      </c>
      <c r="D62" s="159" t="s">
        <v>124</v>
      </c>
      <c r="E62" s="159" t="s">
        <v>97</v>
      </c>
      <c r="F62" s="150">
        <v>0</v>
      </c>
      <c r="G62" s="129"/>
      <c r="H62" s="163">
        <v>10379</v>
      </c>
      <c r="I62" s="163">
        <v>19204</v>
      </c>
      <c r="J62" s="163">
        <v>28406</v>
      </c>
      <c r="K62" s="163">
        <v>16563</v>
      </c>
      <c r="L62" s="163">
        <v>23645</v>
      </c>
      <c r="M62" s="163">
        <v>10009</v>
      </c>
      <c r="N62" s="163">
        <v>11924</v>
      </c>
      <c r="O62" s="163">
        <v>10008</v>
      </c>
      <c r="P62" s="163">
        <v>10055</v>
      </c>
      <c r="Q62" s="163">
        <v>10000</v>
      </c>
      <c r="R62" s="163">
        <v>10000</v>
      </c>
      <c r="S62" s="163">
        <v>11105</v>
      </c>
      <c r="T62" s="164">
        <v>0</v>
      </c>
      <c r="U62" s="129"/>
      <c r="V62" s="143">
        <f t="shared" si="1"/>
        <v>0</v>
      </c>
      <c r="W62" s="143">
        <f t="shared" si="2"/>
        <v>0</v>
      </c>
      <c r="X62" s="143">
        <f t="shared" si="3"/>
        <v>0</v>
      </c>
      <c r="Y62" s="143">
        <f t="shared" si="4"/>
        <v>0</v>
      </c>
      <c r="Z62" s="143">
        <f t="shared" si="5"/>
        <v>0</v>
      </c>
      <c r="AA62" s="143">
        <f t="shared" si="6"/>
        <v>0</v>
      </c>
      <c r="AB62" s="143">
        <f t="shared" si="7"/>
        <v>0</v>
      </c>
      <c r="AC62" s="143">
        <f t="shared" si="8"/>
        <v>0</v>
      </c>
      <c r="AD62" s="143">
        <f t="shared" si="9"/>
        <v>0</v>
      </c>
      <c r="AE62" s="143">
        <f t="shared" si="10"/>
        <v>0</v>
      </c>
      <c r="AF62" s="143">
        <f t="shared" si="11"/>
        <v>0</v>
      </c>
      <c r="AG62" s="143">
        <f t="shared" si="12"/>
        <v>0</v>
      </c>
      <c r="AH62" s="148">
        <f t="shared" si="13"/>
        <v>0</v>
      </c>
      <c r="AI62" s="212">
        <f t="shared" si="14"/>
        <v>0</v>
      </c>
      <c r="AK62" s="143">
        <f t="shared" si="15"/>
        <v>0</v>
      </c>
    </row>
    <row r="63" spans="1:37" x14ac:dyDescent="0.25">
      <c r="A63" s="121">
        <f t="shared" si="0"/>
        <v>57</v>
      </c>
      <c r="B63" s="159" t="s">
        <v>124</v>
      </c>
      <c r="C63" s="159" t="s">
        <v>84</v>
      </c>
      <c r="D63" s="159" t="s">
        <v>124</v>
      </c>
      <c r="E63" s="159" t="s">
        <v>98</v>
      </c>
      <c r="F63" s="150">
        <v>0</v>
      </c>
      <c r="G63" s="129"/>
      <c r="H63" s="163">
        <v>4471</v>
      </c>
      <c r="I63" s="163">
        <v>5711</v>
      </c>
      <c r="J63" s="163">
        <v>34778</v>
      </c>
      <c r="K63" s="163">
        <v>20167</v>
      </c>
      <c r="L63" s="163">
        <v>15750</v>
      </c>
      <c r="M63" s="163">
        <v>11736</v>
      </c>
      <c r="N63" s="163">
        <v>13987</v>
      </c>
      <c r="O63" s="163">
        <v>11495</v>
      </c>
      <c r="P63" s="163">
        <v>8887</v>
      </c>
      <c r="Q63" s="163">
        <v>9823</v>
      </c>
      <c r="R63" s="163">
        <v>6557</v>
      </c>
      <c r="S63" s="163">
        <v>9973</v>
      </c>
      <c r="T63" s="164">
        <v>0</v>
      </c>
      <c r="U63" s="129"/>
      <c r="V63" s="143">
        <f t="shared" si="1"/>
        <v>0</v>
      </c>
      <c r="W63" s="143">
        <f t="shared" si="2"/>
        <v>0</v>
      </c>
      <c r="X63" s="143">
        <f t="shared" si="3"/>
        <v>0</v>
      </c>
      <c r="Y63" s="143">
        <f t="shared" si="4"/>
        <v>0</v>
      </c>
      <c r="Z63" s="143">
        <f t="shared" si="5"/>
        <v>0</v>
      </c>
      <c r="AA63" s="143">
        <f t="shared" si="6"/>
        <v>0</v>
      </c>
      <c r="AB63" s="143">
        <f t="shared" si="7"/>
        <v>0</v>
      </c>
      <c r="AC63" s="143">
        <f t="shared" si="8"/>
        <v>0</v>
      </c>
      <c r="AD63" s="143">
        <f t="shared" si="9"/>
        <v>0</v>
      </c>
      <c r="AE63" s="143">
        <f t="shared" si="10"/>
        <v>0</v>
      </c>
      <c r="AF63" s="143">
        <f t="shared" si="11"/>
        <v>0</v>
      </c>
      <c r="AG63" s="143">
        <f t="shared" si="12"/>
        <v>0</v>
      </c>
      <c r="AH63" s="148">
        <f t="shared" si="13"/>
        <v>0</v>
      </c>
      <c r="AI63" s="212">
        <f t="shared" si="14"/>
        <v>0</v>
      </c>
      <c r="AK63" s="143">
        <f t="shared" si="15"/>
        <v>0</v>
      </c>
    </row>
    <row r="64" spans="1:37" x14ac:dyDescent="0.25">
      <c r="A64" s="121">
        <f t="shared" si="0"/>
        <v>58</v>
      </c>
      <c r="B64" s="159"/>
      <c r="C64" s="159" t="s">
        <v>84</v>
      </c>
      <c r="D64" s="159" t="s">
        <v>124</v>
      </c>
      <c r="E64" s="159" t="s">
        <v>111</v>
      </c>
      <c r="F64" s="150">
        <v>0</v>
      </c>
      <c r="G64" s="129"/>
      <c r="H64" s="163">
        <v>0</v>
      </c>
      <c r="I64" s="163">
        <v>0</v>
      </c>
      <c r="J64" s="163">
        <v>5408</v>
      </c>
      <c r="K64" s="163">
        <v>0</v>
      </c>
      <c r="L64" s="163">
        <v>0</v>
      </c>
      <c r="M64" s="163">
        <v>0</v>
      </c>
      <c r="N64" s="163">
        <v>0</v>
      </c>
      <c r="O64" s="163">
        <v>0</v>
      </c>
      <c r="P64" s="163">
        <v>0</v>
      </c>
      <c r="Q64" s="163">
        <v>0</v>
      </c>
      <c r="R64" s="163">
        <v>0</v>
      </c>
      <c r="S64" s="163">
        <v>0</v>
      </c>
      <c r="T64" s="164">
        <v>0</v>
      </c>
      <c r="U64" s="129"/>
      <c r="V64" s="143">
        <f t="shared" si="1"/>
        <v>0</v>
      </c>
      <c r="W64" s="143">
        <f t="shared" si="2"/>
        <v>0</v>
      </c>
      <c r="X64" s="143">
        <f t="shared" si="3"/>
        <v>0</v>
      </c>
      <c r="Y64" s="143">
        <f t="shared" si="4"/>
        <v>0</v>
      </c>
      <c r="Z64" s="143">
        <f t="shared" si="5"/>
        <v>0</v>
      </c>
      <c r="AA64" s="143">
        <f t="shared" si="6"/>
        <v>0</v>
      </c>
      <c r="AB64" s="143">
        <f t="shared" si="7"/>
        <v>0</v>
      </c>
      <c r="AC64" s="143">
        <f t="shared" si="8"/>
        <v>0</v>
      </c>
      <c r="AD64" s="143">
        <f t="shared" si="9"/>
        <v>0</v>
      </c>
      <c r="AE64" s="143">
        <f t="shared" si="10"/>
        <v>0</v>
      </c>
      <c r="AF64" s="143">
        <f t="shared" si="11"/>
        <v>0</v>
      </c>
      <c r="AG64" s="143">
        <f t="shared" si="12"/>
        <v>0</v>
      </c>
      <c r="AH64" s="148">
        <f t="shared" si="13"/>
        <v>0</v>
      </c>
      <c r="AI64" s="212">
        <f t="shared" si="14"/>
        <v>0</v>
      </c>
      <c r="AK64" s="143">
        <f t="shared" si="15"/>
        <v>0</v>
      </c>
    </row>
    <row r="65" spans="1:37" x14ac:dyDescent="0.25">
      <c r="A65" s="121">
        <f t="shared" si="0"/>
        <v>59</v>
      </c>
      <c r="B65" s="159"/>
      <c r="C65" s="159" t="s">
        <v>84</v>
      </c>
      <c r="D65" s="159" t="s">
        <v>124</v>
      </c>
      <c r="E65" s="159" t="s">
        <v>112</v>
      </c>
      <c r="F65" s="150">
        <v>0</v>
      </c>
      <c r="G65" s="129"/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v>0</v>
      </c>
      <c r="P65" s="163">
        <v>0</v>
      </c>
      <c r="Q65" s="163">
        <v>0</v>
      </c>
      <c r="R65" s="163">
        <v>0</v>
      </c>
      <c r="S65" s="163">
        <v>0</v>
      </c>
      <c r="T65" s="164">
        <v>0</v>
      </c>
      <c r="U65" s="129"/>
      <c r="V65" s="143">
        <f t="shared" si="1"/>
        <v>0</v>
      </c>
      <c r="W65" s="143">
        <f t="shared" si="2"/>
        <v>0</v>
      </c>
      <c r="X65" s="143">
        <f t="shared" si="3"/>
        <v>0</v>
      </c>
      <c r="Y65" s="143">
        <f t="shared" si="4"/>
        <v>0</v>
      </c>
      <c r="Z65" s="143">
        <f t="shared" si="5"/>
        <v>0</v>
      </c>
      <c r="AA65" s="143">
        <f t="shared" si="6"/>
        <v>0</v>
      </c>
      <c r="AB65" s="143">
        <f t="shared" si="7"/>
        <v>0</v>
      </c>
      <c r="AC65" s="143">
        <f t="shared" si="8"/>
        <v>0</v>
      </c>
      <c r="AD65" s="143">
        <f t="shared" si="9"/>
        <v>0</v>
      </c>
      <c r="AE65" s="143">
        <f t="shared" si="10"/>
        <v>0</v>
      </c>
      <c r="AF65" s="143">
        <f t="shared" si="11"/>
        <v>0</v>
      </c>
      <c r="AG65" s="143">
        <f t="shared" si="12"/>
        <v>0</v>
      </c>
      <c r="AH65" s="148">
        <f t="shared" si="13"/>
        <v>0</v>
      </c>
      <c r="AI65" s="212">
        <f t="shared" si="14"/>
        <v>0</v>
      </c>
      <c r="AK65" s="143">
        <f t="shared" si="15"/>
        <v>0</v>
      </c>
    </row>
    <row r="66" spans="1:37" x14ac:dyDescent="0.25">
      <c r="A66" s="121">
        <f t="shared" si="0"/>
        <v>60</v>
      </c>
      <c r="B66" s="159"/>
      <c r="C66" s="159" t="s">
        <v>84</v>
      </c>
      <c r="D66" s="159" t="s">
        <v>124</v>
      </c>
      <c r="E66" s="159" t="s">
        <v>113</v>
      </c>
      <c r="F66" s="150">
        <v>0</v>
      </c>
      <c r="G66" s="129"/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v>0</v>
      </c>
      <c r="N66" s="163">
        <v>0</v>
      </c>
      <c r="O66" s="163">
        <v>0</v>
      </c>
      <c r="P66" s="163">
        <v>0</v>
      </c>
      <c r="Q66" s="163">
        <v>0</v>
      </c>
      <c r="R66" s="163">
        <v>0</v>
      </c>
      <c r="S66" s="163">
        <v>0</v>
      </c>
      <c r="T66" s="164">
        <v>0</v>
      </c>
      <c r="U66" s="129"/>
      <c r="V66" s="143">
        <f t="shared" si="1"/>
        <v>0</v>
      </c>
      <c r="W66" s="143">
        <f t="shared" si="2"/>
        <v>0</v>
      </c>
      <c r="X66" s="143">
        <f t="shared" si="3"/>
        <v>0</v>
      </c>
      <c r="Y66" s="143">
        <f t="shared" si="4"/>
        <v>0</v>
      </c>
      <c r="Z66" s="143">
        <f t="shared" si="5"/>
        <v>0</v>
      </c>
      <c r="AA66" s="143">
        <f t="shared" si="6"/>
        <v>0</v>
      </c>
      <c r="AB66" s="143">
        <f t="shared" si="7"/>
        <v>0</v>
      </c>
      <c r="AC66" s="143">
        <f t="shared" si="8"/>
        <v>0</v>
      </c>
      <c r="AD66" s="143">
        <f t="shared" si="9"/>
        <v>0</v>
      </c>
      <c r="AE66" s="143">
        <f t="shared" si="10"/>
        <v>0</v>
      </c>
      <c r="AF66" s="143">
        <f t="shared" si="11"/>
        <v>0</v>
      </c>
      <c r="AG66" s="143">
        <f t="shared" si="12"/>
        <v>0</v>
      </c>
      <c r="AH66" s="148">
        <f t="shared" si="13"/>
        <v>0</v>
      </c>
      <c r="AI66" s="212">
        <f t="shared" si="14"/>
        <v>0</v>
      </c>
      <c r="AK66" s="143">
        <f t="shared" si="15"/>
        <v>0</v>
      </c>
    </row>
    <row r="67" spans="1:37" x14ac:dyDescent="0.25">
      <c r="A67" s="121">
        <f t="shared" si="0"/>
        <v>61</v>
      </c>
      <c r="B67" s="160"/>
      <c r="C67" s="160" t="s">
        <v>84</v>
      </c>
      <c r="D67" s="160" t="s">
        <v>124</v>
      </c>
      <c r="E67" s="160" t="s">
        <v>114</v>
      </c>
      <c r="F67" s="149">
        <v>0</v>
      </c>
      <c r="G67" s="127"/>
      <c r="H67" s="166">
        <v>0</v>
      </c>
      <c r="I67" s="166">
        <v>0</v>
      </c>
      <c r="J67" s="161">
        <v>0</v>
      </c>
      <c r="K67" s="161">
        <v>0</v>
      </c>
      <c r="L67" s="161">
        <v>0</v>
      </c>
      <c r="M67" s="161">
        <v>0</v>
      </c>
      <c r="N67" s="161">
        <v>0</v>
      </c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2">
        <v>0</v>
      </c>
      <c r="U67" s="127"/>
      <c r="V67" s="145">
        <f t="shared" si="1"/>
        <v>0</v>
      </c>
      <c r="W67" s="145">
        <f t="shared" si="2"/>
        <v>0</v>
      </c>
      <c r="X67" s="145">
        <f t="shared" si="3"/>
        <v>0</v>
      </c>
      <c r="Y67" s="145">
        <f t="shared" si="4"/>
        <v>0</v>
      </c>
      <c r="Z67" s="145">
        <f t="shared" si="5"/>
        <v>0</v>
      </c>
      <c r="AA67" s="145">
        <f t="shared" si="6"/>
        <v>0</v>
      </c>
      <c r="AB67" s="145">
        <f t="shared" si="7"/>
        <v>0</v>
      </c>
      <c r="AC67" s="145">
        <f t="shared" si="8"/>
        <v>0</v>
      </c>
      <c r="AD67" s="145">
        <f t="shared" si="9"/>
        <v>0</v>
      </c>
      <c r="AE67" s="145">
        <f t="shared" si="10"/>
        <v>0</v>
      </c>
      <c r="AF67" s="145">
        <f t="shared" si="11"/>
        <v>0</v>
      </c>
      <c r="AG67" s="145">
        <f t="shared" si="12"/>
        <v>0</v>
      </c>
      <c r="AH67" s="147">
        <f t="shared" si="13"/>
        <v>0</v>
      </c>
      <c r="AI67" s="214">
        <f t="shared" si="14"/>
        <v>0</v>
      </c>
      <c r="AK67" s="145">
        <f t="shared" si="15"/>
        <v>0</v>
      </c>
    </row>
    <row r="68" spans="1:37" x14ac:dyDescent="0.25">
      <c r="A68" s="121">
        <f t="shared" si="0"/>
        <v>62</v>
      </c>
      <c r="B68" s="159" t="s">
        <v>125</v>
      </c>
      <c r="C68" s="159" t="s">
        <v>84</v>
      </c>
      <c r="D68" s="159" t="s">
        <v>126</v>
      </c>
      <c r="E68" s="159" t="s">
        <v>97</v>
      </c>
      <c r="F68" s="150">
        <v>0</v>
      </c>
      <c r="G68" s="129"/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3">
        <v>0</v>
      </c>
      <c r="Q68" s="163">
        <v>0</v>
      </c>
      <c r="R68" s="163">
        <v>0</v>
      </c>
      <c r="S68" s="163">
        <v>0</v>
      </c>
      <c r="T68" s="164">
        <v>0</v>
      </c>
      <c r="U68" s="129"/>
      <c r="V68" s="143">
        <f t="shared" si="1"/>
        <v>0</v>
      </c>
      <c r="W68" s="143">
        <f t="shared" si="2"/>
        <v>0</v>
      </c>
      <c r="X68" s="143">
        <f t="shared" si="3"/>
        <v>0</v>
      </c>
      <c r="Y68" s="143">
        <f t="shared" si="4"/>
        <v>0</v>
      </c>
      <c r="Z68" s="143">
        <f t="shared" si="5"/>
        <v>0</v>
      </c>
      <c r="AA68" s="143">
        <f t="shared" si="6"/>
        <v>0</v>
      </c>
      <c r="AB68" s="143">
        <f t="shared" si="7"/>
        <v>0</v>
      </c>
      <c r="AC68" s="143">
        <f t="shared" si="8"/>
        <v>0</v>
      </c>
      <c r="AD68" s="143">
        <f t="shared" si="9"/>
        <v>0</v>
      </c>
      <c r="AE68" s="143">
        <f t="shared" si="10"/>
        <v>0</v>
      </c>
      <c r="AF68" s="143">
        <f t="shared" si="11"/>
        <v>0</v>
      </c>
      <c r="AG68" s="143">
        <f t="shared" si="12"/>
        <v>0</v>
      </c>
      <c r="AH68" s="148">
        <f t="shared" si="13"/>
        <v>0</v>
      </c>
      <c r="AI68" s="212">
        <f t="shared" si="14"/>
        <v>0</v>
      </c>
      <c r="AK68" s="143">
        <f t="shared" si="15"/>
        <v>0</v>
      </c>
    </row>
    <row r="69" spans="1:37" x14ac:dyDescent="0.25">
      <c r="A69" s="121">
        <f t="shared" si="0"/>
        <v>63</v>
      </c>
      <c r="B69" s="159" t="s">
        <v>126</v>
      </c>
      <c r="C69" s="159" t="s">
        <v>84</v>
      </c>
      <c r="D69" s="159" t="s">
        <v>126</v>
      </c>
      <c r="E69" s="159" t="s">
        <v>98</v>
      </c>
      <c r="F69" s="150">
        <v>0</v>
      </c>
      <c r="G69" s="129"/>
      <c r="H69" s="163">
        <v>0</v>
      </c>
      <c r="I69" s="163">
        <v>0</v>
      </c>
      <c r="J69" s="163">
        <v>0</v>
      </c>
      <c r="K69" s="163">
        <v>0</v>
      </c>
      <c r="L69" s="163">
        <v>0</v>
      </c>
      <c r="M69" s="163">
        <v>0</v>
      </c>
      <c r="N69" s="163">
        <v>0</v>
      </c>
      <c r="O69" s="163">
        <v>0</v>
      </c>
      <c r="P69" s="163">
        <v>0</v>
      </c>
      <c r="Q69" s="163">
        <v>0</v>
      </c>
      <c r="R69" s="163">
        <v>0</v>
      </c>
      <c r="S69" s="163">
        <v>0</v>
      </c>
      <c r="T69" s="164">
        <v>0</v>
      </c>
      <c r="U69" s="129"/>
      <c r="V69" s="143">
        <f t="shared" si="1"/>
        <v>0</v>
      </c>
      <c r="W69" s="143">
        <f t="shared" si="2"/>
        <v>0</v>
      </c>
      <c r="X69" s="143">
        <f t="shared" si="3"/>
        <v>0</v>
      </c>
      <c r="Y69" s="143">
        <f t="shared" si="4"/>
        <v>0</v>
      </c>
      <c r="Z69" s="143">
        <f t="shared" si="5"/>
        <v>0</v>
      </c>
      <c r="AA69" s="143">
        <f t="shared" si="6"/>
        <v>0</v>
      </c>
      <c r="AB69" s="143">
        <f t="shared" si="7"/>
        <v>0</v>
      </c>
      <c r="AC69" s="143">
        <f t="shared" si="8"/>
        <v>0</v>
      </c>
      <c r="AD69" s="143">
        <f t="shared" si="9"/>
        <v>0</v>
      </c>
      <c r="AE69" s="143">
        <f t="shared" si="10"/>
        <v>0</v>
      </c>
      <c r="AF69" s="143">
        <f t="shared" si="11"/>
        <v>0</v>
      </c>
      <c r="AG69" s="143">
        <f t="shared" si="12"/>
        <v>0</v>
      </c>
      <c r="AH69" s="148">
        <f t="shared" si="13"/>
        <v>0</v>
      </c>
      <c r="AI69" s="212">
        <f t="shared" si="14"/>
        <v>0</v>
      </c>
      <c r="AK69" s="143">
        <f t="shared" si="15"/>
        <v>0</v>
      </c>
    </row>
    <row r="70" spans="1:37" x14ac:dyDescent="0.25">
      <c r="A70" s="121">
        <f t="shared" si="0"/>
        <v>64</v>
      </c>
      <c r="B70" s="159"/>
      <c r="C70" s="159" t="s">
        <v>84</v>
      </c>
      <c r="D70" s="159" t="s">
        <v>126</v>
      </c>
      <c r="E70" s="159" t="s">
        <v>111</v>
      </c>
      <c r="F70" s="150">
        <v>0</v>
      </c>
      <c r="G70" s="129"/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v>0</v>
      </c>
      <c r="P70" s="163">
        <v>0</v>
      </c>
      <c r="Q70" s="163">
        <v>0</v>
      </c>
      <c r="R70" s="163">
        <v>0</v>
      </c>
      <c r="S70" s="163">
        <v>0</v>
      </c>
      <c r="T70" s="164">
        <v>0</v>
      </c>
      <c r="U70" s="129"/>
      <c r="V70" s="143">
        <f t="shared" si="1"/>
        <v>0</v>
      </c>
      <c r="W70" s="143">
        <f t="shared" si="2"/>
        <v>0</v>
      </c>
      <c r="X70" s="143">
        <f t="shared" si="3"/>
        <v>0</v>
      </c>
      <c r="Y70" s="143">
        <f t="shared" si="4"/>
        <v>0</v>
      </c>
      <c r="Z70" s="143">
        <f t="shared" si="5"/>
        <v>0</v>
      </c>
      <c r="AA70" s="143">
        <f t="shared" si="6"/>
        <v>0</v>
      </c>
      <c r="AB70" s="143">
        <f t="shared" si="7"/>
        <v>0</v>
      </c>
      <c r="AC70" s="143">
        <f t="shared" si="8"/>
        <v>0</v>
      </c>
      <c r="AD70" s="143">
        <f t="shared" si="9"/>
        <v>0</v>
      </c>
      <c r="AE70" s="143">
        <f t="shared" si="10"/>
        <v>0</v>
      </c>
      <c r="AF70" s="143">
        <f t="shared" si="11"/>
        <v>0</v>
      </c>
      <c r="AG70" s="143">
        <f t="shared" si="12"/>
        <v>0</v>
      </c>
      <c r="AH70" s="148">
        <f t="shared" si="13"/>
        <v>0</v>
      </c>
      <c r="AI70" s="212">
        <f t="shared" si="14"/>
        <v>0</v>
      </c>
      <c r="AK70" s="143">
        <f t="shared" si="15"/>
        <v>0</v>
      </c>
    </row>
    <row r="71" spans="1:37" x14ac:dyDescent="0.25">
      <c r="A71" s="121">
        <f t="shared" si="0"/>
        <v>65</v>
      </c>
      <c r="B71" s="159"/>
      <c r="C71" s="159" t="s">
        <v>84</v>
      </c>
      <c r="D71" s="159" t="s">
        <v>126</v>
      </c>
      <c r="E71" s="159" t="s">
        <v>112</v>
      </c>
      <c r="F71" s="150">
        <v>0</v>
      </c>
      <c r="G71" s="129"/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3">
        <v>0</v>
      </c>
      <c r="Q71" s="163">
        <v>0</v>
      </c>
      <c r="R71" s="163">
        <v>0</v>
      </c>
      <c r="S71" s="163">
        <v>0</v>
      </c>
      <c r="T71" s="164">
        <v>0</v>
      </c>
      <c r="U71" s="129"/>
      <c r="V71" s="143">
        <f t="shared" si="1"/>
        <v>0</v>
      </c>
      <c r="W71" s="143">
        <f t="shared" si="2"/>
        <v>0</v>
      </c>
      <c r="X71" s="143">
        <f t="shared" si="3"/>
        <v>0</v>
      </c>
      <c r="Y71" s="143">
        <f t="shared" si="4"/>
        <v>0</v>
      </c>
      <c r="Z71" s="143">
        <f t="shared" si="5"/>
        <v>0</v>
      </c>
      <c r="AA71" s="143">
        <f t="shared" si="6"/>
        <v>0</v>
      </c>
      <c r="AB71" s="143">
        <f t="shared" si="7"/>
        <v>0</v>
      </c>
      <c r="AC71" s="143">
        <f t="shared" si="8"/>
        <v>0</v>
      </c>
      <c r="AD71" s="143">
        <f t="shared" si="9"/>
        <v>0</v>
      </c>
      <c r="AE71" s="143">
        <f t="shared" si="10"/>
        <v>0</v>
      </c>
      <c r="AF71" s="143">
        <f t="shared" si="11"/>
        <v>0</v>
      </c>
      <c r="AG71" s="143">
        <f t="shared" si="12"/>
        <v>0</v>
      </c>
      <c r="AH71" s="148">
        <f t="shared" si="13"/>
        <v>0</v>
      </c>
      <c r="AI71" s="212">
        <f t="shared" si="14"/>
        <v>0</v>
      </c>
      <c r="AK71" s="143">
        <f t="shared" si="15"/>
        <v>0</v>
      </c>
    </row>
    <row r="72" spans="1:37" x14ac:dyDescent="0.25">
      <c r="A72" s="121">
        <f t="shared" ref="A72:A95" si="16">+A71+1</f>
        <v>66</v>
      </c>
      <c r="B72" s="159"/>
      <c r="C72" s="159" t="s">
        <v>84</v>
      </c>
      <c r="D72" s="159" t="s">
        <v>126</v>
      </c>
      <c r="E72" s="159" t="s">
        <v>113</v>
      </c>
      <c r="F72" s="150">
        <v>0</v>
      </c>
      <c r="G72" s="129"/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3">
        <v>0</v>
      </c>
      <c r="T72" s="164">
        <v>0</v>
      </c>
      <c r="U72" s="129"/>
      <c r="V72" s="143">
        <f t="shared" si="1"/>
        <v>0</v>
      </c>
      <c r="W72" s="143">
        <f t="shared" si="2"/>
        <v>0</v>
      </c>
      <c r="X72" s="143">
        <f t="shared" si="3"/>
        <v>0</v>
      </c>
      <c r="Y72" s="143">
        <f t="shared" si="4"/>
        <v>0</v>
      </c>
      <c r="Z72" s="143">
        <f t="shared" si="5"/>
        <v>0</v>
      </c>
      <c r="AA72" s="143">
        <f t="shared" si="6"/>
        <v>0</v>
      </c>
      <c r="AB72" s="143">
        <f t="shared" si="7"/>
        <v>0</v>
      </c>
      <c r="AC72" s="143">
        <f t="shared" si="8"/>
        <v>0</v>
      </c>
      <c r="AD72" s="143">
        <f t="shared" si="9"/>
        <v>0</v>
      </c>
      <c r="AE72" s="143">
        <f t="shared" si="10"/>
        <v>0</v>
      </c>
      <c r="AF72" s="143">
        <f t="shared" si="11"/>
        <v>0</v>
      </c>
      <c r="AG72" s="143">
        <f t="shared" si="12"/>
        <v>0</v>
      </c>
      <c r="AH72" s="148">
        <f t="shared" si="13"/>
        <v>0</v>
      </c>
      <c r="AI72" s="212">
        <f t="shared" si="14"/>
        <v>0</v>
      </c>
      <c r="AK72" s="143">
        <f t="shared" si="15"/>
        <v>0</v>
      </c>
    </row>
    <row r="73" spans="1:37" x14ac:dyDescent="0.25">
      <c r="A73" s="121">
        <f t="shared" si="16"/>
        <v>67</v>
      </c>
      <c r="B73" s="160"/>
      <c r="C73" s="160" t="s">
        <v>84</v>
      </c>
      <c r="D73" s="160" t="s">
        <v>126</v>
      </c>
      <c r="E73" s="160" t="s">
        <v>114</v>
      </c>
      <c r="F73" s="149">
        <v>0</v>
      </c>
      <c r="G73" s="127"/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>
        <v>0</v>
      </c>
      <c r="N73" s="161">
        <v>0</v>
      </c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2">
        <v>0</v>
      </c>
      <c r="U73" s="127"/>
      <c r="V73" s="142">
        <f t="shared" si="1"/>
        <v>0</v>
      </c>
      <c r="W73" s="142">
        <f t="shared" si="2"/>
        <v>0</v>
      </c>
      <c r="X73" s="142">
        <f t="shared" si="3"/>
        <v>0</v>
      </c>
      <c r="Y73" s="142">
        <f t="shared" si="4"/>
        <v>0</v>
      </c>
      <c r="Z73" s="142">
        <f t="shared" si="5"/>
        <v>0</v>
      </c>
      <c r="AA73" s="142">
        <f t="shared" si="6"/>
        <v>0</v>
      </c>
      <c r="AB73" s="142">
        <f t="shared" si="7"/>
        <v>0</v>
      </c>
      <c r="AC73" s="142">
        <f t="shared" si="8"/>
        <v>0</v>
      </c>
      <c r="AD73" s="142">
        <f t="shared" si="9"/>
        <v>0</v>
      </c>
      <c r="AE73" s="142">
        <f t="shared" si="10"/>
        <v>0</v>
      </c>
      <c r="AF73" s="142">
        <f t="shared" si="11"/>
        <v>0</v>
      </c>
      <c r="AG73" s="142">
        <f t="shared" si="12"/>
        <v>0</v>
      </c>
      <c r="AH73" s="147">
        <f t="shared" si="13"/>
        <v>0</v>
      </c>
      <c r="AI73" s="211">
        <f t="shared" si="14"/>
        <v>0</v>
      </c>
      <c r="AK73" s="142">
        <f t="shared" si="15"/>
        <v>0</v>
      </c>
    </row>
    <row r="74" spans="1:37" x14ac:dyDescent="0.25">
      <c r="A74" s="121">
        <f t="shared" si="16"/>
        <v>68</v>
      </c>
      <c r="B74" s="159" t="s">
        <v>127</v>
      </c>
      <c r="C74" s="159" t="s">
        <v>84</v>
      </c>
      <c r="D74" s="159" t="s">
        <v>128</v>
      </c>
      <c r="E74" s="159" t="s">
        <v>97</v>
      </c>
      <c r="F74" s="150">
        <v>0</v>
      </c>
      <c r="G74" s="129"/>
      <c r="H74" s="167">
        <v>61188</v>
      </c>
      <c r="I74" s="167">
        <v>55466</v>
      </c>
      <c r="J74" s="163">
        <v>55413</v>
      </c>
      <c r="K74" s="163">
        <v>55730</v>
      </c>
      <c r="L74" s="163">
        <v>59391</v>
      </c>
      <c r="M74" s="163">
        <v>76284</v>
      </c>
      <c r="N74" s="163">
        <v>84161</v>
      </c>
      <c r="O74" s="163">
        <v>78113</v>
      </c>
      <c r="P74" s="163">
        <v>79332</v>
      </c>
      <c r="Q74" s="163">
        <v>71148</v>
      </c>
      <c r="R74" s="163">
        <v>66198</v>
      </c>
      <c r="S74" s="163">
        <v>82704</v>
      </c>
      <c r="T74" s="164">
        <v>10000</v>
      </c>
      <c r="U74" s="129"/>
      <c r="V74" s="146">
        <f t="shared" si="1"/>
        <v>0</v>
      </c>
      <c r="W74" s="146">
        <f t="shared" si="2"/>
        <v>0</v>
      </c>
      <c r="X74" s="146">
        <f t="shared" si="3"/>
        <v>0</v>
      </c>
      <c r="Y74" s="146">
        <f t="shared" si="4"/>
        <v>0</v>
      </c>
      <c r="Z74" s="146">
        <f t="shared" si="5"/>
        <v>0</v>
      </c>
      <c r="AA74" s="146">
        <f t="shared" si="6"/>
        <v>0</v>
      </c>
      <c r="AB74" s="146">
        <f t="shared" si="7"/>
        <v>0</v>
      </c>
      <c r="AC74" s="146">
        <f t="shared" si="8"/>
        <v>0</v>
      </c>
      <c r="AD74" s="146">
        <f t="shared" si="9"/>
        <v>0</v>
      </c>
      <c r="AE74" s="146">
        <f t="shared" si="10"/>
        <v>0</v>
      </c>
      <c r="AF74" s="146">
        <f t="shared" si="11"/>
        <v>0</v>
      </c>
      <c r="AG74" s="146">
        <f t="shared" si="12"/>
        <v>0</v>
      </c>
      <c r="AH74" s="151">
        <f t="shared" si="13"/>
        <v>0</v>
      </c>
      <c r="AI74" s="215">
        <f t="shared" si="14"/>
        <v>0</v>
      </c>
      <c r="AK74" s="146">
        <f t="shared" si="15"/>
        <v>0</v>
      </c>
    </row>
    <row r="75" spans="1:37" x14ac:dyDescent="0.25">
      <c r="A75" s="121">
        <f t="shared" si="16"/>
        <v>69</v>
      </c>
      <c r="B75" s="159" t="s">
        <v>128</v>
      </c>
      <c r="C75" s="159" t="s">
        <v>84</v>
      </c>
      <c r="D75" s="159" t="s">
        <v>128</v>
      </c>
      <c r="E75" s="159" t="s">
        <v>98</v>
      </c>
      <c r="F75" s="150">
        <v>0</v>
      </c>
      <c r="G75" s="129"/>
      <c r="H75" s="167">
        <v>122814</v>
      </c>
      <c r="I75" s="167">
        <v>113191</v>
      </c>
      <c r="J75" s="163">
        <v>115226</v>
      </c>
      <c r="K75" s="163">
        <v>114888</v>
      </c>
      <c r="L75" s="163">
        <v>116423</v>
      </c>
      <c r="M75" s="163">
        <v>122661</v>
      </c>
      <c r="N75" s="163">
        <v>163071</v>
      </c>
      <c r="O75" s="163">
        <v>136404</v>
      </c>
      <c r="P75" s="163">
        <v>155630</v>
      </c>
      <c r="Q75" s="163">
        <v>151819</v>
      </c>
      <c r="R75" s="163">
        <v>142975</v>
      </c>
      <c r="S75" s="163">
        <v>174999</v>
      </c>
      <c r="T75" s="164">
        <v>329</v>
      </c>
      <c r="U75" s="129"/>
      <c r="V75" s="146">
        <f t="shared" si="1"/>
        <v>0</v>
      </c>
      <c r="W75" s="146">
        <f t="shared" si="2"/>
        <v>0</v>
      </c>
      <c r="X75" s="146">
        <f t="shared" si="3"/>
        <v>0</v>
      </c>
      <c r="Y75" s="146">
        <f t="shared" si="4"/>
        <v>0</v>
      </c>
      <c r="Z75" s="146">
        <f t="shared" si="5"/>
        <v>0</v>
      </c>
      <c r="AA75" s="146">
        <f t="shared" si="6"/>
        <v>0</v>
      </c>
      <c r="AB75" s="146">
        <f t="shared" si="7"/>
        <v>0</v>
      </c>
      <c r="AC75" s="146">
        <f t="shared" si="8"/>
        <v>0</v>
      </c>
      <c r="AD75" s="146">
        <f t="shared" si="9"/>
        <v>0</v>
      </c>
      <c r="AE75" s="146">
        <f t="shared" si="10"/>
        <v>0</v>
      </c>
      <c r="AF75" s="146">
        <f t="shared" si="11"/>
        <v>0</v>
      </c>
      <c r="AG75" s="146">
        <f t="shared" si="12"/>
        <v>0</v>
      </c>
      <c r="AH75" s="151">
        <f t="shared" si="13"/>
        <v>0</v>
      </c>
      <c r="AI75" s="215">
        <f t="shared" si="14"/>
        <v>0</v>
      </c>
      <c r="AK75" s="146">
        <f t="shared" si="15"/>
        <v>0</v>
      </c>
    </row>
    <row r="76" spans="1:37" x14ac:dyDescent="0.25">
      <c r="A76" s="121">
        <f t="shared" si="16"/>
        <v>70</v>
      </c>
      <c r="B76" s="159"/>
      <c r="C76" s="159" t="s">
        <v>84</v>
      </c>
      <c r="D76" s="159" t="s">
        <v>128</v>
      </c>
      <c r="E76" s="159" t="s">
        <v>111</v>
      </c>
      <c r="F76" s="150">
        <v>0</v>
      </c>
      <c r="G76" s="129"/>
      <c r="H76" s="167">
        <v>107810</v>
      </c>
      <c r="I76" s="167">
        <v>85513</v>
      </c>
      <c r="J76" s="163">
        <v>91037</v>
      </c>
      <c r="K76" s="163">
        <v>76353</v>
      </c>
      <c r="L76" s="163">
        <v>120000</v>
      </c>
      <c r="M76" s="163">
        <v>100000</v>
      </c>
      <c r="N76" s="163">
        <v>107677</v>
      </c>
      <c r="O76" s="163">
        <v>97750</v>
      </c>
      <c r="P76" s="163">
        <v>126167</v>
      </c>
      <c r="Q76" s="163">
        <v>134618</v>
      </c>
      <c r="R76" s="163">
        <v>126740</v>
      </c>
      <c r="S76" s="163">
        <v>120691</v>
      </c>
      <c r="T76" s="164">
        <v>0</v>
      </c>
      <c r="U76" s="129"/>
      <c r="V76" s="146">
        <f t="shared" si="1"/>
        <v>0</v>
      </c>
      <c r="W76" s="146">
        <f t="shared" si="2"/>
        <v>0</v>
      </c>
      <c r="X76" s="146">
        <f t="shared" si="3"/>
        <v>0</v>
      </c>
      <c r="Y76" s="146">
        <f t="shared" si="4"/>
        <v>0</v>
      </c>
      <c r="Z76" s="146">
        <f t="shared" si="5"/>
        <v>0</v>
      </c>
      <c r="AA76" s="146">
        <f t="shared" si="6"/>
        <v>0</v>
      </c>
      <c r="AB76" s="146">
        <f t="shared" si="7"/>
        <v>0</v>
      </c>
      <c r="AC76" s="146">
        <f t="shared" si="8"/>
        <v>0</v>
      </c>
      <c r="AD76" s="146">
        <f t="shared" si="9"/>
        <v>0</v>
      </c>
      <c r="AE76" s="146">
        <f t="shared" si="10"/>
        <v>0</v>
      </c>
      <c r="AF76" s="146">
        <f t="shared" si="11"/>
        <v>0</v>
      </c>
      <c r="AG76" s="146">
        <f t="shared" si="12"/>
        <v>0</v>
      </c>
      <c r="AH76" s="151">
        <f t="shared" si="13"/>
        <v>0</v>
      </c>
      <c r="AI76" s="215">
        <f t="shared" si="14"/>
        <v>0</v>
      </c>
      <c r="AK76" s="146">
        <f t="shared" si="15"/>
        <v>0</v>
      </c>
    </row>
    <row r="77" spans="1:37" x14ac:dyDescent="0.25">
      <c r="A77" s="121">
        <f t="shared" si="16"/>
        <v>71</v>
      </c>
      <c r="B77" s="159"/>
      <c r="C77" s="159" t="s">
        <v>84</v>
      </c>
      <c r="D77" s="159" t="s">
        <v>128</v>
      </c>
      <c r="E77" s="159" t="s">
        <v>112</v>
      </c>
      <c r="F77" s="150">
        <v>0</v>
      </c>
      <c r="G77" s="129"/>
      <c r="H77" s="167">
        <v>412165</v>
      </c>
      <c r="I77" s="167">
        <v>342008</v>
      </c>
      <c r="J77" s="163">
        <v>289151</v>
      </c>
      <c r="K77" s="163">
        <v>291970</v>
      </c>
      <c r="L77" s="163">
        <v>370965</v>
      </c>
      <c r="M77" s="163">
        <v>304010</v>
      </c>
      <c r="N77" s="163">
        <v>330017</v>
      </c>
      <c r="O77" s="163">
        <v>323878</v>
      </c>
      <c r="P77" s="163">
        <v>302709</v>
      </c>
      <c r="Q77" s="163">
        <v>382805</v>
      </c>
      <c r="R77" s="163">
        <v>385925</v>
      </c>
      <c r="S77" s="163">
        <v>453512</v>
      </c>
      <c r="T77" s="164">
        <v>0</v>
      </c>
      <c r="U77" s="129"/>
      <c r="V77" s="146">
        <f t="shared" si="1"/>
        <v>0</v>
      </c>
      <c r="W77" s="146">
        <f t="shared" si="2"/>
        <v>0</v>
      </c>
      <c r="X77" s="146">
        <f t="shared" si="3"/>
        <v>0</v>
      </c>
      <c r="Y77" s="146">
        <f t="shared" si="4"/>
        <v>0</v>
      </c>
      <c r="Z77" s="146">
        <f t="shared" si="5"/>
        <v>0</v>
      </c>
      <c r="AA77" s="146">
        <f t="shared" si="6"/>
        <v>0</v>
      </c>
      <c r="AB77" s="146">
        <f t="shared" si="7"/>
        <v>0</v>
      </c>
      <c r="AC77" s="146">
        <f t="shared" si="8"/>
        <v>0</v>
      </c>
      <c r="AD77" s="146">
        <f t="shared" si="9"/>
        <v>0</v>
      </c>
      <c r="AE77" s="146">
        <f t="shared" si="10"/>
        <v>0</v>
      </c>
      <c r="AF77" s="146">
        <f t="shared" si="11"/>
        <v>0</v>
      </c>
      <c r="AG77" s="146">
        <f t="shared" si="12"/>
        <v>0</v>
      </c>
      <c r="AH77" s="151">
        <f t="shared" si="13"/>
        <v>0</v>
      </c>
      <c r="AI77" s="215">
        <f t="shared" si="14"/>
        <v>0</v>
      </c>
      <c r="AK77" s="146">
        <f t="shared" si="15"/>
        <v>0</v>
      </c>
    </row>
    <row r="78" spans="1:37" x14ac:dyDescent="0.25">
      <c r="A78" s="121">
        <f t="shared" si="16"/>
        <v>72</v>
      </c>
      <c r="B78" s="159"/>
      <c r="C78" s="159" t="s">
        <v>84</v>
      </c>
      <c r="D78" s="159" t="s">
        <v>128</v>
      </c>
      <c r="E78" s="159" t="s">
        <v>113</v>
      </c>
      <c r="F78" s="150">
        <v>0</v>
      </c>
      <c r="G78" s="129"/>
      <c r="H78" s="167">
        <v>172393</v>
      </c>
      <c r="I78" s="167">
        <v>328266</v>
      </c>
      <c r="J78" s="163">
        <v>365677</v>
      </c>
      <c r="K78" s="163">
        <v>197905</v>
      </c>
      <c r="L78" s="163">
        <v>237797</v>
      </c>
      <c r="M78" s="163">
        <v>217682</v>
      </c>
      <c r="N78" s="163">
        <v>205732</v>
      </c>
      <c r="O78" s="163">
        <v>163139</v>
      </c>
      <c r="P78" s="163">
        <v>131017</v>
      </c>
      <c r="Q78" s="163">
        <v>152703</v>
      </c>
      <c r="R78" s="163">
        <v>190749</v>
      </c>
      <c r="S78" s="163">
        <v>368036</v>
      </c>
      <c r="T78" s="164">
        <v>0</v>
      </c>
      <c r="U78" s="129"/>
      <c r="V78" s="146">
        <f t="shared" si="1"/>
        <v>0</v>
      </c>
      <c r="W78" s="146">
        <f t="shared" si="2"/>
        <v>0</v>
      </c>
      <c r="X78" s="146">
        <f t="shared" si="3"/>
        <v>0</v>
      </c>
      <c r="Y78" s="146">
        <f t="shared" si="4"/>
        <v>0</v>
      </c>
      <c r="Z78" s="146">
        <f t="shared" si="5"/>
        <v>0</v>
      </c>
      <c r="AA78" s="146">
        <f t="shared" si="6"/>
        <v>0</v>
      </c>
      <c r="AB78" s="146">
        <f t="shared" si="7"/>
        <v>0</v>
      </c>
      <c r="AC78" s="146">
        <f t="shared" si="8"/>
        <v>0</v>
      </c>
      <c r="AD78" s="146">
        <f t="shared" si="9"/>
        <v>0</v>
      </c>
      <c r="AE78" s="146">
        <f t="shared" si="10"/>
        <v>0</v>
      </c>
      <c r="AF78" s="146">
        <f t="shared" si="11"/>
        <v>0</v>
      </c>
      <c r="AG78" s="146">
        <f t="shared" si="12"/>
        <v>0</v>
      </c>
      <c r="AH78" s="151">
        <f t="shared" si="13"/>
        <v>0</v>
      </c>
      <c r="AI78" s="215">
        <f t="shared" si="14"/>
        <v>0</v>
      </c>
      <c r="AK78" s="146">
        <f t="shared" si="15"/>
        <v>0</v>
      </c>
    </row>
    <row r="79" spans="1:37" x14ac:dyDescent="0.25">
      <c r="A79" s="121">
        <f t="shared" si="16"/>
        <v>73</v>
      </c>
      <c r="B79" s="160"/>
      <c r="C79" s="160" t="s">
        <v>84</v>
      </c>
      <c r="D79" s="160" t="s">
        <v>128</v>
      </c>
      <c r="E79" s="160" t="s">
        <v>114</v>
      </c>
      <c r="F79" s="149">
        <v>0</v>
      </c>
      <c r="G79" s="127"/>
      <c r="H79" s="166">
        <v>0</v>
      </c>
      <c r="I79" s="166">
        <v>0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0</v>
      </c>
      <c r="Q79" s="161">
        <v>0</v>
      </c>
      <c r="R79" s="161">
        <v>0</v>
      </c>
      <c r="S79" s="161">
        <v>0</v>
      </c>
      <c r="T79" s="162">
        <v>0</v>
      </c>
      <c r="U79" s="127"/>
      <c r="V79" s="145">
        <f t="shared" ref="V79" si="17">ROUND($F79*$H79,2)</f>
        <v>0</v>
      </c>
      <c r="W79" s="145">
        <f t="shared" ref="W79" si="18">ROUND($F79*$I79,2)</f>
        <v>0</v>
      </c>
      <c r="X79" s="145">
        <f t="shared" ref="X79" si="19">ROUND($F79*$J79,2)</f>
        <v>0</v>
      </c>
      <c r="Y79" s="145">
        <f t="shared" ref="Y79" si="20">ROUND($F79*$K79,2)</f>
        <v>0</v>
      </c>
      <c r="Z79" s="145">
        <f t="shared" ref="Z79" si="21">ROUND($F79*$L79,2)</f>
        <v>0</v>
      </c>
      <c r="AA79" s="145">
        <f t="shared" ref="AA79" si="22">ROUND($F79*$M79,2)</f>
        <v>0</v>
      </c>
      <c r="AB79" s="145">
        <f t="shared" ref="AB79" si="23">ROUND($F79*$N79,2)</f>
        <v>0</v>
      </c>
      <c r="AC79" s="145">
        <f t="shared" ref="AC79" si="24">ROUND($F79*$O79,2)</f>
        <v>0</v>
      </c>
      <c r="AD79" s="145">
        <f t="shared" ref="AD79" si="25">ROUND($F79*$P79,2)</f>
        <v>0</v>
      </c>
      <c r="AE79" s="145">
        <f t="shared" ref="AE79" si="26">ROUND($F79*$Q79,2)</f>
        <v>0</v>
      </c>
      <c r="AF79" s="145">
        <f t="shared" ref="AF79" si="27">ROUND($F79*$R79,2)</f>
        <v>0</v>
      </c>
      <c r="AG79" s="145">
        <f t="shared" ref="AG79" si="28">ROUND($F79*$S79,2)</f>
        <v>0</v>
      </c>
      <c r="AH79" s="147">
        <f t="shared" ref="AH79" si="29">ROUND($F79*$T79,2)</f>
        <v>0</v>
      </c>
      <c r="AI79" s="214">
        <f t="shared" ref="AI79" si="30">+SUM(V79:AH79)</f>
        <v>0</v>
      </c>
      <c r="AK79" s="145">
        <f t="shared" ref="AK79" si="31">AI79/(1-0.04372)</f>
        <v>0</v>
      </c>
    </row>
    <row r="80" spans="1:37" s="133" customFormat="1" x14ac:dyDescent="0.25">
      <c r="A80" s="121">
        <f t="shared" si="16"/>
        <v>74</v>
      </c>
      <c r="B80" s="120" t="s">
        <v>148</v>
      </c>
      <c r="C80" s="120"/>
      <c r="D80" s="120"/>
      <c r="E80" s="120"/>
      <c r="F80" s="152"/>
      <c r="G80" s="153"/>
      <c r="H80" s="168">
        <f>SUM(H14:H79)</f>
        <v>3433837.5</v>
      </c>
      <c r="I80" s="168">
        <f t="shared" ref="I80:T80" si="32">SUM(I14:I79)</f>
        <v>11550446.400000002</v>
      </c>
      <c r="J80" s="168">
        <f t="shared" si="32"/>
        <v>18706432.599999998</v>
      </c>
      <c r="K80" s="168">
        <f t="shared" si="32"/>
        <v>14117551.899999999</v>
      </c>
      <c r="L80" s="168">
        <f t="shared" si="32"/>
        <v>11479656.4</v>
      </c>
      <c r="M80" s="168">
        <f t="shared" si="32"/>
        <v>8554152</v>
      </c>
      <c r="N80" s="168">
        <f t="shared" si="32"/>
        <v>6523301.1000000006</v>
      </c>
      <c r="O80" s="168">
        <f t="shared" si="32"/>
        <v>4425515.3000000007</v>
      </c>
      <c r="P80" s="168">
        <f t="shared" si="32"/>
        <v>3618661.8</v>
      </c>
      <c r="Q80" s="168">
        <f t="shared" si="32"/>
        <v>3339217.5</v>
      </c>
      <c r="R80" s="168">
        <f t="shared" si="32"/>
        <v>3501379.1</v>
      </c>
      <c r="S80" s="168">
        <f t="shared" si="32"/>
        <v>5250954.8000000007</v>
      </c>
      <c r="T80" s="168">
        <f t="shared" si="32"/>
        <v>3655622.9000000004</v>
      </c>
      <c r="U80" s="153"/>
      <c r="V80" s="154">
        <f>SUM(V14:V79)</f>
        <v>-46204.580000000009</v>
      </c>
      <c r="W80" s="154">
        <f>SUM(W14:W79)</f>
        <v>-240372.94</v>
      </c>
      <c r="X80" s="154">
        <f>SUM(X14:X79)</f>
        <v>-415290.31</v>
      </c>
      <c r="Y80" s="154">
        <f>SUM(Y14:Y79)</f>
        <v>-311707.26999999996</v>
      </c>
      <c r="Z80" s="154">
        <f>SUM(Z14:Z79)</f>
        <v>-241358.66999999998</v>
      </c>
      <c r="AA80" s="154">
        <f t="shared" ref="AA80:AI80" si="33">SUM(AA14:AA79)</f>
        <v>-171859.47</v>
      </c>
      <c r="AB80" s="154">
        <f t="shared" si="33"/>
        <v>-122246.58</v>
      </c>
      <c r="AC80" s="154">
        <f t="shared" si="33"/>
        <v>-73486.359999999986</v>
      </c>
      <c r="AD80" s="154">
        <f t="shared" si="33"/>
        <v>-54113.049999999996</v>
      </c>
      <c r="AE80" s="154">
        <f t="shared" si="33"/>
        <v>-44673.759999999995</v>
      </c>
      <c r="AF80" s="154">
        <f t="shared" si="33"/>
        <v>-48086.34</v>
      </c>
      <c r="AG80" s="154">
        <f t="shared" si="33"/>
        <v>-80130.570000000007</v>
      </c>
      <c r="AH80" s="155">
        <f t="shared" si="33"/>
        <v>-89195.83</v>
      </c>
      <c r="AI80" s="154">
        <f t="shared" si="33"/>
        <v>-1938725.73</v>
      </c>
      <c r="AK80" s="154">
        <f t="shared" ref="AK80" si="34">SUM(AK14:AK79)</f>
        <v>-2027361.9964863844</v>
      </c>
    </row>
    <row r="81" spans="1:37" x14ac:dyDescent="0.25">
      <c r="A81" s="121">
        <f t="shared" si="16"/>
        <v>75</v>
      </c>
      <c r="F81" s="141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</row>
    <row r="82" spans="1:37" x14ac:dyDescent="0.25">
      <c r="A82" s="121">
        <f t="shared" si="16"/>
        <v>76</v>
      </c>
      <c r="F82" s="141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AK82" s="206"/>
    </row>
    <row r="83" spans="1:37" x14ac:dyDescent="0.25">
      <c r="A83" s="121">
        <f t="shared" si="16"/>
        <v>77</v>
      </c>
      <c r="B83" s="120" t="s">
        <v>231</v>
      </c>
      <c r="F83" s="141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37" x14ac:dyDescent="0.25">
      <c r="A84" s="121">
        <f t="shared" si="16"/>
        <v>78</v>
      </c>
      <c r="B84" s="157" t="s">
        <v>232</v>
      </c>
      <c r="C84" s="207"/>
      <c r="D84" s="207"/>
      <c r="E84" s="207"/>
      <c r="F84" s="208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10">
        <f t="shared" ref="V84:AG84" si="35">+V14</f>
        <v>-205.42</v>
      </c>
      <c r="W84" s="210">
        <f t="shared" si="35"/>
        <v>-1085.32</v>
      </c>
      <c r="X84" s="210">
        <f t="shared" si="35"/>
        <v>-1836.87</v>
      </c>
      <c r="Y84" s="210">
        <f t="shared" si="35"/>
        <v>-1387.63</v>
      </c>
      <c r="Z84" s="210">
        <f t="shared" si="35"/>
        <v>-1059.69</v>
      </c>
      <c r="AA84" s="210">
        <f t="shared" si="35"/>
        <v>-753.18</v>
      </c>
      <c r="AB84" s="210">
        <f t="shared" si="35"/>
        <v>-557.82000000000005</v>
      </c>
      <c r="AC84" s="210">
        <f t="shared" si="35"/>
        <v>-412.44</v>
      </c>
      <c r="AD84" s="210">
        <f t="shared" si="35"/>
        <v>-299.91000000000003</v>
      </c>
      <c r="AE84" s="210">
        <f t="shared" si="35"/>
        <v>-234.6</v>
      </c>
      <c r="AF84" s="210">
        <f t="shared" si="35"/>
        <v>-250.23</v>
      </c>
      <c r="AG84" s="210">
        <f t="shared" si="35"/>
        <v>-403.38</v>
      </c>
      <c r="AH84" s="210">
        <f>+SUM(AH14)</f>
        <v>-434.76</v>
      </c>
      <c r="AI84" s="216">
        <f t="shared" ref="AI84:AI89" si="36">+AI14</f>
        <v>-8921.25</v>
      </c>
      <c r="AK84" s="210">
        <f t="shared" ref="AK84:AK89" si="37">+AK14</f>
        <v>-9329.1190864600321</v>
      </c>
    </row>
    <row r="85" spans="1:37" x14ac:dyDescent="0.25">
      <c r="A85" s="121">
        <f t="shared" si="16"/>
        <v>79</v>
      </c>
      <c r="B85" s="157" t="s">
        <v>233</v>
      </c>
      <c r="C85" s="207"/>
      <c r="D85" s="207"/>
      <c r="E85" s="207"/>
      <c r="F85" s="208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10">
        <f t="shared" ref="V85:AG85" si="38">+V15</f>
        <v>-13.12</v>
      </c>
      <c r="W85" s="210">
        <f t="shared" si="38"/>
        <v>-108.66</v>
      </c>
      <c r="X85" s="210">
        <f t="shared" si="38"/>
        <v>-305.05</v>
      </c>
      <c r="Y85" s="210">
        <f t="shared" si="38"/>
        <v>-198.44</v>
      </c>
      <c r="Z85" s="210">
        <f t="shared" si="38"/>
        <v>-133</v>
      </c>
      <c r="AA85" s="210">
        <f t="shared" si="38"/>
        <v>-80.67</v>
      </c>
      <c r="AB85" s="210">
        <f t="shared" si="38"/>
        <v>-82.56</v>
      </c>
      <c r="AC85" s="210">
        <f t="shared" si="38"/>
        <v>-73.14</v>
      </c>
      <c r="AD85" s="210">
        <f t="shared" si="38"/>
        <v>-66.08</v>
      </c>
      <c r="AE85" s="210">
        <f t="shared" si="38"/>
        <v>-57.84</v>
      </c>
      <c r="AF85" s="210">
        <f t="shared" si="38"/>
        <v>-67.239999999999995</v>
      </c>
      <c r="AG85" s="210">
        <f t="shared" si="38"/>
        <v>-60.23</v>
      </c>
      <c r="AH85" s="210">
        <f t="shared" ref="AH85:AH89" si="39">+SUM(AH15)</f>
        <v>-48.04</v>
      </c>
      <c r="AI85" s="216">
        <f t="shared" si="36"/>
        <v>-1294.07</v>
      </c>
      <c r="AK85" s="210">
        <f t="shared" si="37"/>
        <v>-1353.2333626134605</v>
      </c>
    </row>
    <row r="86" spans="1:37" x14ac:dyDescent="0.25">
      <c r="A86" s="121">
        <f t="shared" si="16"/>
        <v>80</v>
      </c>
      <c r="B86" s="157">
        <v>2</v>
      </c>
      <c r="C86" s="207"/>
      <c r="D86" s="207"/>
      <c r="E86" s="207"/>
      <c r="F86" s="208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10">
        <f t="shared" ref="V86:AG86" si="40">+V16</f>
        <v>-34914.14</v>
      </c>
      <c r="W86" s="210">
        <f t="shared" si="40"/>
        <v>-182024.28</v>
      </c>
      <c r="X86" s="210">
        <f t="shared" si="40"/>
        <v>-310136.95</v>
      </c>
      <c r="Y86" s="210">
        <f t="shared" si="40"/>
        <v>-230568.05</v>
      </c>
      <c r="Z86" s="210">
        <f t="shared" si="40"/>
        <v>-178322.82</v>
      </c>
      <c r="AA86" s="210">
        <f t="shared" si="40"/>
        <v>-127040.57</v>
      </c>
      <c r="AB86" s="210">
        <f t="shared" si="40"/>
        <v>-88214.19</v>
      </c>
      <c r="AC86" s="210">
        <f t="shared" si="40"/>
        <v>-50966.25</v>
      </c>
      <c r="AD86" s="210">
        <f t="shared" si="40"/>
        <v>-36218.449999999997</v>
      </c>
      <c r="AE86" s="210">
        <f t="shared" si="40"/>
        <v>-29720.85</v>
      </c>
      <c r="AF86" s="210">
        <f t="shared" si="40"/>
        <v>-32388.77</v>
      </c>
      <c r="AG86" s="210">
        <f t="shared" si="40"/>
        <v>-58207.24</v>
      </c>
      <c r="AH86" s="210">
        <f t="shared" si="39"/>
        <v>-66211.72</v>
      </c>
      <c r="AI86" s="216">
        <f t="shared" si="36"/>
        <v>-1424934.28</v>
      </c>
      <c r="AK86" s="210">
        <f t="shared" si="37"/>
        <v>-1490080.6040071945</v>
      </c>
    </row>
    <row r="87" spans="1:37" x14ac:dyDescent="0.25">
      <c r="A87" s="121">
        <f t="shared" si="16"/>
        <v>81</v>
      </c>
      <c r="B87" s="158" t="s">
        <v>234</v>
      </c>
      <c r="C87" s="207"/>
      <c r="D87" s="207"/>
      <c r="E87" s="207"/>
      <c r="F87" s="208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10">
        <f t="shared" ref="V87:AG87" si="41">+V17</f>
        <v>-8326.69</v>
      </c>
      <c r="W87" s="210">
        <f t="shared" si="41"/>
        <v>-47410.89</v>
      </c>
      <c r="X87" s="210">
        <f t="shared" si="41"/>
        <v>-88406.32</v>
      </c>
      <c r="Y87" s="210">
        <f t="shared" si="41"/>
        <v>-68488.75</v>
      </c>
      <c r="Z87" s="210">
        <f t="shared" si="41"/>
        <v>-52680.46</v>
      </c>
      <c r="AA87" s="210">
        <f t="shared" si="41"/>
        <v>-36440.44</v>
      </c>
      <c r="AB87" s="210">
        <f t="shared" si="41"/>
        <v>-27420.32</v>
      </c>
      <c r="AC87" s="210">
        <f t="shared" si="41"/>
        <v>-17706.5</v>
      </c>
      <c r="AD87" s="210">
        <f t="shared" si="41"/>
        <v>-14091.4</v>
      </c>
      <c r="AE87" s="210">
        <f t="shared" si="41"/>
        <v>-11465.25</v>
      </c>
      <c r="AF87" s="210">
        <f t="shared" si="41"/>
        <v>-12071.96</v>
      </c>
      <c r="AG87" s="210">
        <f t="shared" si="41"/>
        <v>-16578.900000000001</v>
      </c>
      <c r="AH87" s="210">
        <f t="shared" si="39"/>
        <v>-18313.599999999999</v>
      </c>
      <c r="AI87" s="216">
        <f t="shared" si="36"/>
        <v>-419401.4800000001</v>
      </c>
      <c r="AK87" s="210">
        <f t="shared" si="37"/>
        <v>-438576.02375873184</v>
      </c>
    </row>
    <row r="88" spans="1:37" x14ac:dyDescent="0.25">
      <c r="A88" s="121">
        <f t="shared" si="16"/>
        <v>82</v>
      </c>
      <c r="B88" s="158" t="s">
        <v>235</v>
      </c>
      <c r="C88" s="207"/>
      <c r="D88" s="207"/>
      <c r="E88" s="207"/>
      <c r="F88" s="208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10">
        <f t="shared" ref="V88:AG88" si="42">+V18</f>
        <v>0</v>
      </c>
      <c r="W88" s="210">
        <f t="shared" si="42"/>
        <v>0</v>
      </c>
      <c r="X88" s="210">
        <f t="shared" si="42"/>
        <v>0</v>
      </c>
      <c r="Y88" s="210">
        <f t="shared" si="42"/>
        <v>0</v>
      </c>
      <c r="Z88" s="210">
        <f t="shared" si="42"/>
        <v>0</v>
      </c>
      <c r="AA88" s="210">
        <f t="shared" si="42"/>
        <v>0</v>
      </c>
      <c r="AB88" s="210">
        <f t="shared" si="42"/>
        <v>0</v>
      </c>
      <c r="AC88" s="210">
        <f t="shared" si="42"/>
        <v>0</v>
      </c>
      <c r="AD88" s="210">
        <f t="shared" si="42"/>
        <v>0</v>
      </c>
      <c r="AE88" s="210">
        <f t="shared" si="42"/>
        <v>0</v>
      </c>
      <c r="AF88" s="210">
        <f t="shared" si="42"/>
        <v>0</v>
      </c>
      <c r="AG88" s="210">
        <f t="shared" si="42"/>
        <v>0</v>
      </c>
      <c r="AH88" s="210">
        <f t="shared" si="39"/>
        <v>0</v>
      </c>
      <c r="AI88" s="216">
        <f t="shared" si="36"/>
        <v>0</v>
      </c>
      <c r="AK88" s="210">
        <f t="shared" si="37"/>
        <v>0</v>
      </c>
    </row>
    <row r="89" spans="1:37" x14ac:dyDescent="0.25">
      <c r="A89" s="121">
        <f t="shared" si="16"/>
        <v>83</v>
      </c>
      <c r="B89" s="157">
        <v>27</v>
      </c>
      <c r="C89" s="207"/>
      <c r="D89" s="207"/>
      <c r="E89" s="207"/>
      <c r="F89" s="208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10">
        <f t="shared" ref="V89:AG89" si="43">+V19</f>
        <v>-309.33</v>
      </c>
      <c r="W89" s="210">
        <f t="shared" si="43"/>
        <v>-1325.28</v>
      </c>
      <c r="X89" s="210">
        <f t="shared" si="43"/>
        <v>-1883.12</v>
      </c>
      <c r="Y89" s="210">
        <f t="shared" si="43"/>
        <v>-1452.42</v>
      </c>
      <c r="Z89" s="210">
        <f t="shared" si="43"/>
        <v>-1257.53</v>
      </c>
      <c r="AA89" s="210">
        <f t="shared" si="43"/>
        <v>-1000.1</v>
      </c>
      <c r="AB89" s="210">
        <f t="shared" si="43"/>
        <v>-683.18</v>
      </c>
      <c r="AC89" s="210">
        <f t="shared" si="43"/>
        <v>-295.2</v>
      </c>
      <c r="AD89" s="210">
        <f t="shared" si="43"/>
        <v>-84.93</v>
      </c>
      <c r="AE89" s="210">
        <f t="shared" si="43"/>
        <v>-30.88</v>
      </c>
      <c r="AF89" s="210">
        <f t="shared" si="43"/>
        <v>-35.409999999999997</v>
      </c>
      <c r="AG89" s="210">
        <f t="shared" si="43"/>
        <v>-338.28</v>
      </c>
      <c r="AH89" s="210">
        <f t="shared" si="39"/>
        <v>-463.22</v>
      </c>
      <c r="AI89" s="216">
        <f t="shared" si="36"/>
        <v>-9158.8799999999992</v>
      </c>
      <c r="AK89" s="210">
        <f t="shared" si="37"/>
        <v>-9577.6132513489756</v>
      </c>
    </row>
    <row r="90" spans="1:37" x14ac:dyDescent="0.25">
      <c r="A90" s="121">
        <f t="shared" si="16"/>
        <v>84</v>
      </c>
      <c r="B90" s="157" t="s">
        <v>95</v>
      </c>
      <c r="C90" s="207"/>
      <c r="D90" s="207"/>
      <c r="E90" s="207"/>
      <c r="F90" s="208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10">
        <f t="shared" ref="V90:AI90" si="44">+SUM(V20:V21)</f>
        <v>-1547.78</v>
      </c>
      <c r="W90" s="210">
        <f t="shared" si="44"/>
        <v>-6728.59</v>
      </c>
      <c r="X90" s="210">
        <f t="shared" si="44"/>
        <v>-10596.98</v>
      </c>
      <c r="Y90" s="210">
        <f t="shared" si="44"/>
        <v>-7993.9699999999993</v>
      </c>
      <c r="Z90" s="210">
        <f t="shared" si="44"/>
        <v>-6611.82</v>
      </c>
      <c r="AA90" s="210">
        <f t="shared" si="44"/>
        <v>-5394.41</v>
      </c>
      <c r="AB90" s="210">
        <f t="shared" si="44"/>
        <v>-4306.57</v>
      </c>
      <c r="AC90" s="210">
        <f t="shared" si="44"/>
        <v>-3223.21</v>
      </c>
      <c r="AD90" s="210">
        <f t="shared" si="44"/>
        <v>-2665.8799999999997</v>
      </c>
      <c r="AE90" s="210">
        <f t="shared" si="44"/>
        <v>-2341.4499999999998</v>
      </c>
      <c r="AF90" s="210">
        <f t="shared" si="44"/>
        <v>-2438.81</v>
      </c>
      <c r="AG90" s="210">
        <f t="shared" si="44"/>
        <v>-3391.78</v>
      </c>
      <c r="AH90" s="210">
        <f t="shared" si="44"/>
        <v>-3248.9100000000003</v>
      </c>
      <c r="AI90" s="216">
        <f t="shared" si="44"/>
        <v>-60490.159999999989</v>
      </c>
      <c r="AK90" s="210">
        <f>+SUM(AK20:AK21)</f>
        <v>-63255.699167607803</v>
      </c>
    </row>
    <row r="91" spans="1:37" x14ac:dyDescent="0.25">
      <c r="A91" s="121">
        <f t="shared" si="16"/>
        <v>85</v>
      </c>
      <c r="B91" s="157" t="s">
        <v>99</v>
      </c>
      <c r="C91" s="207"/>
      <c r="D91" s="207"/>
      <c r="E91" s="207"/>
      <c r="F91" s="208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10">
        <f t="shared" ref="V91:AI91" si="45">+SUM(V22:V23)</f>
        <v>0</v>
      </c>
      <c r="W91" s="210">
        <f t="shared" si="45"/>
        <v>0</v>
      </c>
      <c r="X91" s="210">
        <f t="shared" si="45"/>
        <v>0</v>
      </c>
      <c r="Y91" s="210">
        <f t="shared" si="45"/>
        <v>0</v>
      </c>
      <c r="Z91" s="210">
        <f t="shared" si="45"/>
        <v>0</v>
      </c>
      <c r="AA91" s="210">
        <f t="shared" si="45"/>
        <v>0</v>
      </c>
      <c r="AB91" s="210">
        <f t="shared" si="45"/>
        <v>0</v>
      </c>
      <c r="AC91" s="210">
        <f t="shared" si="45"/>
        <v>0</v>
      </c>
      <c r="AD91" s="210">
        <f t="shared" si="45"/>
        <v>0</v>
      </c>
      <c r="AE91" s="210">
        <f t="shared" si="45"/>
        <v>0</v>
      </c>
      <c r="AF91" s="210">
        <f t="shared" si="45"/>
        <v>0</v>
      </c>
      <c r="AG91" s="210">
        <f t="shared" si="45"/>
        <v>0</v>
      </c>
      <c r="AH91" s="210">
        <f t="shared" si="45"/>
        <v>0</v>
      </c>
      <c r="AI91" s="216">
        <f t="shared" si="45"/>
        <v>0</v>
      </c>
      <c r="AK91" s="210">
        <f>+SUM(AK22:AK23)</f>
        <v>0</v>
      </c>
    </row>
    <row r="92" spans="1:37" x14ac:dyDescent="0.25">
      <c r="A92" s="121">
        <f t="shared" si="16"/>
        <v>86</v>
      </c>
      <c r="B92" s="157" t="s">
        <v>103</v>
      </c>
      <c r="C92" s="207"/>
      <c r="D92" s="207"/>
      <c r="E92" s="207"/>
      <c r="F92" s="208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10">
        <f t="shared" ref="V92:AI92" si="46">+SUM(V26:V27)</f>
        <v>0</v>
      </c>
      <c r="W92" s="210">
        <f t="shared" si="46"/>
        <v>0</v>
      </c>
      <c r="X92" s="210">
        <f t="shared" si="46"/>
        <v>0</v>
      </c>
      <c r="Y92" s="210">
        <f t="shared" si="46"/>
        <v>0</v>
      </c>
      <c r="Z92" s="210">
        <f t="shared" si="46"/>
        <v>0</v>
      </c>
      <c r="AA92" s="210">
        <f t="shared" si="46"/>
        <v>0</v>
      </c>
      <c r="AB92" s="210">
        <f t="shared" si="46"/>
        <v>0</v>
      </c>
      <c r="AC92" s="210">
        <f t="shared" si="46"/>
        <v>0</v>
      </c>
      <c r="AD92" s="210">
        <f t="shared" si="46"/>
        <v>0</v>
      </c>
      <c r="AE92" s="210">
        <f t="shared" si="46"/>
        <v>0</v>
      </c>
      <c r="AF92" s="210">
        <f t="shared" si="46"/>
        <v>0</v>
      </c>
      <c r="AG92" s="210">
        <f t="shared" si="46"/>
        <v>0</v>
      </c>
      <c r="AH92" s="210">
        <f t="shared" si="46"/>
        <v>0</v>
      </c>
      <c r="AI92" s="216">
        <f t="shared" si="46"/>
        <v>0</v>
      </c>
      <c r="AK92" s="210">
        <f>+SUM(AK26:AK27)</f>
        <v>0</v>
      </c>
    </row>
    <row r="93" spans="1:37" x14ac:dyDescent="0.25">
      <c r="A93" s="121">
        <f t="shared" si="16"/>
        <v>87</v>
      </c>
      <c r="B93" s="157" t="s">
        <v>109</v>
      </c>
      <c r="C93" s="207"/>
      <c r="D93" s="207"/>
      <c r="E93" s="207"/>
      <c r="F93" s="208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10">
        <f t="shared" ref="V93:AI93" si="47">+SUM(V32:V37)</f>
        <v>-323.83000000000004</v>
      </c>
      <c r="W93" s="210">
        <f t="shared" si="47"/>
        <v>-997.44</v>
      </c>
      <c r="X93" s="210">
        <f t="shared" si="47"/>
        <v>-1303.75</v>
      </c>
      <c r="Y93" s="210">
        <f t="shared" si="47"/>
        <v>-930.9899999999999</v>
      </c>
      <c r="Z93" s="210">
        <f t="shared" si="47"/>
        <v>-757.54</v>
      </c>
      <c r="AA93" s="210">
        <f t="shared" si="47"/>
        <v>-580.78</v>
      </c>
      <c r="AB93" s="210">
        <f t="shared" si="47"/>
        <v>-481.84000000000003</v>
      </c>
      <c r="AC93" s="210">
        <f t="shared" si="47"/>
        <v>-339.62</v>
      </c>
      <c r="AD93" s="210">
        <f t="shared" si="47"/>
        <v>-232.69</v>
      </c>
      <c r="AE93" s="210">
        <f t="shared" si="47"/>
        <v>-404.33</v>
      </c>
      <c r="AF93" s="210">
        <f t="shared" si="47"/>
        <v>-390.64</v>
      </c>
      <c r="AG93" s="210">
        <f t="shared" si="47"/>
        <v>-595.64</v>
      </c>
      <c r="AH93" s="210">
        <f t="shared" si="47"/>
        <v>-475.58000000000004</v>
      </c>
      <c r="AI93" s="216">
        <f t="shared" si="47"/>
        <v>-7814.6699999999992</v>
      </c>
      <c r="AK93" s="210">
        <f>+SUM(AK32:AK37)</f>
        <v>-8171.9475467436314</v>
      </c>
    </row>
    <row r="94" spans="1:37" x14ac:dyDescent="0.25">
      <c r="A94" s="121">
        <f t="shared" si="16"/>
        <v>88</v>
      </c>
      <c r="B94" s="157" t="s">
        <v>121</v>
      </c>
      <c r="C94" s="207"/>
      <c r="D94" s="207"/>
      <c r="E94" s="207"/>
      <c r="F94" s="208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10">
        <f t="shared" ref="V94:AI94" si="48">+SUM(V56:V61)</f>
        <v>-564.27</v>
      </c>
      <c r="W94" s="210">
        <f t="shared" si="48"/>
        <v>-692.48</v>
      </c>
      <c r="X94" s="210">
        <f t="shared" si="48"/>
        <v>-821.27</v>
      </c>
      <c r="Y94" s="210">
        <f t="shared" si="48"/>
        <v>-687.02</v>
      </c>
      <c r="Z94" s="210">
        <f t="shared" si="48"/>
        <v>-535.80999999999995</v>
      </c>
      <c r="AA94" s="210">
        <f t="shared" si="48"/>
        <v>-569.32000000000005</v>
      </c>
      <c r="AB94" s="210">
        <f t="shared" si="48"/>
        <v>-500.1</v>
      </c>
      <c r="AC94" s="210">
        <f t="shared" si="48"/>
        <v>-470</v>
      </c>
      <c r="AD94" s="210">
        <f t="shared" si="48"/>
        <v>-453.71</v>
      </c>
      <c r="AE94" s="210">
        <f t="shared" si="48"/>
        <v>-418.56</v>
      </c>
      <c r="AF94" s="210">
        <f t="shared" si="48"/>
        <v>-443.28</v>
      </c>
      <c r="AG94" s="210">
        <f t="shared" si="48"/>
        <v>-555.12000000000012</v>
      </c>
      <c r="AH94" s="210">
        <f t="shared" si="48"/>
        <v>0</v>
      </c>
      <c r="AI94" s="216">
        <f t="shared" si="48"/>
        <v>-6710.94</v>
      </c>
      <c r="AK94" s="210">
        <f>+SUM(AK56:AK61)</f>
        <v>-7017.7563056845274</v>
      </c>
    </row>
    <row r="95" spans="1:37" x14ac:dyDescent="0.25">
      <c r="A95" s="121">
        <f t="shared" si="16"/>
        <v>89</v>
      </c>
      <c r="B95" s="120" t="s">
        <v>148</v>
      </c>
      <c r="F95" s="141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54">
        <f>SUM(V84:V94)</f>
        <v>-46204.58</v>
      </c>
      <c r="W95" s="154">
        <f t="shared" ref="W95:AI95" si="49">SUM(W84:W94)</f>
        <v>-240372.94000000003</v>
      </c>
      <c r="X95" s="154">
        <f t="shared" si="49"/>
        <v>-415290.31</v>
      </c>
      <c r="Y95" s="154">
        <f t="shared" si="49"/>
        <v>-311707.26999999996</v>
      </c>
      <c r="Z95" s="154">
        <f t="shared" si="49"/>
        <v>-241358.67</v>
      </c>
      <c r="AA95" s="154">
        <f t="shared" si="49"/>
        <v>-171859.47000000003</v>
      </c>
      <c r="AB95" s="154">
        <f t="shared" si="49"/>
        <v>-122246.58000000002</v>
      </c>
      <c r="AC95" s="154">
        <f t="shared" si="49"/>
        <v>-73486.36</v>
      </c>
      <c r="AD95" s="154">
        <f t="shared" si="49"/>
        <v>-54113.049999999996</v>
      </c>
      <c r="AE95" s="154">
        <f t="shared" si="49"/>
        <v>-44673.759999999987</v>
      </c>
      <c r="AF95" s="154">
        <f t="shared" si="49"/>
        <v>-48086.34</v>
      </c>
      <c r="AG95" s="154">
        <f t="shared" si="49"/>
        <v>-80130.569999999992</v>
      </c>
      <c r="AH95" s="154">
        <f t="shared" si="49"/>
        <v>-89195.83</v>
      </c>
      <c r="AI95" s="154">
        <f t="shared" si="49"/>
        <v>-1938725.7299999997</v>
      </c>
      <c r="AK95" s="206">
        <f t="shared" ref="AK95" si="50">SUM(AK84:AK94)</f>
        <v>-2027361.9964863847</v>
      </c>
    </row>
    <row r="96" spans="1:37" x14ac:dyDescent="0.25">
      <c r="F96" s="141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</row>
    <row r="97" spans="6:21" x14ac:dyDescent="0.25">
      <c r="F97" s="141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</row>
    <row r="98" spans="6:21" x14ac:dyDescent="0.25">
      <c r="F98" s="141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</row>
    <row r="99" spans="6:21" x14ac:dyDescent="0.25">
      <c r="F99" s="141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</row>
    <row r="100" spans="6:21" x14ac:dyDescent="0.25">
      <c r="F100" s="141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</row>
    <row r="101" spans="6:21" x14ac:dyDescent="0.25">
      <c r="F101" s="141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</row>
    <row r="102" spans="6:21" x14ac:dyDescent="0.25">
      <c r="F102" s="141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</row>
    <row r="103" spans="6:21" x14ac:dyDescent="0.25">
      <c r="F103" s="141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</row>
    <row r="104" spans="6:21" x14ac:dyDescent="0.25">
      <c r="F104" s="141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</row>
    <row r="105" spans="6:21" x14ac:dyDescent="0.25">
      <c r="F105" s="141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</row>
    <row r="106" spans="6:21" x14ac:dyDescent="0.25">
      <c r="F106" s="141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</row>
    <row r="107" spans="6:21" x14ac:dyDescent="0.25">
      <c r="F107" s="141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</row>
    <row r="108" spans="6:21" x14ac:dyDescent="0.25">
      <c r="F108" s="141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</row>
    <row r="109" spans="6:21" x14ac:dyDescent="0.25">
      <c r="F109" s="141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</row>
    <row r="110" spans="6:21" x14ac:dyDescent="0.25">
      <c r="F110" s="141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</row>
    <row r="111" spans="6:21" x14ac:dyDescent="0.25">
      <c r="F111" s="141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</row>
    <row r="112" spans="6:21" x14ac:dyDescent="0.25">
      <c r="F112" s="141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</row>
    <row r="113" spans="6:21" x14ac:dyDescent="0.25">
      <c r="F113" s="141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</row>
    <row r="114" spans="6:21" x14ac:dyDescent="0.25">
      <c r="F114" s="141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</row>
    <row r="115" spans="6:21" x14ac:dyDescent="0.25">
      <c r="F115" s="141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</row>
    <row r="116" spans="6:21" x14ac:dyDescent="0.25">
      <c r="F116" s="141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</row>
    <row r="117" spans="6:21" x14ac:dyDescent="0.25">
      <c r="F117" s="141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</row>
    <row r="118" spans="6:21" x14ac:dyDescent="0.25">
      <c r="F118" s="141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</row>
    <row r="119" spans="6:21" x14ac:dyDescent="0.25">
      <c r="F119" s="141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</row>
    <row r="120" spans="6:21" x14ac:dyDescent="0.25">
      <c r="F120" s="141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</row>
    <row r="121" spans="6:21" x14ac:dyDescent="0.25">
      <c r="F121" s="141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6:21" x14ac:dyDescent="0.25">
      <c r="F122" s="14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6:21" x14ac:dyDescent="0.25">
      <c r="F123" s="141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6:21" x14ac:dyDescent="0.25">
      <c r="F124" s="141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  <row r="125" spans="6:21" x14ac:dyDescent="0.25">
      <c r="F125" s="141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</row>
    <row r="126" spans="6:21" x14ac:dyDescent="0.25">
      <c r="F126" s="141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</row>
    <row r="127" spans="6:21" x14ac:dyDescent="0.25">
      <c r="F127" s="141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</row>
    <row r="128" spans="6:21" x14ac:dyDescent="0.25">
      <c r="F128" s="141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</row>
    <row r="129" spans="6:21" x14ac:dyDescent="0.25">
      <c r="F129" s="141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</row>
    <row r="130" spans="6:21" x14ac:dyDescent="0.25">
      <c r="F130" s="141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</row>
    <row r="131" spans="6:21" x14ac:dyDescent="0.25">
      <c r="F131" s="141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</row>
    <row r="132" spans="6:21" x14ac:dyDescent="0.25">
      <c r="F132" s="141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</row>
    <row r="133" spans="6:21" x14ac:dyDescent="0.25">
      <c r="F133" s="141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</row>
    <row r="134" spans="6:21" x14ac:dyDescent="0.25">
      <c r="F134" s="141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</row>
    <row r="135" spans="6:21" x14ac:dyDescent="0.25">
      <c r="F135" s="141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</row>
    <row r="136" spans="6:21" x14ac:dyDescent="0.25">
      <c r="F136" s="141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6:21" x14ac:dyDescent="0.25">
      <c r="F137" s="141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</row>
    <row r="138" spans="6:21" x14ac:dyDescent="0.25">
      <c r="F138" s="141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</row>
    <row r="139" spans="6:21" x14ac:dyDescent="0.25">
      <c r="F139" s="141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</row>
    <row r="140" spans="6:21" x14ac:dyDescent="0.25">
      <c r="F140" s="141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</row>
    <row r="141" spans="6:21" x14ac:dyDescent="0.25">
      <c r="F141" s="141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</row>
    <row r="142" spans="6:21" x14ac:dyDescent="0.25">
      <c r="F142" s="141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</row>
    <row r="143" spans="6:21" x14ac:dyDescent="0.25">
      <c r="F143" s="141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</row>
    <row r="144" spans="6:21" x14ac:dyDescent="0.25">
      <c r="F144" s="141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</row>
    <row r="145" spans="6:21" x14ac:dyDescent="0.25">
      <c r="F145" s="141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</row>
    <row r="146" spans="6:21" x14ac:dyDescent="0.25">
      <c r="F146" s="141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</row>
    <row r="147" spans="6:21" x14ac:dyDescent="0.25">
      <c r="F147" s="141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</row>
    <row r="148" spans="6:21" x14ac:dyDescent="0.25">
      <c r="F148" s="141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</row>
    <row r="149" spans="6:21" x14ac:dyDescent="0.25">
      <c r="F149" s="141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</row>
    <row r="150" spans="6:21" x14ac:dyDescent="0.25">
      <c r="F150" s="141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</row>
    <row r="151" spans="6:21" x14ac:dyDescent="0.25">
      <c r="F151" s="141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</row>
    <row r="152" spans="6:21" x14ac:dyDescent="0.25">
      <c r="F152" s="141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</row>
    <row r="153" spans="6:21" x14ac:dyDescent="0.25">
      <c r="F153" s="141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</row>
    <row r="154" spans="6:21" x14ac:dyDescent="0.25">
      <c r="F154" s="141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</row>
    <row r="155" spans="6:21" x14ac:dyDescent="0.25">
      <c r="F155" s="141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</row>
    <row r="156" spans="6:21" x14ac:dyDescent="0.25">
      <c r="F156" s="141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</row>
  </sheetData>
  <mergeCells count="4">
    <mergeCell ref="H10:T10"/>
    <mergeCell ref="V10:AH10"/>
    <mergeCell ref="H11:T11"/>
    <mergeCell ref="V11:AH11"/>
  </mergeCells>
  <printOptions horizontalCentered="1" verticalCentered="1"/>
  <pageMargins left="0" right="0" top="0" bottom="0" header="0" footer="0.5"/>
  <pageSetup scale="55" orientation="portrait" r:id="rId1"/>
  <headerFooter alignWithMargins="0"/>
  <colBreaks count="2" manualBreakCount="2">
    <brk id="6" max="150" man="1"/>
    <brk id="2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6"/>
  <sheetViews>
    <sheetView workbookViewId="0">
      <selection activeCell="H101" sqref="H101"/>
    </sheetView>
  </sheetViews>
  <sheetFormatPr defaultColWidth="8.88671875" defaultRowHeight="13.2" x14ac:dyDescent="0.25"/>
  <cols>
    <col min="1" max="1" width="4.33203125" style="112" customWidth="1"/>
    <col min="2" max="2" width="17.44140625" style="114" customWidth="1"/>
    <col min="3" max="4" width="8" style="114" customWidth="1"/>
    <col min="5" max="5" width="9.109375" style="114" customWidth="1"/>
    <col min="6" max="6" width="14.109375" style="139" customWidth="1"/>
    <col min="7" max="7" width="3.88671875" style="112" customWidth="1"/>
    <col min="8" max="20" width="16.109375" style="112" customWidth="1"/>
    <col min="21" max="21" width="3.88671875" style="112" customWidth="1"/>
    <col min="22" max="32" width="16.109375" style="112" customWidth="1"/>
    <col min="33" max="33" width="19" style="112" customWidth="1"/>
    <col min="34" max="34" width="16.109375" style="112" customWidth="1"/>
    <col min="35" max="35" width="18.44140625" style="112" customWidth="1"/>
    <col min="36" max="36" width="11" style="112" customWidth="1"/>
    <col min="37" max="37" width="18.6640625" style="112" customWidth="1"/>
    <col min="38" max="46" width="11" style="112" customWidth="1"/>
    <col min="47" max="16384" width="8.88671875" style="112"/>
  </cols>
  <sheetData>
    <row r="1" spans="1:37" ht="13.8" x14ac:dyDescent="0.25">
      <c r="B1" s="113" t="s">
        <v>77</v>
      </c>
    </row>
    <row r="2" spans="1:37" ht="13.8" x14ac:dyDescent="0.25">
      <c r="B2" s="113" t="s">
        <v>78</v>
      </c>
    </row>
    <row r="3" spans="1:37" ht="13.8" x14ac:dyDescent="0.25">
      <c r="B3" s="217" t="s">
        <v>291</v>
      </c>
    </row>
    <row r="4" spans="1:37" ht="13.8" x14ac:dyDescent="0.25">
      <c r="B4" s="113" t="s">
        <v>131</v>
      </c>
    </row>
    <row r="5" spans="1:37" x14ac:dyDescent="0.25">
      <c r="B5" s="116"/>
    </row>
    <row r="7" spans="1:37" x14ac:dyDescent="0.25">
      <c r="A7" s="117">
        <v>1</v>
      </c>
      <c r="B7" s="156" t="s">
        <v>80</v>
      </c>
      <c r="C7" s="118"/>
      <c r="D7" s="118"/>
      <c r="F7" s="119"/>
    </row>
    <row r="8" spans="1:37" x14ac:dyDescent="0.25">
      <c r="A8" s="117">
        <f t="shared" ref="A8:A71" si="0">+A7+1</f>
        <v>2</v>
      </c>
      <c r="B8" s="120"/>
      <c r="C8" s="120"/>
      <c r="D8" s="120"/>
      <c r="F8" s="119"/>
    </row>
    <row r="9" spans="1:37" x14ac:dyDescent="0.25">
      <c r="A9" s="121">
        <f t="shared" si="0"/>
        <v>3</v>
      </c>
      <c r="B9" s="122"/>
      <c r="C9" s="122"/>
      <c r="D9" s="122"/>
      <c r="E9" s="122"/>
      <c r="F9" s="140"/>
    </row>
    <row r="10" spans="1:37" s="123" customFormat="1" ht="13.8" thickBot="1" x14ac:dyDescent="0.3">
      <c r="A10" s="121">
        <f t="shared" si="0"/>
        <v>4</v>
      </c>
      <c r="B10" s="122"/>
      <c r="C10" s="122"/>
      <c r="D10" s="122"/>
      <c r="E10" s="122"/>
      <c r="F10" s="140"/>
      <c r="H10" s="308" t="s">
        <v>132</v>
      </c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V10" s="308" t="s">
        <v>44</v>
      </c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</row>
    <row r="11" spans="1:37" s="123" customFormat="1" ht="13.8" thickBot="1" x14ac:dyDescent="0.3">
      <c r="A11" s="121">
        <f t="shared" si="0"/>
        <v>5</v>
      </c>
      <c r="B11" s="122"/>
      <c r="C11" s="122"/>
      <c r="D11" s="122"/>
      <c r="E11" s="122"/>
      <c r="F11" s="135" t="s">
        <v>147</v>
      </c>
      <c r="H11" s="309" t="s">
        <v>145</v>
      </c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V11" s="309" t="s">
        <v>145</v>
      </c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K11" s="124"/>
    </row>
    <row r="12" spans="1:37" s="123" customFormat="1" ht="15" customHeight="1" x14ac:dyDescent="0.25">
      <c r="A12" s="121">
        <f t="shared" si="0"/>
        <v>6</v>
      </c>
      <c r="B12" s="136" t="s">
        <v>130</v>
      </c>
      <c r="C12" s="134" t="s">
        <v>81</v>
      </c>
      <c r="D12" s="134" t="s">
        <v>18</v>
      </c>
      <c r="E12" s="136" t="s">
        <v>82</v>
      </c>
      <c r="F12" s="136" t="s">
        <v>129</v>
      </c>
      <c r="G12" s="126"/>
      <c r="H12" s="126" t="s">
        <v>264</v>
      </c>
      <c r="I12" s="137" t="s">
        <v>265</v>
      </c>
      <c r="J12" s="138" t="s">
        <v>266</v>
      </c>
      <c r="K12" s="137" t="s">
        <v>267</v>
      </c>
      <c r="L12" s="137" t="s">
        <v>268</v>
      </c>
      <c r="M12" s="137" t="s">
        <v>269</v>
      </c>
      <c r="N12" s="137" t="s">
        <v>270</v>
      </c>
      <c r="O12" s="137" t="s">
        <v>271</v>
      </c>
      <c r="P12" s="137" t="s">
        <v>272</v>
      </c>
      <c r="Q12" s="137" t="s">
        <v>273</v>
      </c>
      <c r="R12" s="137" t="s">
        <v>274</v>
      </c>
      <c r="S12" s="137" t="s">
        <v>275</v>
      </c>
      <c r="T12" s="137" t="s">
        <v>276</v>
      </c>
      <c r="U12" s="126"/>
      <c r="V12" s="126" t="s">
        <v>264</v>
      </c>
      <c r="W12" s="137" t="s">
        <v>265</v>
      </c>
      <c r="X12" s="138" t="s">
        <v>266</v>
      </c>
      <c r="Y12" s="137" t="s">
        <v>267</v>
      </c>
      <c r="Z12" s="137" t="s">
        <v>268</v>
      </c>
      <c r="AA12" s="137" t="s">
        <v>269</v>
      </c>
      <c r="AB12" s="137" t="s">
        <v>270</v>
      </c>
      <c r="AC12" s="137" t="s">
        <v>271</v>
      </c>
      <c r="AD12" s="137" t="s">
        <v>272</v>
      </c>
      <c r="AE12" s="137" t="s">
        <v>273</v>
      </c>
      <c r="AF12" s="137" t="s">
        <v>274</v>
      </c>
      <c r="AG12" s="137" t="s">
        <v>275</v>
      </c>
      <c r="AH12" s="137" t="s">
        <v>276</v>
      </c>
      <c r="AI12" s="124" t="s">
        <v>307</v>
      </c>
      <c r="AK12" s="124" t="s">
        <v>308</v>
      </c>
    </row>
    <row r="13" spans="1:37" s="123" customFormat="1" ht="15" customHeight="1" x14ac:dyDescent="0.25">
      <c r="A13" s="121">
        <f t="shared" si="0"/>
        <v>7</v>
      </c>
      <c r="B13" s="125"/>
      <c r="C13" s="125"/>
      <c r="D13" s="125"/>
      <c r="E13" s="125"/>
      <c r="F13" s="125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spans="1:37" x14ac:dyDescent="0.25">
      <c r="A14" s="121">
        <f t="shared" si="0"/>
        <v>8</v>
      </c>
      <c r="B14" s="157" t="s">
        <v>83</v>
      </c>
      <c r="C14" s="157" t="s">
        <v>84</v>
      </c>
      <c r="D14" s="157" t="s">
        <v>85</v>
      </c>
      <c r="E14" s="157"/>
      <c r="F14" s="149">
        <v>-3.2660000000000002E-2</v>
      </c>
      <c r="G14" s="127"/>
      <c r="H14" s="161">
        <v>5346.1</v>
      </c>
      <c r="I14" s="161">
        <v>28300.799999999999</v>
      </c>
      <c r="J14" s="161">
        <v>34549</v>
      </c>
      <c r="K14" s="161">
        <v>22736.9</v>
      </c>
      <c r="L14" s="161">
        <v>19625.7</v>
      </c>
      <c r="M14" s="161">
        <v>14400.3</v>
      </c>
      <c r="N14" s="161">
        <v>9501.2999999999993</v>
      </c>
      <c r="O14" s="161">
        <v>9171.2000000000007</v>
      </c>
      <c r="P14" s="161">
        <v>7626.4</v>
      </c>
      <c r="Q14" s="161">
        <v>6720.9</v>
      </c>
      <c r="R14" s="161">
        <v>7108.7</v>
      </c>
      <c r="S14" s="161">
        <v>9022.5</v>
      </c>
      <c r="T14" s="162">
        <v>8118.6</v>
      </c>
      <c r="U14" s="127"/>
      <c r="V14" s="142">
        <f>ROUND($F14*$H14,2)</f>
        <v>-174.6</v>
      </c>
      <c r="W14" s="142">
        <f>ROUND($F14*$I14,2)</f>
        <v>-924.3</v>
      </c>
      <c r="X14" s="142">
        <f>ROUND($F14*$J14,2)</f>
        <v>-1128.3699999999999</v>
      </c>
      <c r="Y14" s="142">
        <f>ROUND($F14*$K14,2)</f>
        <v>-742.59</v>
      </c>
      <c r="Z14" s="142">
        <f>ROUND($F14*$L14,2)</f>
        <v>-640.98</v>
      </c>
      <c r="AA14" s="142">
        <f>ROUND($F14*$M14,2)</f>
        <v>-470.31</v>
      </c>
      <c r="AB14" s="142">
        <f>ROUND($F14*$N14,2)</f>
        <v>-310.31</v>
      </c>
      <c r="AC14" s="142">
        <f>ROUND($F14*$O14,2)</f>
        <v>-299.52999999999997</v>
      </c>
      <c r="AD14" s="142">
        <f>ROUND($F14*$P14,2)</f>
        <v>-249.08</v>
      </c>
      <c r="AE14" s="142">
        <f>ROUND($F14*$Q14,2)</f>
        <v>-219.5</v>
      </c>
      <c r="AF14" s="142">
        <f>ROUND($F14*$R14,2)</f>
        <v>-232.17</v>
      </c>
      <c r="AG14" s="142">
        <f>ROUND($F14*$S14,2)</f>
        <v>-294.67</v>
      </c>
      <c r="AH14" s="142">
        <f>ROUND($F14*$T14,2)</f>
        <v>-265.14999999999998</v>
      </c>
      <c r="AI14" s="211">
        <f>+SUM(V14:AH14)</f>
        <v>-5951.5599999999995</v>
      </c>
      <c r="AK14" s="142">
        <f>AI14/(1-0.04372)</f>
        <v>-6223.6583427448022</v>
      </c>
    </row>
    <row r="15" spans="1:37" x14ac:dyDescent="0.25">
      <c r="A15" s="121">
        <f t="shared" si="0"/>
        <v>9</v>
      </c>
      <c r="B15" s="158" t="s">
        <v>86</v>
      </c>
      <c r="C15" s="158" t="s">
        <v>84</v>
      </c>
      <c r="D15" s="158" t="s">
        <v>87</v>
      </c>
      <c r="E15" s="158"/>
      <c r="F15" s="149">
        <v>-2.7820000000000001E-2</v>
      </c>
      <c r="G15" s="127"/>
      <c r="H15" s="161">
        <v>461</v>
      </c>
      <c r="I15" s="161">
        <v>3717.6</v>
      </c>
      <c r="J15" s="161">
        <v>5441.3</v>
      </c>
      <c r="K15" s="161">
        <v>3432.2</v>
      </c>
      <c r="L15" s="161">
        <v>2438.5</v>
      </c>
      <c r="M15" s="161">
        <v>1765.4</v>
      </c>
      <c r="N15" s="161">
        <v>814.4</v>
      </c>
      <c r="O15" s="161">
        <v>749</v>
      </c>
      <c r="P15" s="161">
        <v>322.7</v>
      </c>
      <c r="Q15" s="161">
        <v>394.8</v>
      </c>
      <c r="R15" s="161">
        <v>946.9</v>
      </c>
      <c r="S15" s="161">
        <v>869</v>
      </c>
      <c r="T15" s="162">
        <v>715.7</v>
      </c>
      <c r="U15" s="127"/>
      <c r="V15" s="142">
        <f t="shared" ref="V15:V78" si="1">ROUND($F15*$H15,2)</f>
        <v>-12.83</v>
      </c>
      <c r="W15" s="142">
        <f t="shared" ref="W15:W78" si="2">ROUND($F15*$I15,2)</f>
        <v>-103.42</v>
      </c>
      <c r="X15" s="142">
        <f t="shared" ref="X15:X78" si="3">ROUND($F15*$J15,2)</f>
        <v>-151.38</v>
      </c>
      <c r="Y15" s="142">
        <f t="shared" ref="Y15:Y78" si="4">ROUND($F15*$K15,2)</f>
        <v>-95.48</v>
      </c>
      <c r="Z15" s="142">
        <f t="shared" ref="Z15:Z78" si="5">ROUND($F15*$L15,2)</f>
        <v>-67.84</v>
      </c>
      <c r="AA15" s="142">
        <f t="shared" ref="AA15:AA78" si="6">ROUND($F15*$M15,2)</f>
        <v>-49.11</v>
      </c>
      <c r="AB15" s="142">
        <f t="shared" ref="AB15:AB78" si="7">ROUND($F15*$N15,2)</f>
        <v>-22.66</v>
      </c>
      <c r="AC15" s="142">
        <f t="shared" ref="AC15:AC78" si="8">ROUND($F15*$O15,2)</f>
        <v>-20.84</v>
      </c>
      <c r="AD15" s="142">
        <f t="shared" ref="AD15:AD78" si="9">ROUND($F15*$P15,2)</f>
        <v>-8.98</v>
      </c>
      <c r="AE15" s="142">
        <f t="shared" ref="AE15:AE78" si="10">ROUND($F15*$Q15,2)</f>
        <v>-10.98</v>
      </c>
      <c r="AF15" s="142">
        <f t="shared" ref="AF15:AF78" si="11">ROUND($F15*$R15,2)</f>
        <v>-26.34</v>
      </c>
      <c r="AG15" s="142">
        <f t="shared" ref="AG15:AG78" si="12">ROUND($F15*$S15,2)</f>
        <v>-24.18</v>
      </c>
      <c r="AH15" s="147">
        <f t="shared" ref="AH15:AH78" si="13">ROUND($F15*$T15,2)</f>
        <v>-19.91</v>
      </c>
      <c r="AI15" s="211">
        <f t="shared" ref="AI15:AI78" si="14">+SUM(V15:AH15)</f>
        <v>-613.95000000000005</v>
      </c>
      <c r="AK15" s="142">
        <f t="shared" ref="AK15:AK78" si="15">AI15/(1-0.04372)</f>
        <v>-642.01907391140674</v>
      </c>
    </row>
    <row r="16" spans="1:37" x14ac:dyDescent="0.25">
      <c r="A16" s="121">
        <f t="shared" si="0"/>
        <v>10</v>
      </c>
      <c r="B16" s="158" t="s">
        <v>88</v>
      </c>
      <c r="C16" s="158" t="s">
        <v>84</v>
      </c>
      <c r="D16" s="158" t="s">
        <v>89</v>
      </c>
      <c r="E16" s="158"/>
      <c r="F16" s="149">
        <v>-2.0410000000000001E-2</v>
      </c>
      <c r="G16" s="127"/>
      <c r="H16" s="161">
        <v>1434957.6</v>
      </c>
      <c r="I16" s="161">
        <v>7355864.4000000004</v>
      </c>
      <c r="J16" s="161">
        <v>8845671.6999999993</v>
      </c>
      <c r="K16" s="161">
        <v>5766956.5999999996</v>
      </c>
      <c r="L16" s="161">
        <v>4900159.4000000004</v>
      </c>
      <c r="M16" s="161">
        <v>3514861.2</v>
      </c>
      <c r="N16" s="161">
        <v>2074316.3</v>
      </c>
      <c r="O16" s="161">
        <v>1738449.4</v>
      </c>
      <c r="P16" s="161">
        <v>1339525.8</v>
      </c>
      <c r="Q16" s="161">
        <v>1148075.8999999999</v>
      </c>
      <c r="R16" s="161">
        <v>1255616.1000000001</v>
      </c>
      <c r="S16" s="161">
        <v>1984301.1</v>
      </c>
      <c r="T16" s="162">
        <v>1827605.9</v>
      </c>
      <c r="U16" s="127"/>
      <c r="V16" s="142">
        <f t="shared" si="1"/>
        <v>-29287.48</v>
      </c>
      <c r="W16" s="142">
        <f t="shared" si="2"/>
        <v>-150133.19</v>
      </c>
      <c r="X16" s="142">
        <f t="shared" si="3"/>
        <v>-180540.16</v>
      </c>
      <c r="Y16" s="142">
        <f t="shared" si="4"/>
        <v>-117703.58</v>
      </c>
      <c r="Z16" s="142">
        <f t="shared" si="5"/>
        <v>-100012.25</v>
      </c>
      <c r="AA16" s="142">
        <f t="shared" si="6"/>
        <v>-71738.320000000007</v>
      </c>
      <c r="AB16" s="142">
        <f t="shared" si="7"/>
        <v>-42336.800000000003</v>
      </c>
      <c r="AC16" s="142">
        <f t="shared" si="8"/>
        <v>-35481.75</v>
      </c>
      <c r="AD16" s="142">
        <f t="shared" si="9"/>
        <v>-27339.72</v>
      </c>
      <c r="AE16" s="142">
        <f t="shared" si="10"/>
        <v>-23432.23</v>
      </c>
      <c r="AF16" s="142">
        <f t="shared" si="11"/>
        <v>-25627.119999999999</v>
      </c>
      <c r="AG16" s="142">
        <f t="shared" si="12"/>
        <v>-40499.589999999997</v>
      </c>
      <c r="AH16" s="147">
        <f t="shared" si="13"/>
        <v>-37301.440000000002</v>
      </c>
      <c r="AI16" s="211">
        <f t="shared" si="14"/>
        <v>-881433.62999999989</v>
      </c>
      <c r="AK16" s="142">
        <f t="shared" si="15"/>
        <v>-921731.74174927827</v>
      </c>
    </row>
    <row r="17" spans="1:37" x14ac:dyDescent="0.25">
      <c r="A17" s="121">
        <f t="shared" si="0"/>
        <v>11</v>
      </c>
      <c r="B17" s="158" t="s">
        <v>90</v>
      </c>
      <c r="C17" s="158" t="s">
        <v>84</v>
      </c>
      <c r="D17" s="158" t="s">
        <v>91</v>
      </c>
      <c r="E17" s="158"/>
      <c r="F17" s="149">
        <v>-1.8259999999999998E-2</v>
      </c>
      <c r="G17" s="127"/>
      <c r="H17" s="161">
        <v>386394.60000000003</v>
      </c>
      <c r="I17" s="161">
        <v>2315898</v>
      </c>
      <c r="J17" s="161">
        <v>2894942.1999999997</v>
      </c>
      <c r="K17" s="161">
        <v>1939951.7000000002</v>
      </c>
      <c r="L17" s="161">
        <v>1595612.3</v>
      </c>
      <c r="M17" s="161">
        <v>1256418.8</v>
      </c>
      <c r="N17" s="161">
        <v>772035.4</v>
      </c>
      <c r="O17" s="161">
        <v>716244.29999999993</v>
      </c>
      <c r="P17" s="161">
        <v>599552.30000000005</v>
      </c>
      <c r="Q17" s="161">
        <v>526489.5</v>
      </c>
      <c r="R17" s="161">
        <v>559371.80000000005</v>
      </c>
      <c r="S17" s="161">
        <v>708577.1</v>
      </c>
      <c r="T17" s="162">
        <v>636217.69999999995</v>
      </c>
      <c r="U17" s="127"/>
      <c r="V17" s="142">
        <f t="shared" si="1"/>
        <v>-7055.57</v>
      </c>
      <c r="W17" s="142">
        <f t="shared" si="2"/>
        <v>-42288.3</v>
      </c>
      <c r="X17" s="142">
        <f t="shared" si="3"/>
        <v>-52861.64</v>
      </c>
      <c r="Y17" s="142">
        <f t="shared" si="4"/>
        <v>-35423.519999999997</v>
      </c>
      <c r="Z17" s="142">
        <f t="shared" si="5"/>
        <v>-29135.88</v>
      </c>
      <c r="AA17" s="142">
        <f t="shared" si="6"/>
        <v>-22942.21</v>
      </c>
      <c r="AB17" s="142">
        <f t="shared" si="7"/>
        <v>-14097.37</v>
      </c>
      <c r="AC17" s="142">
        <f t="shared" si="8"/>
        <v>-13078.62</v>
      </c>
      <c r="AD17" s="142">
        <f t="shared" si="9"/>
        <v>-10947.82</v>
      </c>
      <c r="AE17" s="142">
        <f t="shared" si="10"/>
        <v>-9613.7000000000007</v>
      </c>
      <c r="AF17" s="142">
        <f t="shared" si="11"/>
        <v>-10214.129999999999</v>
      </c>
      <c r="AG17" s="142">
        <f t="shared" si="12"/>
        <v>-12938.62</v>
      </c>
      <c r="AH17" s="147">
        <f t="shared" si="13"/>
        <v>-11617.34</v>
      </c>
      <c r="AI17" s="211">
        <f t="shared" si="14"/>
        <v>-272214.72000000003</v>
      </c>
      <c r="AK17" s="142">
        <f t="shared" si="15"/>
        <v>-284660.05772367929</v>
      </c>
    </row>
    <row r="18" spans="1:37" x14ac:dyDescent="0.25">
      <c r="A18" s="121">
        <f t="shared" si="0"/>
        <v>12</v>
      </c>
      <c r="B18" s="158" t="s">
        <v>92</v>
      </c>
      <c r="C18" s="158" t="s">
        <v>84</v>
      </c>
      <c r="D18" s="158" t="s">
        <v>93</v>
      </c>
      <c r="E18" s="158"/>
      <c r="F18" s="149">
        <v>0</v>
      </c>
      <c r="G18" s="127"/>
      <c r="H18" s="161">
        <v>14591.2</v>
      </c>
      <c r="I18" s="161">
        <v>61911.5</v>
      </c>
      <c r="J18" s="161">
        <v>64234.1</v>
      </c>
      <c r="K18" s="161">
        <v>57281.7</v>
      </c>
      <c r="L18" s="161">
        <v>60393.1</v>
      </c>
      <c r="M18" s="161">
        <v>49619</v>
      </c>
      <c r="N18" s="161">
        <v>43101.8</v>
      </c>
      <c r="O18" s="161">
        <v>42765.7</v>
      </c>
      <c r="P18" s="161">
        <v>40658.9</v>
      </c>
      <c r="Q18" s="161">
        <v>30613.1</v>
      </c>
      <c r="R18" s="161">
        <v>29542.799999999999</v>
      </c>
      <c r="S18" s="161">
        <v>30566.3</v>
      </c>
      <c r="T18" s="162">
        <v>21195.3</v>
      </c>
      <c r="U18" s="127"/>
      <c r="V18" s="142">
        <f t="shared" si="1"/>
        <v>0</v>
      </c>
      <c r="W18" s="142">
        <f t="shared" si="2"/>
        <v>0</v>
      </c>
      <c r="X18" s="142">
        <f t="shared" si="3"/>
        <v>0</v>
      </c>
      <c r="Y18" s="142">
        <f t="shared" si="4"/>
        <v>0</v>
      </c>
      <c r="Z18" s="142">
        <f t="shared" si="5"/>
        <v>0</v>
      </c>
      <c r="AA18" s="142">
        <f t="shared" si="6"/>
        <v>0</v>
      </c>
      <c r="AB18" s="142">
        <f t="shared" si="7"/>
        <v>0</v>
      </c>
      <c r="AC18" s="142">
        <f t="shared" si="8"/>
        <v>0</v>
      </c>
      <c r="AD18" s="142">
        <f t="shared" si="9"/>
        <v>0</v>
      </c>
      <c r="AE18" s="142">
        <f t="shared" si="10"/>
        <v>0</v>
      </c>
      <c r="AF18" s="142">
        <f t="shared" si="11"/>
        <v>0</v>
      </c>
      <c r="AG18" s="142">
        <f t="shared" si="12"/>
        <v>0</v>
      </c>
      <c r="AH18" s="147">
        <f t="shared" si="13"/>
        <v>0</v>
      </c>
      <c r="AI18" s="211">
        <f t="shared" si="14"/>
        <v>0</v>
      </c>
      <c r="AK18" s="142">
        <f t="shared" si="15"/>
        <v>0</v>
      </c>
    </row>
    <row r="19" spans="1:37" x14ac:dyDescent="0.25">
      <c r="A19" s="121">
        <f t="shared" si="0"/>
        <v>13</v>
      </c>
      <c r="B19" s="157">
        <v>27</v>
      </c>
      <c r="C19" s="157" t="s">
        <v>84</v>
      </c>
      <c r="D19" s="157" t="s">
        <v>94</v>
      </c>
      <c r="E19" s="157"/>
      <c r="F19" s="149">
        <v>-1.414E-2</v>
      </c>
      <c r="G19" s="127"/>
      <c r="H19" s="161">
        <v>16586.400000000001</v>
      </c>
      <c r="I19" s="161">
        <v>60659.9</v>
      </c>
      <c r="J19" s="161">
        <v>60269</v>
      </c>
      <c r="K19" s="161">
        <v>46306.8</v>
      </c>
      <c r="L19" s="161">
        <v>42818.6</v>
      </c>
      <c r="M19" s="161">
        <v>32038</v>
      </c>
      <c r="N19" s="161">
        <v>14310.5</v>
      </c>
      <c r="O19" s="161">
        <v>9362.4</v>
      </c>
      <c r="P19" s="161">
        <v>5113.3999999999996</v>
      </c>
      <c r="Q19" s="161">
        <v>2332.3000000000002</v>
      </c>
      <c r="R19" s="161">
        <v>3217.4</v>
      </c>
      <c r="S19" s="161">
        <v>15388.1</v>
      </c>
      <c r="T19" s="162">
        <v>18315.400000000001</v>
      </c>
      <c r="U19" s="127"/>
      <c r="V19" s="142">
        <f t="shared" si="1"/>
        <v>-234.53</v>
      </c>
      <c r="W19" s="142">
        <f t="shared" si="2"/>
        <v>-857.73</v>
      </c>
      <c r="X19" s="142">
        <f t="shared" si="3"/>
        <v>-852.2</v>
      </c>
      <c r="Y19" s="142">
        <f t="shared" si="4"/>
        <v>-654.78</v>
      </c>
      <c r="Z19" s="142">
        <f t="shared" si="5"/>
        <v>-605.46</v>
      </c>
      <c r="AA19" s="142">
        <f t="shared" si="6"/>
        <v>-453.02</v>
      </c>
      <c r="AB19" s="142">
        <f t="shared" si="7"/>
        <v>-202.35</v>
      </c>
      <c r="AC19" s="142">
        <f t="shared" si="8"/>
        <v>-132.38</v>
      </c>
      <c r="AD19" s="142">
        <f t="shared" si="9"/>
        <v>-72.3</v>
      </c>
      <c r="AE19" s="142">
        <f t="shared" si="10"/>
        <v>-32.979999999999997</v>
      </c>
      <c r="AF19" s="142">
        <f t="shared" si="11"/>
        <v>-45.49</v>
      </c>
      <c r="AG19" s="142">
        <f t="shared" si="12"/>
        <v>-217.59</v>
      </c>
      <c r="AH19" s="147">
        <f t="shared" si="13"/>
        <v>-258.98</v>
      </c>
      <c r="AI19" s="211">
        <f t="shared" si="14"/>
        <v>-4619.7899999999991</v>
      </c>
      <c r="AK19" s="142">
        <f t="shared" si="15"/>
        <v>-4831.0013803488509</v>
      </c>
    </row>
    <row r="20" spans="1:37" x14ac:dyDescent="0.25">
      <c r="A20" s="121">
        <f t="shared" si="0"/>
        <v>14</v>
      </c>
      <c r="B20" s="159" t="s">
        <v>95</v>
      </c>
      <c r="C20" s="159" t="s">
        <v>84</v>
      </c>
      <c r="D20" s="159" t="s">
        <v>96</v>
      </c>
      <c r="E20" s="159" t="s">
        <v>97</v>
      </c>
      <c r="F20" s="150">
        <v>-1.413E-2</v>
      </c>
      <c r="G20" s="129"/>
      <c r="H20" s="163">
        <v>55236.5</v>
      </c>
      <c r="I20" s="163">
        <v>161502.6</v>
      </c>
      <c r="J20" s="163">
        <v>159925.5</v>
      </c>
      <c r="K20" s="163">
        <v>162543</v>
      </c>
      <c r="L20" s="163">
        <v>158226.4</v>
      </c>
      <c r="M20" s="163">
        <v>154151.5</v>
      </c>
      <c r="N20" s="163">
        <v>142831.4</v>
      </c>
      <c r="O20" s="163">
        <v>128999</v>
      </c>
      <c r="P20" s="163">
        <v>115203.3</v>
      </c>
      <c r="Q20" s="163">
        <v>103224.7</v>
      </c>
      <c r="R20" s="163">
        <v>113221.6</v>
      </c>
      <c r="S20" s="163">
        <v>129831.6</v>
      </c>
      <c r="T20" s="164">
        <v>98684.1</v>
      </c>
      <c r="U20" s="129"/>
      <c r="V20" s="143">
        <f t="shared" si="1"/>
        <v>-780.49</v>
      </c>
      <c r="W20" s="143">
        <f t="shared" si="2"/>
        <v>-2282.0300000000002</v>
      </c>
      <c r="X20" s="143">
        <f t="shared" si="3"/>
        <v>-2259.75</v>
      </c>
      <c r="Y20" s="143">
        <f t="shared" si="4"/>
        <v>-2296.73</v>
      </c>
      <c r="Z20" s="143">
        <f t="shared" si="5"/>
        <v>-2235.7399999999998</v>
      </c>
      <c r="AA20" s="143">
        <f t="shared" si="6"/>
        <v>-2178.16</v>
      </c>
      <c r="AB20" s="143">
        <f t="shared" si="7"/>
        <v>-2018.21</v>
      </c>
      <c r="AC20" s="143">
        <f t="shared" si="8"/>
        <v>-1822.76</v>
      </c>
      <c r="AD20" s="143">
        <f t="shared" si="9"/>
        <v>-1627.82</v>
      </c>
      <c r="AE20" s="143">
        <f t="shared" si="10"/>
        <v>-1458.57</v>
      </c>
      <c r="AF20" s="143">
        <f t="shared" si="11"/>
        <v>-1599.82</v>
      </c>
      <c r="AG20" s="143">
        <f t="shared" si="12"/>
        <v>-1834.52</v>
      </c>
      <c r="AH20" s="148">
        <f t="shared" si="13"/>
        <v>-1394.41</v>
      </c>
      <c r="AI20" s="212">
        <f t="shared" si="14"/>
        <v>-23789.010000000002</v>
      </c>
      <c r="AK20" s="143">
        <f t="shared" si="15"/>
        <v>-24876.615635587907</v>
      </c>
    </row>
    <row r="21" spans="1:37" x14ac:dyDescent="0.25">
      <c r="A21" s="121">
        <f t="shared" si="0"/>
        <v>15</v>
      </c>
      <c r="B21" s="160" t="s">
        <v>96</v>
      </c>
      <c r="C21" s="160" t="s">
        <v>84</v>
      </c>
      <c r="D21" s="160" t="s">
        <v>96</v>
      </c>
      <c r="E21" s="160" t="s">
        <v>98</v>
      </c>
      <c r="F21" s="149">
        <v>-1.2460000000000001E-2</v>
      </c>
      <c r="G21" s="127"/>
      <c r="H21" s="161">
        <v>49047.4</v>
      </c>
      <c r="I21" s="161">
        <v>263206.7</v>
      </c>
      <c r="J21" s="161">
        <v>320005.8</v>
      </c>
      <c r="K21" s="161">
        <v>205285.6</v>
      </c>
      <c r="L21" s="161">
        <v>152475.4</v>
      </c>
      <c r="M21" s="161">
        <v>102058.1</v>
      </c>
      <c r="N21" s="161">
        <v>47082.9</v>
      </c>
      <c r="O21" s="161">
        <v>43735.4</v>
      </c>
      <c r="P21" s="161">
        <v>31865.4</v>
      </c>
      <c r="Q21" s="161">
        <v>25109.9</v>
      </c>
      <c r="R21" s="161">
        <v>31154.799999999999</v>
      </c>
      <c r="S21" s="161">
        <v>50118.6</v>
      </c>
      <c r="T21" s="162">
        <v>44735</v>
      </c>
      <c r="U21" s="127"/>
      <c r="V21" s="142">
        <f t="shared" si="1"/>
        <v>-611.13</v>
      </c>
      <c r="W21" s="142">
        <f t="shared" si="2"/>
        <v>-3279.56</v>
      </c>
      <c r="X21" s="142">
        <f t="shared" si="3"/>
        <v>-3987.27</v>
      </c>
      <c r="Y21" s="142">
        <f t="shared" si="4"/>
        <v>-2557.86</v>
      </c>
      <c r="Z21" s="142">
        <f t="shared" si="5"/>
        <v>-1899.84</v>
      </c>
      <c r="AA21" s="142">
        <f t="shared" si="6"/>
        <v>-1271.6400000000001</v>
      </c>
      <c r="AB21" s="142">
        <f t="shared" si="7"/>
        <v>-586.65</v>
      </c>
      <c r="AC21" s="142">
        <f t="shared" si="8"/>
        <v>-544.94000000000005</v>
      </c>
      <c r="AD21" s="142">
        <f t="shared" si="9"/>
        <v>-397.04</v>
      </c>
      <c r="AE21" s="142">
        <f t="shared" si="10"/>
        <v>-312.87</v>
      </c>
      <c r="AF21" s="142">
        <f t="shared" si="11"/>
        <v>-388.19</v>
      </c>
      <c r="AG21" s="142">
        <f t="shared" si="12"/>
        <v>-624.48</v>
      </c>
      <c r="AH21" s="147">
        <f t="shared" si="13"/>
        <v>-557.4</v>
      </c>
      <c r="AI21" s="211">
        <f t="shared" si="14"/>
        <v>-17018.870000000003</v>
      </c>
      <c r="AK21" s="142">
        <f t="shared" si="15"/>
        <v>-17796.95277533777</v>
      </c>
    </row>
    <row r="22" spans="1:37" x14ac:dyDescent="0.25">
      <c r="A22" s="121">
        <f t="shared" si="0"/>
        <v>16</v>
      </c>
      <c r="B22" s="159" t="s">
        <v>99</v>
      </c>
      <c r="C22" s="159" t="s">
        <v>84</v>
      </c>
      <c r="D22" s="159" t="s">
        <v>100</v>
      </c>
      <c r="E22" s="159" t="s">
        <v>97</v>
      </c>
      <c r="F22" s="150">
        <v>-1.354E-2</v>
      </c>
      <c r="G22" s="129"/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4">
        <v>0</v>
      </c>
      <c r="U22" s="129"/>
      <c r="V22" s="143">
        <f t="shared" si="1"/>
        <v>0</v>
      </c>
      <c r="W22" s="143">
        <f t="shared" si="2"/>
        <v>0</v>
      </c>
      <c r="X22" s="143">
        <f t="shared" si="3"/>
        <v>0</v>
      </c>
      <c r="Y22" s="143">
        <f t="shared" si="4"/>
        <v>0</v>
      </c>
      <c r="Z22" s="143">
        <f t="shared" si="5"/>
        <v>0</v>
      </c>
      <c r="AA22" s="143">
        <f t="shared" si="6"/>
        <v>0</v>
      </c>
      <c r="AB22" s="143">
        <f t="shared" si="7"/>
        <v>0</v>
      </c>
      <c r="AC22" s="143">
        <f t="shared" si="8"/>
        <v>0</v>
      </c>
      <c r="AD22" s="143">
        <f t="shared" si="9"/>
        <v>0</v>
      </c>
      <c r="AE22" s="143">
        <f t="shared" si="10"/>
        <v>0</v>
      </c>
      <c r="AF22" s="143">
        <f t="shared" si="11"/>
        <v>0</v>
      </c>
      <c r="AG22" s="143">
        <f t="shared" si="12"/>
        <v>0</v>
      </c>
      <c r="AH22" s="148">
        <f t="shared" si="13"/>
        <v>0</v>
      </c>
      <c r="AI22" s="212">
        <f t="shared" si="14"/>
        <v>0</v>
      </c>
      <c r="AK22" s="143">
        <f t="shared" si="15"/>
        <v>0</v>
      </c>
    </row>
    <row r="23" spans="1:37" x14ac:dyDescent="0.25">
      <c r="A23" s="121">
        <f t="shared" si="0"/>
        <v>17</v>
      </c>
      <c r="B23" s="160" t="s">
        <v>100</v>
      </c>
      <c r="C23" s="160" t="s">
        <v>84</v>
      </c>
      <c r="D23" s="160" t="s">
        <v>100</v>
      </c>
      <c r="E23" s="160" t="s">
        <v>98</v>
      </c>
      <c r="F23" s="149">
        <v>-1.193E-2</v>
      </c>
      <c r="G23" s="127"/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2">
        <v>0</v>
      </c>
      <c r="U23" s="127"/>
      <c r="V23" s="142">
        <f t="shared" si="1"/>
        <v>0</v>
      </c>
      <c r="W23" s="142">
        <f t="shared" si="2"/>
        <v>0</v>
      </c>
      <c r="X23" s="142">
        <f t="shared" si="3"/>
        <v>0</v>
      </c>
      <c r="Y23" s="142">
        <f t="shared" si="4"/>
        <v>0</v>
      </c>
      <c r="Z23" s="142">
        <f t="shared" si="5"/>
        <v>0</v>
      </c>
      <c r="AA23" s="142">
        <f t="shared" si="6"/>
        <v>0</v>
      </c>
      <c r="AB23" s="142">
        <f t="shared" si="7"/>
        <v>0</v>
      </c>
      <c r="AC23" s="142">
        <f t="shared" si="8"/>
        <v>0</v>
      </c>
      <c r="AD23" s="142">
        <f t="shared" si="9"/>
        <v>0</v>
      </c>
      <c r="AE23" s="142">
        <f t="shared" si="10"/>
        <v>0</v>
      </c>
      <c r="AF23" s="142">
        <f t="shared" si="11"/>
        <v>0</v>
      </c>
      <c r="AG23" s="142">
        <f t="shared" si="12"/>
        <v>0</v>
      </c>
      <c r="AH23" s="147">
        <f t="shared" si="13"/>
        <v>0</v>
      </c>
      <c r="AI23" s="211">
        <f t="shared" si="14"/>
        <v>0</v>
      </c>
      <c r="AK23" s="142">
        <f t="shared" si="15"/>
        <v>0</v>
      </c>
    </row>
    <row r="24" spans="1:37" x14ac:dyDescent="0.25">
      <c r="A24" s="121">
        <f t="shared" si="0"/>
        <v>18</v>
      </c>
      <c r="B24" s="159" t="s">
        <v>101</v>
      </c>
      <c r="C24" s="159" t="s">
        <v>84</v>
      </c>
      <c r="D24" s="159" t="s">
        <v>102</v>
      </c>
      <c r="E24" s="159" t="s">
        <v>97</v>
      </c>
      <c r="F24" s="150">
        <v>0</v>
      </c>
      <c r="G24" s="129"/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4">
        <v>0</v>
      </c>
      <c r="U24" s="129"/>
      <c r="V24" s="143">
        <f t="shared" si="1"/>
        <v>0</v>
      </c>
      <c r="W24" s="143">
        <f t="shared" si="2"/>
        <v>0</v>
      </c>
      <c r="X24" s="143">
        <f t="shared" si="3"/>
        <v>0</v>
      </c>
      <c r="Y24" s="143">
        <f t="shared" si="4"/>
        <v>0</v>
      </c>
      <c r="Z24" s="143">
        <f t="shared" si="5"/>
        <v>0</v>
      </c>
      <c r="AA24" s="143">
        <f t="shared" si="6"/>
        <v>0</v>
      </c>
      <c r="AB24" s="143">
        <f t="shared" si="7"/>
        <v>0</v>
      </c>
      <c r="AC24" s="143">
        <f t="shared" si="8"/>
        <v>0</v>
      </c>
      <c r="AD24" s="143">
        <f t="shared" si="9"/>
        <v>0</v>
      </c>
      <c r="AE24" s="143">
        <f t="shared" si="10"/>
        <v>0</v>
      </c>
      <c r="AF24" s="143">
        <f t="shared" si="11"/>
        <v>0</v>
      </c>
      <c r="AG24" s="143">
        <f t="shared" si="12"/>
        <v>0</v>
      </c>
      <c r="AH24" s="148">
        <f t="shared" si="13"/>
        <v>0</v>
      </c>
      <c r="AI24" s="212">
        <f t="shared" si="14"/>
        <v>0</v>
      </c>
      <c r="AK24" s="143">
        <f t="shared" si="15"/>
        <v>0</v>
      </c>
    </row>
    <row r="25" spans="1:37" x14ac:dyDescent="0.25">
      <c r="A25" s="121">
        <f t="shared" si="0"/>
        <v>19</v>
      </c>
      <c r="B25" s="160" t="s">
        <v>102</v>
      </c>
      <c r="C25" s="160" t="s">
        <v>84</v>
      </c>
      <c r="D25" s="160" t="s">
        <v>102</v>
      </c>
      <c r="E25" s="160" t="s">
        <v>98</v>
      </c>
      <c r="F25" s="149">
        <v>0</v>
      </c>
      <c r="G25" s="127"/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2">
        <v>0</v>
      </c>
      <c r="U25" s="127"/>
      <c r="V25" s="142">
        <f t="shared" si="1"/>
        <v>0</v>
      </c>
      <c r="W25" s="142">
        <f t="shared" si="2"/>
        <v>0</v>
      </c>
      <c r="X25" s="142">
        <f t="shared" si="3"/>
        <v>0</v>
      </c>
      <c r="Y25" s="142">
        <f t="shared" si="4"/>
        <v>0</v>
      </c>
      <c r="Z25" s="142">
        <f t="shared" si="5"/>
        <v>0</v>
      </c>
      <c r="AA25" s="142">
        <f t="shared" si="6"/>
        <v>0</v>
      </c>
      <c r="AB25" s="142">
        <f t="shared" si="7"/>
        <v>0</v>
      </c>
      <c r="AC25" s="142">
        <f t="shared" si="8"/>
        <v>0</v>
      </c>
      <c r="AD25" s="142">
        <f t="shared" si="9"/>
        <v>0</v>
      </c>
      <c r="AE25" s="142">
        <f t="shared" si="10"/>
        <v>0</v>
      </c>
      <c r="AF25" s="142">
        <f t="shared" si="11"/>
        <v>0</v>
      </c>
      <c r="AG25" s="142">
        <f t="shared" si="12"/>
        <v>0</v>
      </c>
      <c r="AH25" s="147">
        <f t="shared" si="13"/>
        <v>0</v>
      </c>
      <c r="AI25" s="211">
        <f t="shared" si="14"/>
        <v>0</v>
      </c>
      <c r="AK25" s="142">
        <f t="shared" si="15"/>
        <v>0</v>
      </c>
    </row>
    <row r="26" spans="1:37" x14ac:dyDescent="0.25">
      <c r="A26" s="121">
        <f t="shared" si="0"/>
        <v>20</v>
      </c>
      <c r="B26" s="159" t="s">
        <v>103</v>
      </c>
      <c r="C26" s="159" t="s">
        <v>84</v>
      </c>
      <c r="D26" s="159" t="s">
        <v>104</v>
      </c>
      <c r="E26" s="159" t="s">
        <v>97</v>
      </c>
      <c r="F26" s="150">
        <v>0</v>
      </c>
      <c r="G26" s="129"/>
      <c r="H26" s="165">
        <v>34000</v>
      </c>
      <c r="I26" s="165">
        <v>34000</v>
      </c>
      <c r="J26" s="163">
        <v>34000</v>
      </c>
      <c r="K26" s="163">
        <v>34000</v>
      </c>
      <c r="L26" s="163">
        <v>34000</v>
      </c>
      <c r="M26" s="163">
        <v>33061</v>
      </c>
      <c r="N26" s="163">
        <v>29537</v>
      </c>
      <c r="O26" s="163">
        <v>28360</v>
      </c>
      <c r="P26" s="163">
        <v>25227</v>
      </c>
      <c r="Q26" s="163">
        <v>24593</v>
      </c>
      <c r="R26" s="163">
        <v>28020</v>
      </c>
      <c r="S26" s="163">
        <v>32793</v>
      </c>
      <c r="T26" s="164">
        <v>0</v>
      </c>
      <c r="U26" s="129"/>
      <c r="V26" s="144">
        <f t="shared" si="1"/>
        <v>0</v>
      </c>
      <c r="W26" s="144">
        <f t="shared" si="2"/>
        <v>0</v>
      </c>
      <c r="X26" s="144">
        <f t="shared" si="3"/>
        <v>0</v>
      </c>
      <c r="Y26" s="144">
        <f t="shared" si="4"/>
        <v>0</v>
      </c>
      <c r="Z26" s="144">
        <f t="shared" si="5"/>
        <v>0</v>
      </c>
      <c r="AA26" s="144">
        <f t="shared" si="6"/>
        <v>0</v>
      </c>
      <c r="AB26" s="144">
        <f t="shared" si="7"/>
        <v>0</v>
      </c>
      <c r="AC26" s="144">
        <f t="shared" si="8"/>
        <v>0</v>
      </c>
      <c r="AD26" s="144">
        <f t="shared" si="9"/>
        <v>0</v>
      </c>
      <c r="AE26" s="144">
        <f t="shared" si="10"/>
        <v>0</v>
      </c>
      <c r="AF26" s="144">
        <f t="shared" si="11"/>
        <v>0</v>
      </c>
      <c r="AG26" s="144">
        <f t="shared" si="12"/>
        <v>0</v>
      </c>
      <c r="AH26" s="151">
        <f t="shared" si="13"/>
        <v>0</v>
      </c>
      <c r="AI26" s="213">
        <f t="shared" si="14"/>
        <v>0</v>
      </c>
      <c r="AK26" s="144">
        <f t="shared" si="15"/>
        <v>0</v>
      </c>
    </row>
    <row r="27" spans="1:37" x14ac:dyDescent="0.25">
      <c r="A27" s="121">
        <f t="shared" si="0"/>
        <v>21</v>
      </c>
      <c r="B27" s="160" t="s">
        <v>104</v>
      </c>
      <c r="C27" s="160" t="s">
        <v>84</v>
      </c>
      <c r="D27" s="160" t="s">
        <v>104</v>
      </c>
      <c r="E27" s="160" t="s">
        <v>98</v>
      </c>
      <c r="F27" s="149">
        <v>0</v>
      </c>
      <c r="G27" s="127"/>
      <c r="H27" s="161">
        <v>72547</v>
      </c>
      <c r="I27" s="161">
        <v>91675</v>
      </c>
      <c r="J27" s="161">
        <v>92889</v>
      </c>
      <c r="K27" s="161">
        <v>61910</v>
      </c>
      <c r="L27" s="161">
        <v>63181</v>
      </c>
      <c r="M27" s="161">
        <v>28308</v>
      </c>
      <c r="N27" s="161">
        <v>19724</v>
      </c>
      <c r="O27" s="161">
        <v>11206</v>
      </c>
      <c r="P27" s="161">
        <v>5920</v>
      </c>
      <c r="Q27" s="161">
        <v>3903</v>
      </c>
      <c r="R27" s="161">
        <v>13920</v>
      </c>
      <c r="S27" s="161">
        <v>38142</v>
      </c>
      <c r="T27" s="162">
        <v>0</v>
      </c>
      <c r="U27" s="127"/>
      <c r="V27" s="142">
        <f t="shared" si="1"/>
        <v>0</v>
      </c>
      <c r="W27" s="142">
        <f t="shared" si="2"/>
        <v>0</v>
      </c>
      <c r="X27" s="142">
        <f t="shared" si="3"/>
        <v>0</v>
      </c>
      <c r="Y27" s="142">
        <f t="shared" si="4"/>
        <v>0</v>
      </c>
      <c r="Z27" s="142">
        <f t="shared" si="5"/>
        <v>0</v>
      </c>
      <c r="AA27" s="142">
        <f t="shared" si="6"/>
        <v>0</v>
      </c>
      <c r="AB27" s="142">
        <f t="shared" si="7"/>
        <v>0</v>
      </c>
      <c r="AC27" s="142">
        <f t="shared" si="8"/>
        <v>0</v>
      </c>
      <c r="AD27" s="142">
        <f t="shared" si="9"/>
        <v>0</v>
      </c>
      <c r="AE27" s="142">
        <f t="shared" si="10"/>
        <v>0</v>
      </c>
      <c r="AF27" s="142">
        <f t="shared" si="11"/>
        <v>0</v>
      </c>
      <c r="AG27" s="142">
        <f t="shared" si="12"/>
        <v>0</v>
      </c>
      <c r="AH27" s="147">
        <f t="shared" si="13"/>
        <v>0</v>
      </c>
      <c r="AI27" s="211">
        <f t="shared" si="14"/>
        <v>0</v>
      </c>
      <c r="AK27" s="142">
        <f t="shared" si="15"/>
        <v>0</v>
      </c>
    </row>
    <row r="28" spans="1:37" x14ac:dyDescent="0.25">
      <c r="A28" s="121">
        <f t="shared" si="0"/>
        <v>22</v>
      </c>
      <c r="B28" s="159" t="s">
        <v>105</v>
      </c>
      <c r="C28" s="159" t="s">
        <v>84</v>
      </c>
      <c r="D28" s="159" t="s">
        <v>106</v>
      </c>
      <c r="E28" s="159" t="s">
        <v>97</v>
      </c>
      <c r="F28" s="150">
        <v>0</v>
      </c>
      <c r="G28" s="129"/>
      <c r="H28" s="163">
        <v>5696.4</v>
      </c>
      <c r="I28" s="163">
        <v>22000</v>
      </c>
      <c r="J28" s="163">
        <v>22000</v>
      </c>
      <c r="K28" s="163">
        <v>22000</v>
      </c>
      <c r="L28" s="163">
        <v>22000</v>
      </c>
      <c r="M28" s="163">
        <v>22000</v>
      </c>
      <c r="N28" s="163">
        <v>20647.2</v>
      </c>
      <c r="O28" s="163">
        <v>20131.599999999999</v>
      </c>
      <c r="P28" s="163">
        <v>19669.599999999999</v>
      </c>
      <c r="Q28" s="163">
        <v>18419.5</v>
      </c>
      <c r="R28" s="163">
        <v>17297.900000000001</v>
      </c>
      <c r="S28" s="163">
        <v>19054.7</v>
      </c>
      <c r="T28" s="164">
        <v>17758.2</v>
      </c>
      <c r="U28" s="129"/>
      <c r="V28" s="143">
        <f t="shared" si="1"/>
        <v>0</v>
      </c>
      <c r="W28" s="143">
        <f t="shared" si="2"/>
        <v>0</v>
      </c>
      <c r="X28" s="143">
        <f t="shared" si="3"/>
        <v>0</v>
      </c>
      <c r="Y28" s="143">
        <f t="shared" si="4"/>
        <v>0</v>
      </c>
      <c r="Z28" s="143">
        <f t="shared" si="5"/>
        <v>0</v>
      </c>
      <c r="AA28" s="143">
        <f t="shared" si="6"/>
        <v>0</v>
      </c>
      <c r="AB28" s="143">
        <f t="shared" si="7"/>
        <v>0</v>
      </c>
      <c r="AC28" s="143">
        <f t="shared" si="8"/>
        <v>0</v>
      </c>
      <c r="AD28" s="143">
        <f t="shared" si="9"/>
        <v>0</v>
      </c>
      <c r="AE28" s="143">
        <f t="shared" si="10"/>
        <v>0</v>
      </c>
      <c r="AF28" s="143">
        <f t="shared" si="11"/>
        <v>0</v>
      </c>
      <c r="AG28" s="143">
        <f t="shared" si="12"/>
        <v>0</v>
      </c>
      <c r="AH28" s="148">
        <f t="shared" si="13"/>
        <v>0</v>
      </c>
      <c r="AI28" s="212">
        <f t="shared" si="14"/>
        <v>0</v>
      </c>
      <c r="AK28" s="143">
        <f t="shared" si="15"/>
        <v>0</v>
      </c>
    </row>
    <row r="29" spans="1:37" x14ac:dyDescent="0.25">
      <c r="A29" s="121">
        <f t="shared" si="0"/>
        <v>23</v>
      </c>
      <c r="B29" s="160" t="s">
        <v>106</v>
      </c>
      <c r="C29" s="160" t="s">
        <v>84</v>
      </c>
      <c r="D29" s="160" t="s">
        <v>106</v>
      </c>
      <c r="E29" s="160" t="s">
        <v>98</v>
      </c>
      <c r="F29" s="149">
        <v>0</v>
      </c>
      <c r="G29" s="127"/>
      <c r="H29" s="161">
        <v>5613.7</v>
      </c>
      <c r="I29" s="161">
        <v>34887.199999999997</v>
      </c>
      <c r="J29" s="161">
        <v>43339.7</v>
      </c>
      <c r="K29" s="161">
        <v>27579</v>
      </c>
      <c r="L29" s="161">
        <v>23016.2</v>
      </c>
      <c r="M29" s="161">
        <v>29549.8</v>
      </c>
      <c r="N29" s="161">
        <v>20247.099999999999</v>
      </c>
      <c r="O29" s="161">
        <v>21236.9</v>
      </c>
      <c r="P29" s="161">
        <v>14864.2</v>
      </c>
      <c r="Q29" s="161">
        <v>13670.3</v>
      </c>
      <c r="R29" s="161">
        <v>13102.3</v>
      </c>
      <c r="S29" s="161">
        <v>16752.5</v>
      </c>
      <c r="T29" s="162">
        <v>13461.8</v>
      </c>
      <c r="U29" s="127"/>
      <c r="V29" s="142">
        <f t="shared" si="1"/>
        <v>0</v>
      </c>
      <c r="W29" s="142">
        <f t="shared" si="2"/>
        <v>0</v>
      </c>
      <c r="X29" s="142">
        <f t="shared" si="3"/>
        <v>0</v>
      </c>
      <c r="Y29" s="142">
        <f t="shared" si="4"/>
        <v>0</v>
      </c>
      <c r="Z29" s="142">
        <f t="shared" si="5"/>
        <v>0</v>
      </c>
      <c r="AA29" s="142">
        <f t="shared" si="6"/>
        <v>0</v>
      </c>
      <c r="AB29" s="142">
        <f t="shared" si="7"/>
        <v>0</v>
      </c>
      <c r="AC29" s="142">
        <f t="shared" si="8"/>
        <v>0</v>
      </c>
      <c r="AD29" s="142">
        <f t="shared" si="9"/>
        <v>0</v>
      </c>
      <c r="AE29" s="142">
        <f t="shared" si="10"/>
        <v>0</v>
      </c>
      <c r="AF29" s="142">
        <f t="shared" si="11"/>
        <v>0</v>
      </c>
      <c r="AG29" s="142">
        <f t="shared" si="12"/>
        <v>0</v>
      </c>
      <c r="AH29" s="147">
        <f t="shared" si="13"/>
        <v>0</v>
      </c>
      <c r="AI29" s="211">
        <f t="shared" si="14"/>
        <v>0</v>
      </c>
      <c r="AK29" s="142">
        <f t="shared" si="15"/>
        <v>0</v>
      </c>
    </row>
    <row r="30" spans="1:37" x14ac:dyDescent="0.25">
      <c r="A30" s="121">
        <f t="shared" si="0"/>
        <v>24</v>
      </c>
      <c r="B30" s="159" t="s">
        <v>107</v>
      </c>
      <c r="C30" s="159" t="s">
        <v>84</v>
      </c>
      <c r="D30" s="159" t="s">
        <v>108</v>
      </c>
      <c r="E30" s="159" t="s">
        <v>97</v>
      </c>
      <c r="F30" s="150">
        <v>0</v>
      </c>
      <c r="G30" s="129"/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4">
        <v>0</v>
      </c>
      <c r="U30" s="129"/>
      <c r="V30" s="143">
        <f t="shared" si="1"/>
        <v>0</v>
      </c>
      <c r="W30" s="143">
        <f t="shared" si="2"/>
        <v>0</v>
      </c>
      <c r="X30" s="143">
        <f t="shared" si="3"/>
        <v>0</v>
      </c>
      <c r="Y30" s="143">
        <f t="shared" si="4"/>
        <v>0</v>
      </c>
      <c r="Z30" s="143">
        <f t="shared" si="5"/>
        <v>0</v>
      </c>
      <c r="AA30" s="143">
        <f t="shared" si="6"/>
        <v>0</v>
      </c>
      <c r="AB30" s="143">
        <f t="shared" si="7"/>
        <v>0</v>
      </c>
      <c r="AC30" s="143">
        <f t="shared" si="8"/>
        <v>0</v>
      </c>
      <c r="AD30" s="143">
        <f t="shared" si="9"/>
        <v>0</v>
      </c>
      <c r="AE30" s="143">
        <f t="shared" si="10"/>
        <v>0</v>
      </c>
      <c r="AF30" s="143">
        <f t="shared" si="11"/>
        <v>0</v>
      </c>
      <c r="AG30" s="143">
        <f t="shared" si="12"/>
        <v>0</v>
      </c>
      <c r="AH30" s="148">
        <f t="shared" si="13"/>
        <v>0</v>
      </c>
      <c r="AI30" s="212">
        <f t="shared" si="14"/>
        <v>0</v>
      </c>
      <c r="AK30" s="143">
        <f t="shared" si="15"/>
        <v>0</v>
      </c>
    </row>
    <row r="31" spans="1:37" x14ac:dyDescent="0.25">
      <c r="A31" s="121">
        <f t="shared" si="0"/>
        <v>25</v>
      </c>
      <c r="B31" s="160" t="s">
        <v>108</v>
      </c>
      <c r="C31" s="160" t="s">
        <v>84</v>
      </c>
      <c r="D31" s="160" t="s">
        <v>108</v>
      </c>
      <c r="E31" s="160" t="s">
        <v>98</v>
      </c>
      <c r="F31" s="149">
        <v>0</v>
      </c>
      <c r="G31" s="127"/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2">
        <v>0</v>
      </c>
      <c r="U31" s="127"/>
      <c r="V31" s="142">
        <f t="shared" si="1"/>
        <v>0</v>
      </c>
      <c r="W31" s="142">
        <f t="shared" si="2"/>
        <v>0</v>
      </c>
      <c r="X31" s="142">
        <f t="shared" si="3"/>
        <v>0</v>
      </c>
      <c r="Y31" s="142">
        <f t="shared" si="4"/>
        <v>0</v>
      </c>
      <c r="Z31" s="142">
        <f t="shared" si="5"/>
        <v>0</v>
      </c>
      <c r="AA31" s="142">
        <f t="shared" si="6"/>
        <v>0</v>
      </c>
      <c r="AB31" s="142">
        <f t="shared" si="7"/>
        <v>0</v>
      </c>
      <c r="AC31" s="142">
        <f t="shared" si="8"/>
        <v>0</v>
      </c>
      <c r="AD31" s="142">
        <f t="shared" si="9"/>
        <v>0</v>
      </c>
      <c r="AE31" s="142">
        <f t="shared" si="10"/>
        <v>0</v>
      </c>
      <c r="AF31" s="142">
        <f t="shared" si="11"/>
        <v>0</v>
      </c>
      <c r="AG31" s="142">
        <f t="shared" si="12"/>
        <v>0</v>
      </c>
      <c r="AH31" s="147">
        <f t="shared" si="13"/>
        <v>0</v>
      </c>
      <c r="AI31" s="211">
        <f t="shared" si="14"/>
        <v>0</v>
      </c>
      <c r="AK31" s="142">
        <f t="shared" si="15"/>
        <v>0</v>
      </c>
    </row>
    <row r="32" spans="1:37" x14ac:dyDescent="0.25">
      <c r="A32" s="121">
        <f t="shared" si="0"/>
        <v>26</v>
      </c>
      <c r="B32" s="159" t="s">
        <v>109</v>
      </c>
      <c r="C32" s="159" t="s">
        <v>84</v>
      </c>
      <c r="D32" s="159" t="s">
        <v>110</v>
      </c>
      <c r="E32" s="159" t="s">
        <v>97</v>
      </c>
      <c r="F32" s="150">
        <v>-9.5999999999999992E-3</v>
      </c>
      <c r="G32" s="129"/>
      <c r="H32" s="163">
        <v>54887</v>
      </c>
      <c r="I32" s="163">
        <v>56584</v>
      </c>
      <c r="J32" s="163">
        <v>55808</v>
      </c>
      <c r="K32" s="163">
        <v>47329</v>
      </c>
      <c r="L32" s="163">
        <v>50747</v>
      </c>
      <c r="M32" s="163">
        <v>40299</v>
      </c>
      <c r="N32" s="163">
        <v>34765</v>
      </c>
      <c r="O32" s="163">
        <v>24838</v>
      </c>
      <c r="P32" s="163">
        <v>16791</v>
      </c>
      <c r="Q32" s="163">
        <v>22816</v>
      </c>
      <c r="R32" s="163">
        <v>34717</v>
      </c>
      <c r="S32" s="163">
        <v>25972.9</v>
      </c>
      <c r="T32" s="164">
        <v>6965.1</v>
      </c>
      <c r="U32" s="129"/>
      <c r="V32" s="143">
        <f t="shared" si="1"/>
        <v>-526.91999999999996</v>
      </c>
      <c r="W32" s="143">
        <f t="shared" si="2"/>
        <v>-543.21</v>
      </c>
      <c r="X32" s="143">
        <f t="shared" si="3"/>
        <v>-535.76</v>
      </c>
      <c r="Y32" s="143">
        <f t="shared" si="4"/>
        <v>-454.36</v>
      </c>
      <c r="Z32" s="143">
        <f t="shared" si="5"/>
        <v>-487.17</v>
      </c>
      <c r="AA32" s="143">
        <f t="shared" si="6"/>
        <v>-386.87</v>
      </c>
      <c r="AB32" s="143">
        <f t="shared" si="7"/>
        <v>-333.74</v>
      </c>
      <c r="AC32" s="143">
        <f t="shared" si="8"/>
        <v>-238.44</v>
      </c>
      <c r="AD32" s="143">
        <f t="shared" si="9"/>
        <v>-161.19</v>
      </c>
      <c r="AE32" s="143">
        <f t="shared" si="10"/>
        <v>-219.03</v>
      </c>
      <c r="AF32" s="143">
        <f t="shared" si="11"/>
        <v>-333.28</v>
      </c>
      <c r="AG32" s="143">
        <f t="shared" si="12"/>
        <v>-249.34</v>
      </c>
      <c r="AH32" s="148">
        <f t="shared" si="13"/>
        <v>-66.86</v>
      </c>
      <c r="AI32" s="212">
        <f t="shared" si="14"/>
        <v>-4536.17</v>
      </c>
      <c r="AK32" s="143">
        <f t="shared" si="15"/>
        <v>-4743.5583720249297</v>
      </c>
    </row>
    <row r="33" spans="1:37" x14ac:dyDescent="0.25">
      <c r="A33" s="121">
        <f t="shared" si="0"/>
        <v>27</v>
      </c>
      <c r="B33" s="159" t="s">
        <v>110</v>
      </c>
      <c r="C33" s="159" t="s">
        <v>84</v>
      </c>
      <c r="D33" s="159" t="s">
        <v>110</v>
      </c>
      <c r="E33" s="159" t="s">
        <v>98</v>
      </c>
      <c r="F33" s="150">
        <v>-8.6E-3</v>
      </c>
      <c r="G33" s="129"/>
      <c r="H33" s="163">
        <v>34165</v>
      </c>
      <c r="I33" s="163">
        <v>41589</v>
      </c>
      <c r="J33" s="163">
        <v>40202</v>
      </c>
      <c r="K33" s="163">
        <v>18415</v>
      </c>
      <c r="L33" s="163">
        <v>18372</v>
      </c>
      <c r="M33" s="163">
        <v>5591</v>
      </c>
      <c r="N33" s="163">
        <v>2044</v>
      </c>
      <c r="O33" s="163">
        <v>1881</v>
      </c>
      <c r="P33" s="163">
        <v>1085</v>
      </c>
      <c r="Q33" s="163">
        <v>306</v>
      </c>
      <c r="R33" s="163">
        <v>7181</v>
      </c>
      <c r="S33" s="163">
        <v>6813</v>
      </c>
      <c r="T33" s="164">
        <v>0</v>
      </c>
      <c r="U33" s="129"/>
      <c r="V33" s="143">
        <f t="shared" si="1"/>
        <v>-293.82</v>
      </c>
      <c r="W33" s="143">
        <f t="shared" si="2"/>
        <v>-357.67</v>
      </c>
      <c r="X33" s="143">
        <f t="shared" si="3"/>
        <v>-345.74</v>
      </c>
      <c r="Y33" s="143">
        <f t="shared" si="4"/>
        <v>-158.37</v>
      </c>
      <c r="Z33" s="143">
        <f t="shared" si="5"/>
        <v>-158</v>
      </c>
      <c r="AA33" s="143">
        <f t="shared" si="6"/>
        <v>-48.08</v>
      </c>
      <c r="AB33" s="143">
        <f t="shared" si="7"/>
        <v>-17.579999999999998</v>
      </c>
      <c r="AC33" s="143">
        <f t="shared" si="8"/>
        <v>-16.18</v>
      </c>
      <c r="AD33" s="143">
        <f t="shared" si="9"/>
        <v>-9.33</v>
      </c>
      <c r="AE33" s="143">
        <f t="shared" si="10"/>
        <v>-2.63</v>
      </c>
      <c r="AF33" s="143">
        <f t="shared" si="11"/>
        <v>-61.76</v>
      </c>
      <c r="AG33" s="143">
        <f t="shared" si="12"/>
        <v>-58.59</v>
      </c>
      <c r="AH33" s="148">
        <f t="shared" si="13"/>
        <v>0</v>
      </c>
      <c r="AI33" s="212">
        <f t="shared" si="14"/>
        <v>-1527.7499999999998</v>
      </c>
      <c r="AK33" s="143">
        <f t="shared" si="15"/>
        <v>-1597.5969381352738</v>
      </c>
    </row>
    <row r="34" spans="1:37" x14ac:dyDescent="0.25">
      <c r="A34" s="121">
        <f t="shared" si="0"/>
        <v>28</v>
      </c>
      <c r="B34" s="159"/>
      <c r="C34" s="159" t="s">
        <v>84</v>
      </c>
      <c r="D34" s="159" t="s">
        <v>110</v>
      </c>
      <c r="E34" s="159" t="s">
        <v>111</v>
      </c>
      <c r="F34" s="150">
        <v>-6.5900000000000004E-3</v>
      </c>
      <c r="G34" s="129"/>
      <c r="H34" s="163">
        <v>0</v>
      </c>
      <c r="I34" s="163">
        <v>1303</v>
      </c>
      <c r="J34" s="163">
        <v>2710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163">
        <v>0</v>
      </c>
      <c r="T34" s="164">
        <v>0</v>
      </c>
      <c r="U34" s="129"/>
      <c r="V34" s="143">
        <f t="shared" si="1"/>
        <v>0</v>
      </c>
      <c r="W34" s="143">
        <f t="shared" si="2"/>
        <v>-8.59</v>
      </c>
      <c r="X34" s="143">
        <f t="shared" si="3"/>
        <v>-17.86</v>
      </c>
      <c r="Y34" s="143">
        <f t="shared" si="4"/>
        <v>0</v>
      </c>
      <c r="Z34" s="143">
        <f t="shared" si="5"/>
        <v>0</v>
      </c>
      <c r="AA34" s="143">
        <f t="shared" si="6"/>
        <v>0</v>
      </c>
      <c r="AB34" s="143">
        <f t="shared" si="7"/>
        <v>0</v>
      </c>
      <c r="AC34" s="143">
        <f t="shared" si="8"/>
        <v>0</v>
      </c>
      <c r="AD34" s="143">
        <f t="shared" si="9"/>
        <v>0</v>
      </c>
      <c r="AE34" s="143">
        <f t="shared" si="10"/>
        <v>0</v>
      </c>
      <c r="AF34" s="143">
        <f t="shared" si="11"/>
        <v>0</v>
      </c>
      <c r="AG34" s="143">
        <f t="shared" si="12"/>
        <v>0</v>
      </c>
      <c r="AH34" s="148">
        <f t="shared" si="13"/>
        <v>0</v>
      </c>
      <c r="AI34" s="212">
        <f t="shared" si="14"/>
        <v>-26.45</v>
      </c>
      <c r="AK34" s="143">
        <f t="shared" si="15"/>
        <v>-27.659262977370645</v>
      </c>
    </row>
    <row r="35" spans="1:37" x14ac:dyDescent="0.25">
      <c r="A35" s="121">
        <f t="shared" si="0"/>
        <v>29</v>
      </c>
      <c r="B35" s="159"/>
      <c r="C35" s="159" t="s">
        <v>84</v>
      </c>
      <c r="D35" s="159" t="s">
        <v>110</v>
      </c>
      <c r="E35" s="159" t="s">
        <v>112</v>
      </c>
      <c r="F35" s="150">
        <v>-5.2700000000000004E-3</v>
      </c>
      <c r="G35" s="129"/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4">
        <v>0</v>
      </c>
      <c r="U35" s="129"/>
      <c r="V35" s="143">
        <f t="shared" si="1"/>
        <v>0</v>
      </c>
      <c r="W35" s="143">
        <f t="shared" si="2"/>
        <v>0</v>
      </c>
      <c r="X35" s="143">
        <f t="shared" si="3"/>
        <v>0</v>
      </c>
      <c r="Y35" s="143">
        <f t="shared" si="4"/>
        <v>0</v>
      </c>
      <c r="Z35" s="143">
        <f t="shared" si="5"/>
        <v>0</v>
      </c>
      <c r="AA35" s="143">
        <f t="shared" si="6"/>
        <v>0</v>
      </c>
      <c r="AB35" s="143">
        <f t="shared" si="7"/>
        <v>0</v>
      </c>
      <c r="AC35" s="143">
        <f t="shared" si="8"/>
        <v>0</v>
      </c>
      <c r="AD35" s="143">
        <f t="shared" si="9"/>
        <v>0</v>
      </c>
      <c r="AE35" s="143">
        <f t="shared" si="10"/>
        <v>0</v>
      </c>
      <c r="AF35" s="143">
        <f t="shared" si="11"/>
        <v>0</v>
      </c>
      <c r="AG35" s="143">
        <f t="shared" si="12"/>
        <v>0</v>
      </c>
      <c r="AH35" s="148">
        <f t="shared" si="13"/>
        <v>0</v>
      </c>
      <c r="AI35" s="212">
        <f t="shared" si="14"/>
        <v>0</v>
      </c>
      <c r="AK35" s="143">
        <f t="shared" si="15"/>
        <v>0</v>
      </c>
    </row>
    <row r="36" spans="1:37" x14ac:dyDescent="0.25">
      <c r="A36" s="121">
        <f t="shared" si="0"/>
        <v>30</v>
      </c>
      <c r="B36" s="159"/>
      <c r="C36" s="159" t="s">
        <v>84</v>
      </c>
      <c r="D36" s="159" t="s">
        <v>110</v>
      </c>
      <c r="E36" s="159" t="s">
        <v>113</v>
      </c>
      <c r="F36" s="150">
        <v>-3.5200000000000001E-3</v>
      </c>
      <c r="G36" s="129"/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4">
        <v>0</v>
      </c>
      <c r="U36" s="129"/>
      <c r="V36" s="143">
        <f t="shared" si="1"/>
        <v>0</v>
      </c>
      <c r="W36" s="143">
        <f t="shared" si="2"/>
        <v>0</v>
      </c>
      <c r="X36" s="143">
        <f t="shared" si="3"/>
        <v>0</v>
      </c>
      <c r="Y36" s="143">
        <f t="shared" si="4"/>
        <v>0</v>
      </c>
      <c r="Z36" s="143">
        <f t="shared" si="5"/>
        <v>0</v>
      </c>
      <c r="AA36" s="143">
        <f t="shared" si="6"/>
        <v>0</v>
      </c>
      <c r="AB36" s="143">
        <f t="shared" si="7"/>
        <v>0</v>
      </c>
      <c r="AC36" s="143">
        <f t="shared" si="8"/>
        <v>0</v>
      </c>
      <c r="AD36" s="143">
        <f t="shared" si="9"/>
        <v>0</v>
      </c>
      <c r="AE36" s="143">
        <f t="shared" si="10"/>
        <v>0</v>
      </c>
      <c r="AF36" s="143">
        <f t="shared" si="11"/>
        <v>0</v>
      </c>
      <c r="AG36" s="143">
        <f t="shared" si="12"/>
        <v>0</v>
      </c>
      <c r="AH36" s="148">
        <f t="shared" si="13"/>
        <v>0</v>
      </c>
      <c r="AI36" s="212">
        <f t="shared" si="14"/>
        <v>0</v>
      </c>
      <c r="AK36" s="143">
        <f t="shared" si="15"/>
        <v>0</v>
      </c>
    </row>
    <row r="37" spans="1:37" x14ac:dyDescent="0.25">
      <c r="A37" s="121">
        <f t="shared" si="0"/>
        <v>31</v>
      </c>
      <c r="B37" s="160"/>
      <c r="C37" s="160" t="s">
        <v>84</v>
      </c>
      <c r="D37" s="160" t="s">
        <v>110</v>
      </c>
      <c r="E37" s="160" t="s">
        <v>114</v>
      </c>
      <c r="F37" s="149">
        <v>-1.32E-3</v>
      </c>
      <c r="G37" s="127"/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2">
        <v>0</v>
      </c>
      <c r="U37" s="127"/>
      <c r="V37" s="142">
        <f t="shared" si="1"/>
        <v>0</v>
      </c>
      <c r="W37" s="142">
        <f t="shared" si="2"/>
        <v>0</v>
      </c>
      <c r="X37" s="142">
        <f t="shared" si="3"/>
        <v>0</v>
      </c>
      <c r="Y37" s="142">
        <f t="shared" si="4"/>
        <v>0</v>
      </c>
      <c r="Z37" s="142">
        <f t="shared" si="5"/>
        <v>0</v>
      </c>
      <c r="AA37" s="142">
        <f t="shared" si="6"/>
        <v>0</v>
      </c>
      <c r="AB37" s="142">
        <f t="shared" si="7"/>
        <v>0</v>
      </c>
      <c r="AC37" s="142">
        <f t="shared" si="8"/>
        <v>0</v>
      </c>
      <c r="AD37" s="142">
        <f t="shared" si="9"/>
        <v>0</v>
      </c>
      <c r="AE37" s="142">
        <f t="shared" si="10"/>
        <v>0</v>
      </c>
      <c r="AF37" s="142">
        <f t="shared" si="11"/>
        <v>0</v>
      </c>
      <c r="AG37" s="142">
        <f t="shared" si="12"/>
        <v>0</v>
      </c>
      <c r="AH37" s="147">
        <f t="shared" si="13"/>
        <v>0</v>
      </c>
      <c r="AI37" s="211">
        <f t="shared" si="14"/>
        <v>0</v>
      </c>
      <c r="AK37" s="142">
        <f t="shared" si="15"/>
        <v>0</v>
      </c>
    </row>
    <row r="38" spans="1:37" ht="12" customHeight="1" x14ac:dyDescent="0.25">
      <c r="A38" s="121">
        <f t="shared" si="0"/>
        <v>32</v>
      </c>
      <c r="B38" s="159" t="s">
        <v>115</v>
      </c>
      <c r="C38" s="159" t="s">
        <v>84</v>
      </c>
      <c r="D38" s="159" t="s">
        <v>116</v>
      </c>
      <c r="E38" s="159" t="s">
        <v>97</v>
      </c>
      <c r="F38" s="150">
        <v>0</v>
      </c>
      <c r="G38" s="129"/>
      <c r="H38" s="163">
        <v>96662.8</v>
      </c>
      <c r="I38" s="163">
        <v>102743</v>
      </c>
      <c r="J38" s="163">
        <v>102916</v>
      </c>
      <c r="K38" s="163">
        <v>102810</v>
      </c>
      <c r="L38" s="163">
        <v>100495</v>
      </c>
      <c r="M38" s="163">
        <v>78258</v>
      </c>
      <c r="N38" s="163">
        <v>67862</v>
      </c>
      <c r="O38" s="163">
        <v>68359</v>
      </c>
      <c r="P38" s="163">
        <v>44320.5</v>
      </c>
      <c r="Q38" s="163">
        <v>63942.400000000001</v>
      </c>
      <c r="R38" s="163">
        <v>63541.8</v>
      </c>
      <c r="S38" s="163">
        <v>83917.5</v>
      </c>
      <c r="T38" s="164">
        <v>37147.800000000003</v>
      </c>
      <c r="U38" s="129"/>
      <c r="V38" s="143">
        <f t="shared" si="1"/>
        <v>0</v>
      </c>
      <c r="W38" s="143">
        <f t="shared" si="2"/>
        <v>0</v>
      </c>
      <c r="X38" s="143">
        <f t="shared" si="3"/>
        <v>0</v>
      </c>
      <c r="Y38" s="143">
        <f t="shared" si="4"/>
        <v>0</v>
      </c>
      <c r="Z38" s="143">
        <f t="shared" si="5"/>
        <v>0</v>
      </c>
      <c r="AA38" s="143">
        <f t="shared" si="6"/>
        <v>0</v>
      </c>
      <c r="AB38" s="143">
        <f t="shared" si="7"/>
        <v>0</v>
      </c>
      <c r="AC38" s="143">
        <f t="shared" si="8"/>
        <v>0</v>
      </c>
      <c r="AD38" s="143">
        <f t="shared" si="9"/>
        <v>0</v>
      </c>
      <c r="AE38" s="143">
        <f t="shared" si="10"/>
        <v>0</v>
      </c>
      <c r="AF38" s="143">
        <f t="shared" si="11"/>
        <v>0</v>
      </c>
      <c r="AG38" s="143">
        <f t="shared" si="12"/>
        <v>0</v>
      </c>
      <c r="AH38" s="148">
        <f t="shared" si="13"/>
        <v>0</v>
      </c>
      <c r="AI38" s="212">
        <f t="shared" si="14"/>
        <v>0</v>
      </c>
      <c r="AK38" s="143">
        <f t="shared" si="15"/>
        <v>0</v>
      </c>
    </row>
    <row r="39" spans="1:37" x14ac:dyDescent="0.25">
      <c r="A39" s="121">
        <f t="shared" si="0"/>
        <v>33</v>
      </c>
      <c r="B39" s="159" t="s">
        <v>116</v>
      </c>
      <c r="C39" s="159" t="s">
        <v>84</v>
      </c>
      <c r="D39" s="159" t="s">
        <v>116</v>
      </c>
      <c r="E39" s="159" t="s">
        <v>98</v>
      </c>
      <c r="F39" s="150">
        <v>0</v>
      </c>
      <c r="G39" s="129"/>
      <c r="H39" s="163">
        <v>66762.7</v>
      </c>
      <c r="I39" s="163">
        <v>83583.199999999997</v>
      </c>
      <c r="J39" s="163">
        <v>92468.800000000003</v>
      </c>
      <c r="K39" s="163">
        <v>72380.800000000003</v>
      </c>
      <c r="L39" s="163">
        <v>76473.600000000006</v>
      </c>
      <c r="M39" s="163">
        <v>40119.4</v>
      </c>
      <c r="N39" s="163">
        <v>40978.1</v>
      </c>
      <c r="O39" s="163">
        <v>38870.800000000003</v>
      </c>
      <c r="P39" s="163">
        <v>32116.5</v>
      </c>
      <c r="Q39" s="163">
        <v>43114.9</v>
      </c>
      <c r="R39" s="163">
        <v>44040.2</v>
      </c>
      <c r="S39" s="163">
        <v>46426</v>
      </c>
      <c r="T39" s="164">
        <v>4499.2</v>
      </c>
      <c r="U39" s="129"/>
      <c r="V39" s="143">
        <f t="shared" si="1"/>
        <v>0</v>
      </c>
      <c r="W39" s="143">
        <f t="shared" si="2"/>
        <v>0</v>
      </c>
      <c r="X39" s="143">
        <f t="shared" si="3"/>
        <v>0</v>
      </c>
      <c r="Y39" s="143">
        <f t="shared" si="4"/>
        <v>0</v>
      </c>
      <c r="Z39" s="143">
        <f t="shared" si="5"/>
        <v>0</v>
      </c>
      <c r="AA39" s="143">
        <f t="shared" si="6"/>
        <v>0</v>
      </c>
      <c r="AB39" s="143">
        <f t="shared" si="7"/>
        <v>0</v>
      </c>
      <c r="AC39" s="143">
        <f t="shared" si="8"/>
        <v>0</v>
      </c>
      <c r="AD39" s="143">
        <f t="shared" si="9"/>
        <v>0</v>
      </c>
      <c r="AE39" s="143">
        <f t="shared" si="10"/>
        <v>0</v>
      </c>
      <c r="AF39" s="143">
        <f t="shared" si="11"/>
        <v>0</v>
      </c>
      <c r="AG39" s="143">
        <f t="shared" si="12"/>
        <v>0</v>
      </c>
      <c r="AH39" s="148">
        <f t="shared" si="13"/>
        <v>0</v>
      </c>
      <c r="AI39" s="212">
        <f t="shared" si="14"/>
        <v>0</v>
      </c>
      <c r="AK39" s="143">
        <f t="shared" si="15"/>
        <v>0</v>
      </c>
    </row>
    <row r="40" spans="1:37" x14ac:dyDescent="0.25">
      <c r="A40" s="121">
        <f t="shared" si="0"/>
        <v>34</v>
      </c>
      <c r="B40" s="159"/>
      <c r="C40" s="159" t="s">
        <v>84</v>
      </c>
      <c r="D40" s="159" t="s">
        <v>116</v>
      </c>
      <c r="E40" s="159" t="s">
        <v>111</v>
      </c>
      <c r="F40" s="150">
        <v>0</v>
      </c>
      <c r="G40" s="129"/>
      <c r="H40" s="163">
        <v>7821</v>
      </c>
      <c r="I40" s="163">
        <v>14694</v>
      </c>
      <c r="J40" s="163">
        <v>15221</v>
      </c>
      <c r="K40" s="163">
        <v>1283</v>
      </c>
      <c r="L40" s="163">
        <v>8512</v>
      </c>
      <c r="M40" s="163">
        <v>665</v>
      </c>
      <c r="N40" s="163">
        <v>2646</v>
      </c>
      <c r="O40" s="163">
        <v>1206</v>
      </c>
      <c r="P40" s="163">
        <v>0</v>
      </c>
      <c r="Q40" s="163">
        <v>3453</v>
      </c>
      <c r="R40" s="163">
        <v>0</v>
      </c>
      <c r="S40" s="163">
        <v>140</v>
      </c>
      <c r="T40" s="164">
        <v>0</v>
      </c>
      <c r="U40" s="129"/>
      <c r="V40" s="143">
        <f t="shared" si="1"/>
        <v>0</v>
      </c>
      <c r="W40" s="143">
        <f t="shared" si="2"/>
        <v>0</v>
      </c>
      <c r="X40" s="143">
        <f t="shared" si="3"/>
        <v>0</v>
      </c>
      <c r="Y40" s="143">
        <f t="shared" si="4"/>
        <v>0</v>
      </c>
      <c r="Z40" s="143">
        <f t="shared" si="5"/>
        <v>0</v>
      </c>
      <c r="AA40" s="143">
        <f t="shared" si="6"/>
        <v>0</v>
      </c>
      <c r="AB40" s="143">
        <f t="shared" si="7"/>
        <v>0</v>
      </c>
      <c r="AC40" s="143">
        <f t="shared" si="8"/>
        <v>0</v>
      </c>
      <c r="AD40" s="143">
        <f t="shared" si="9"/>
        <v>0</v>
      </c>
      <c r="AE40" s="143">
        <f t="shared" si="10"/>
        <v>0</v>
      </c>
      <c r="AF40" s="143">
        <f t="shared" si="11"/>
        <v>0</v>
      </c>
      <c r="AG40" s="143">
        <f t="shared" si="12"/>
        <v>0</v>
      </c>
      <c r="AH40" s="148">
        <f t="shared" si="13"/>
        <v>0</v>
      </c>
      <c r="AI40" s="212">
        <f t="shared" si="14"/>
        <v>0</v>
      </c>
      <c r="AK40" s="143">
        <f t="shared" si="15"/>
        <v>0</v>
      </c>
    </row>
    <row r="41" spans="1:37" x14ac:dyDescent="0.25">
      <c r="A41" s="121">
        <f t="shared" si="0"/>
        <v>35</v>
      </c>
      <c r="B41" s="159"/>
      <c r="C41" s="159" t="s">
        <v>84</v>
      </c>
      <c r="D41" s="159" t="s">
        <v>116</v>
      </c>
      <c r="E41" s="159" t="s">
        <v>112</v>
      </c>
      <c r="F41" s="150">
        <v>0</v>
      </c>
      <c r="G41" s="129"/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163">
        <v>0</v>
      </c>
      <c r="T41" s="164">
        <v>0</v>
      </c>
      <c r="U41" s="129"/>
      <c r="V41" s="143">
        <f t="shared" si="1"/>
        <v>0</v>
      </c>
      <c r="W41" s="143">
        <f t="shared" si="2"/>
        <v>0</v>
      </c>
      <c r="X41" s="143">
        <f t="shared" si="3"/>
        <v>0</v>
      </c>
      <c r="Y41" s="143">
        <f t="shared" si="4"/>
        <v>0</v>
      </c>
      <c r="Z41" s="143">
        <f t="shared" si="5"/>
        <v>0</v>
      </c>
      <c r="AA41" s="143">
        <f t="shared" si="6"/>
        <v>0</v>
      </c>
      <c r="AB41" s="143">
        <f t="shared" si="7"/>
        <v>0</v>
      </c>
      <c r="AC41" s="143">
        <f t="shared" si="8"/>
        <v>0</v>
      </c>
      <c r="AD41" s="143">
        <f t="shared" si="9"/>
        <v>0</v>
      </c>
      <c r="AE41" s="143">
        <f t="shared" si="10"/>
        <v>0</v>
      </c>
      <c r="AF41" s="143">
        <f t="shared" si="11"/>
        <v>0</v>
      </c>
      <c r="AG41" s="143">
        <f t="shared" si="12"/>
        <v>0</v>
      </c>
      <c r="AH41" s="148">
        <f t="shared" si="13"/>
        <v>0</v>
      </c>
      <c r="AI41" s="212">
        <f t="shared" si="14"/>
        <v>0</v>
      </c>
      <c r="AK41" s="143">
        <f t="shared" si="15"/>
        <v>0</v>
      </c>
    </row>
    <row r="42" spans="1:37" x14ac:dyDescent="0.25">
      <c r="A42" s="121">
        <f t="shared" si="0"/>
        <v>36</v>
      </c>
      <c r="B42" s="159"/>
      <c r="C42" s="159" t="s">
        <v>84</v>
      </c>
      <c r="D42" s="159" t="s">
        <v>116</v>
      </c>
      <c r="E42" s="159" t="s">
        <v>113</v>
      </c>
      <c r="F42" s="150">
        <v>0</v>
      </c>
      <c r="G42" s="129"/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163">
        <v>0</v>
      </c>
      <c r="T42" s="164">
        <v>0</v>
      </c>
      <c r="U42" s="129"/>
      <c r="V42" s="143">
        <f t="shared" si="1"/>
        <v>0</v>
      </c>
      <c r="W42" s="143">
        <f t="shared" si="2"/>
        <v>0</v>
      </c>
      <c r="X42" s="143">
        <f t="shared" si="3"/>
        <v>0</v>
      </c>
      <c r="Y42" s="143">
        <f t="shared" si="4"/>
        <v>0</v>
      </c>
      <c r="Z42" s="143">
        <f t="shared" si="5"/>
        <v>0</v>
      </c>
      <c r="AA42" s="143">
        <f t="shared" si="6"/>
        <v>0</v>
      </c>
      <c r="AB42" s="143">
        <f t="shared" si="7"/>
        <v>0</v>
      </c>
      <c r="AC42" s="143">
        <f t="shared" si="8"/>
        <v>0</v>
      </c>
      <c r="AD42" s="143">
        <f t="shared" si="9"/>
        <v>0</v>
      </c>
      <c r="AE42" s="143">
        <f t="shared" si="10"/>
        <v>0</v>
      </c>
      <c r="AF42" s="143">
        <f t="shared" si="11"/>
        <v>0</v>
      </c>
      <c r="AG42" s="143">
        <f t="shared" si="12"/>
        <v>0</v>
      </c>
      <c r="AH42" s="148">
        <f t="shared" si="13"/>
        <v>0</v>
      </c>
      <c r="AI42" s="212">
        <f t="shared" si="14"/>
        <v>0</v>
      </c>
      <c r="AK42" s="143">
        <f t="shared" si="15"/>
        <v>0</v>
      </c>
    </row>
    <row r="43" spans="1:37" x14ac:dyDescent="0.25">
      <c r="A43" s="121">
        <f t="shared" si="0"/>
        <v>37</v>
      </c>
      <c r="B43" s="160"/>
      <c r="C43" s="160" t="s">
        <v>84</v>
      </c>
      <c r="D43" s="160" t="s">
        <v>116</v>
      </c>
      <c r="E43" s="160" t="s">
        <v>114</v>
      </c>
      <c r="F43" s="149">
        <v>0</v>
      </c>
      <c r="G43" s="127"/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162">
        <v>0</v>
      </c>
      <c r="U43" s="127"/>
      <c r="V43" s="142">
        <f t="shared" si="1"/>
        <v>0</v>
      </c>
      <c r="W43" s="142">
        <f t="shared" si="2"/>
        <v>0</v>
      </c>
      <c r="X43" s="142">
        <f t="shared" si="3"/>
        <v>0</v>
      </c>
      <c r="Y43" s="142">
        <f t="shared" si="4"/>
        <v>0</v>
      </c>
      <c r="Z43" s="142">
        <f t="shared" si="5"/>
        <v>0</v>
      </c>
      <c r="AA43" s="142">
        <f t="shared" si="6"/>
        <v>0</v>
      </c>
      <c r="AB43" s="142">
        <f t="shared" si="7"/>
        <v>0</v>
      </c>
      <c r="AC43" s="142">
        <f t="shared" si="8"/>
        <v>0</v>
      </c>
      <c r="AD43" s="142">
        <f t="shared" si="9"/>
        <v>0</v>
      </c>
      <c r="AE43" s="142">
        <f t="shared" si="10"/>
        <v>0</v>
      </c>
      <c r="AF43" s="142">
        <f t="shared" si="11"/>
        <v>0</v>
      </c>
      <c r="AG43" s="142">
        <f t="shared" si="12"/>
        <v>0</v>
      </c>
      <c r="AH43" s="147">
        <f t="shared" si="13"/>
        <v>0</v>
      </c>
      <c r="AI43" s="211">
        <f t="shared" si="14"/>
        <v>0</v>
      </c>
      <c r="AK43" s="142">
        <f t="shared" si="15"/>
        <v>0</v>
      </c>
    </row>
    <row r="44" spans="1:37" x14ac:dyDescent="0.25">
      <c r="A44" s="121">
        <f t="shared" si="0"/>
        <v>38</v>
      </c>
      <c r="B44" s="159" t="s">
        <v>117</v>
      </c>
      <c r="C44" s="159" t="s">
        <v>84</v>
      </c>
      <c r="D44" s="159" t="s">
        <v>118</v>
      </c>
      <c r="E44" s="159" t="s">
        <v>97</v>
      </c>
      <c r="F44" s="150">
        <v>0</v>
      </c>
      <c r="G44" s="129"/>
      <c r="H44" s="163">
        <v>30000</v>
      </c>
      <c r="I44" s="163">
        <v>30000</v>
      </c>
      <c r="J44" s="163">
        <v>30000</v>
      </c>
      <c r="K44" s="163">
        <v>30000</v>
      </c>
      <c r="L44" s="163">
        <v>30000</v>
      </c>
      <c r="M44" s="163">
        <v>30000</v>
      </c>
      <c r="N44" s="163">
        <v>32603</v>
      </c>
      <c r="O44" s="163">
        <v>40000</v>
      </c>
      <c r="P44" s="163">
        <v>40000</v>
      </c>
      <c r="Q44" s="163">
        <v>40000</v>
      </c>
      <c r="R44" s="163">
        <v>30000</v>
      </c>
      <c r="S44" s="163">
        <v>50000</v>
      </c>
      <c r="T44" s="164">
        <v>0</v>
      </c>
      <c r="U44" s="129"/>
      <c r="V44" s="143">
        <f t="shared" si="1"/>
        <v>0</v>
      </c>
      <c r="W44" s="143">
        <f t="shared" si="2"/>
        <v>0</v>
      </c>
      <c r="X44" s="143">
        <f t="shared" si="3"/>
        <v>0</v>
      </c>
      <c r="Y44" s="143">
        <f t="shared" si="4"/>
        <v>0</v>
      </c>
      <c r="Z44" s="143">
        <f t="shared" si="5"/>
        <v>0</v>
      </c>
      <c r="AA44" s="143">
        <f t="shared" si="6"/>
        <v>0</v>
      </c>
      <c r="AB44" s="143">
        <f t="shared" si="7"/>
        <v>0</v>
      </c>
      <c r="AC44" s="143">
        <f t="shared" si="8"/>
        <v>0</v>
      </c>
      <c r="AD44" s="143">
        <f t="shared" si="9"/>
        <v>0</v>
      </c>
      <c r="AE44" s="143">
        <f t="shared" si="10"/>
        <v>0</v>
      </c>
      <c r="AF44" s="143">
        <f t="shared" si="11"/>
        <v>0</v>
      </c>
      <c r="AG44" s="143">
        <f t="shared" si="12"/>
        <v>0</v>
      </c>
      <c r="AH44" s="148">
        <f t="shared" si="13"/>
        <v>0</v>
      </c>
      <c r="AI44" s="212">
        <f t="shared" si="14"/>
        <v>0</v>
      </c>
      <c r="AK44" s="143">
        <f t="shared" si="15"/>
        <v>0</v>
      </c>
    </row>
    <row r="45" spans="1:37" x14ac:dyDescent="0.25">
      <c r="A45" s="121">
        <f t="shared" si="0"/>
        <v>39</v>
      </c>
      <c r="B45" s="159" t="s">
        <v>118</v>
      </c>
      <c r="C45" s="159" t="s">
        <v>84</v>
      </c>
      <c r="D45" s="159" t="s">
        <v>118</v>
      </c>
      <c r="E45" s="159" t="s">
        <v>98</v>
      </c>
      <c r="F45" s="150">
        <v>0</v>
      </c>
      <c r="G45" s="129"/>
      <c r="H45" s="163">
        <v>37323</v>
      </c>
      <c r="I45" s="163">
        <v>45845</v>
      </c>
      <c r="J45" s="163">
        <v>52937</v>
      </c>
      <c r="K45" s="163">
        <v>44062</v>
      </c>
      <c r="L45" s="163">
        <v>45902</v>
      </c>
      <c r="M45" s="163">
        <v>35523</v>
      </c>
      <c r="N45" s="163">
        <v>32756</v>
      </c>
      <c r="O45" s="163">
        <v>40139</v>
      </c>
      <c r="P45" s="163">
        <v>44885</v>
      </c>
      <c r="Q45" s="163">
        <v>43786</v>
      </c>
      <c r="R45" s="163">
        <v>44052</v>
      </c>
      <c r="S45" s="163">
        <v>56438</v>
      </c>
      <c r="T45" s="164">
        <v>0</v>
      </c>
      <c r="U45" s="129"/>
      <c r="V45" s="143">
        <f t="shared" si="1"/>
        <v>0</v>
      </c>
      <c r="W45" s="143">
        <f t="shared" si="2"/>
        <v>0</v>
      </c>
      <c r="X45" s="143">
        <f t="shared" si="3"/>
        <v>0</v>
      </c>
      <c r="Y45" s="143">
        <f t="shared" si="4"/>
        <v>0</v>
      </c>
      <c r="Z45" s="143">
        <f t="shared" si="5"/>
        <v>0</v>
      </c>
      <c r="AA45" s="143">
        <f t="shared" si="6"/>
        <v>0</v>
      </c>
      <c r="AB45" s="143">
        <f t="shared" si="7"/>
        <v>0</v>
      </c>
      <c r="AC45" s="143">
        <f t="shared" si="8"/>
        <v>0</v>
      </c>
      <c r="AD45" s="143">
        <f t="shared" si="9"/>
        <v>0</v>
      </c>
      <c r="AE45" s="143">
        <f t="shared" si="10"/>
        <v>0</v>
      </c>
      <c r="AF45" s="143">
        <f t="shared" si="11"/>
        <v>0</v>
      </c>
      <c r="AG45" s="143">
        <f t="shared" si="12"/>
        <v>0</v>
      </c>
      <c r="AH45" s="148">
        <f t="shared" si="13"/>
        <v>0</v>
      </c>
      <c r="AI45" s="212">
        <f t="shared" si="14"/>
        <v>0</v>
      </c>
      <c r="AK45" s="143">
        <f t="shared" si="15"/>
        <v>0</v>
      </c>
    </row>
    <row r="46" spans="1:37" x14ac:dyDescent="0.25">
      <c r="A46" s="121">
        <f t="shared" si="0"/>
        <v>40</v>
      </c>
      <c r="B46" s="159"/>
      <c r="C46" s="159" t="s">
        <v>84</v>
      </c>
      <c r="D46" s="159" t="s">
        <v>118</v>
      </c>
      <c r="E46" s="159" t="s">
        <v>111</v>
      </c>
      <c r="F46" s="150">
        <v>0</v>
      </c>
      <c r="G46" s="129"/>
      <c r="H46" s="163">
        <v>20000</v>
      </c>
      <c r="I46" s="163">
        <v>20000</v>
      </c>
      <c r="J46" s="163">
        <v>23871</v>
      </c>
      <c r="K46" s="163">
        <v>20000</v>
      </c>
      <c r="L46" s="163">
        <v>20000</v>
      </c>
      <c r="M46" s="163">
        <v>20000</v>
      </c>
      <c r="N46" s="163">
        <v>20000</v>
      </c>
      <c r="O46" s="163">
        <v>11887</v>
      </c>
      <c r="P46" s="163">
        <v>15013</v>
      </c>
      <c r="Q46" s="163">
        <v>22805</v>
      </c>
      <c r="R46" s="163">
        <v>22147</v>
      </c>
      <c r="S46" s="163">
        <v>28127</v>
      </c>
      <c r="T46" s="164">
        <v>0</v>
      </c>
      <c r="U46" s="129"/>
      <c r="V46" s="143">
        <f t="shared" si="1"/>
        <v>0</v>
      </c>
      <c r="W46" s="143">
        <f t="shared" si="2"/>
        <v>0</v>
      </c>
      <c r="X46" s="143">
        <f t="shared" si="3"/>
        <v>0</v>
      </c>
      <c r="Y46" s="143">
        <f t="shared" si="4"/>
        <v>0</v>
      </c>
      <c r="Z46" s="143">
        <f t="shared" si="5"/>
        <v>0</v>
      </c>
      <c r="AA46" s="143">
        <f t="shared" si="6"/>
        <v>0</v>
      </c>
      <c r="AB46" s="143">
        <f t="shared" si="7"/>
        <v>0</v>
      </c>
      <c r="AC46" s="143">
        <f t="shared" si="8"/>
        <v>0</v>
      </c>
      <c r="AD46" s="143">
        <f t="shared" si="9"/>
        <v>0</v>
      </c>
      <c r="AE46" s="143">
        <f t="shared" si="10"/>
        <v>0</v>
      </c>
      <c r="AF46" s="143">
        <f t="shared" si="11"/>
        <v>0</v>
      </c>
      <c r="AG46" s="143">
        <f t="shared" si="12"/>
        <v>0</v>
      </c>
      <c r="AH46" s="148">
        <f t="shared" si="13"/>
        <v>0</v>
      </c>
      <c r="AI46" s="212">
        <f t="shared" si="14"/>
        <v>0</v>
      </c>
      <c r="AK46" s="143">
        <f t="shared" si="15"/>
        <v>0</v>
      </c>
    </row>
    <row r="47" spans="1:37" x14ac:dyDescent="0.25">
      <c r="A47" s="121">
        <f t="shared" si="0"/>
        <v>41</v>
      </c>
      <c r="B47" s="159"/>
      <c r="C47" s="159" t="s">
        <v>84</v>
      </c>
      <c r="D47" s="159" t="s">
        <v>118</v>
      </c>
      <c r="E47" s="159" t="s">
        <v>112</v>
      </c>
      <c r="F47" s="150">
        <v>0</v>
      </c>
      <c r="G47" s="129"/>
      <c r="H47" s="163">
        <v>22196</v>
      </c>
      <c r="I47" s="163">
        <v>26338</v>
      </c>
      <c r="J47" s="163">
        <v>25011</v>
      </c>
      <c r="K47" s="163">
        <v>12610</v>
      </c>
      <c r="L47" s="163">
        <v>18109</v>
      </c>
      <c r="M47" s="163">
        <v>12164</v>
      </c>
      <c r="N47" s="163">
        <v>9817</v>
      </c>
      <c r="O47" s="163">
        <v>0</v>
      </c>
      <c r="P47" s="163">
        <v>0</v>
      </c>
      <c r="Q47" s="163">
        <v>0</v>
      </c>
      <c r="R47" s="163">
        <v>6440</v>
      </c>
      <c r="S47" s="163">
        <v>22574</v>
      </c>
      <c r="T47" s="164">
        <v>0</v>
      </c>
      <c r="U47" s="129"/>
      <c r="V47" s="143">
        <f t="shared" si="1"/>
        <v>0</v>
      </c>
      <c r="W47" s="143">
        <f t="shared" si="2"/>
        <v>0</v>
      </c>
      <c r="X47" s="143">
        <f t="shared" si="3"/>
        <v>0</v>
      </c>
      <c r="Y47" s="143">
        <f t="shared" si="4"/>
        <v>0</v>
      </c>
      <c r="Z47" s="143">
        <f t="shared" si="5"/>
        <v>0</v>
      </c>
      <c r="AA47" s="143">
        <f t="shared" si="6"/>
        <v>0</v>
      </c>
      <c r="AB47" s="143">
        <f t="shared" si="7"/>
        <v>0</v>
      </c>
      <c r="AC47" s="143">
        <f t="shared" si="8"/>
        <v>0</v>
      </c>
      <c r="AD47" s="143">
        <f t="shared" si="9"/>
        <v>0</v>
      </c>
      <c r="AE47" s="143">
        <f t="shared" si="10"/>
        <v>0</v>
      </c>
      <c r="AF47" s="143">
        <f t="shared" si="11"/>
        <v>0</v>
      </c>
      <c r="AG47" s="143">
        <f t="shared" si="12"/>
        <v>0</v>
      </c>
      <c r="AH47" s="148">
        <f t="shared" si="13"/>
        <v>0</v>
      </c>
      <c r="AI47" s="212">
        <f t="shared" si="14"/>
        <v>0</v>
      </c>
      <c r="AK47" s="143">
        <f t="shared" si="15"/>
        <v>0</v>
      </c>
    </row>
    <row r="48" spans="1:37" x14ac:dyDescent="0.25">
      <c r="A48" s="121">
        <f t="shared" si="0"/>
        <v>42</v>
      </c>
      <c r="B48" s="159"/>
      <c r="C48" s="159" t="s">
        <v>84</v>
      </c>
      <c r="D48" s="159" t="s">
        <v>118</v>
      </c>
      <c r="E48" s="159" t="s">
        <v>113</v>
      </c>
      <c r="F48" s="150">
        <v>0</v>
      </c>
      <c r="G48" s="129"/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163">
        <v>0</v>
      </c>
      <c r="T48" s="164">
        <v>0</v>
      </c>
      <c r="U48" s="129"/>
      <c r="V48" s="143">
        <f t="shared" si="1"/>
        <v>0</v>
      </c>
      <c r="W48" s="143">
        <f t="shared" si="2"/>
        <v>0</v>
      </c>
      <c r="X48" s="143">
        <f t="shared" si="3"/>
        <v>0</v>
      </c>
      <c r="Y48" s="143">
        <f t="shared" si="4"/>
        <v>0</v>
      </c>
      <c r="Z48" s="143">
        <f t="shared" si="5"/>
        <v>0</v>
      </c>
      <c r="AA48" s="143">
        <f t="shared" si="6"/>
        <v>0</v>
      </c>
      <c r="AB48" s="143">
        <f t="shared" si="7"/>
        <v>0</v>
      </c>
      <c r="AC48" s="143">
        <f t="shared" si="8"/>
        <v>0</v>
      </c>
      <c r="AD48" s="143">
        <f t="shared" si="9"/>
        <v>0</v>
      </c>
      <c r="AE48" s="143">
        <f t="shared" si="10"/>
        <v>0</v>
      </c>
      <c r="AF48" s="143">
        <f t="shared" si="11"/>
        <v>0</v>
      </c>
      <c r="AG48" s="143">
        <f t="shared" si="12"/>
        <v>0</v>
      </c>
      <c r="AH48" s="148">
        <f t="shared" si="13"/>
        <v>0</v>
      </c>
      <c r="AI48" s="212">
        <f t="shared" si="14"/>
        <v>0</v>
      </c>
      <c r="AK48" s="143">
        <f t="shared" si="15"/>
        <v>0</v>
      </c>
    </row>
    <row r="49" spans="1:37" x14ac:dyDescent="0.25">
      <c r="A49" s="121">
        <f t="shared" si="0"/>
        <v>43</v>
      </c>
      <c r="B49" s="160"/>
      <c r="C49" s="160" t="s">
        <v>84</v>
      </c>
      <c r="D49" s="160" t="s">
        <v>118</v>
      </c>
      <c r="E49" s="160" t="s">
        <v>114</v>
      </c>
      <c r="F49" s="149">
        <v>0</v>
      </c>
      <c r="G49" s="127"/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2">
        <v>0</v>
      </c>
      <c r="U49" s="127"/>
      <c r="V49" s="142">
        <f t="shared" si="1"/>
        <v>0</v>
      </c>
      <c r="W49" s="142">
        <f t="shared" si="2"/>
        <v>0</v>
      </c>
      <c r="X49" s="142">
        <f t="shared" si="3"/>
        <v>0</v>
      </c>
      <c r="Y49" s="142">
        <f t="shared" si="4"/>
        <v>0</v>
      </c>
      <c r="Z49" s="142">
        <f t="shared" si="5"/>
        <v>0</v>
      </c>
      <c r="AA49" s="142">
        <f t="shared" si="6"/>
        <v>0</v>
      </c>
      <c r="AB49" s="142">
        <f t="shared" si="7"/>
        <v>0</v>
      </c>
      <c r="AC49" s="142">
        <f t="shared" si="8"/>
        <v>0</v>
      </c>
      <c r="AD49" s="142">
        <f t="shared" si="9"/>
        <v>0</v>
      </c>
      <c r="AE49" s="142">
        <f t="shared" si="10"/>
        <v>0</v>
      </c>
      <c r="AF49" s="142">
        <f t="shared" si="11"/>
        <v>0</v>
      </c>
      <c r="AG49" s="142">
        <f t="shared" si="12"/>
        <v>0</v>
      </c>
      <c r="AH49" s="147">
        <f t="shared" si="13"/>
        <v>0</v>
      </c>
      <c r="AI49" s="211">
        <f t="shared" si="14"/>
        <v>0</v>
      </c>
      <c r="AK49" s="142">
        <f t="shared" si="15"/>
        <v>0</v>
      </c>
    </row>
    <row r="50" spans="1:37" x14ac:dyDescent="0.25">
      <c r="A50" s="121">
        <f t="shared" si="0"/>
        <v>44</v>
      </c>
      <c r="B50" s="159" t="s">
        <v>119</v>
      </c>
      <c r="C50" s="159" t="s">
        <v>84</v>
      </c>
      <c r="D50" s="159" t="s">
        <v>120</v>
      </c>
      <c r="E50" s="159" t="s">
        <v>97</v>
      </c>
      <c r="F50" s="150">
        <v>0</v>
      </c>
      <c r="G50" s="129"/>
      <c r="H50" s="163">
        <v>74709</v>
      </c>
      <c r="I50" s="163">
        <v>74198</v>
      </c>
      <c r="J50" s="163">
        <v>74541</v>
      </c>
      <c r="K50" s="163">
        <v>70490</v>
      </c>
      <c r="L50" s="163">
        <v>73335</v>
      </c>
      <c r="M50" s="163">
        <v>69031</v>
      </c>
      <c r="N50" s="163">
        <v>68873</v>
      </c>
      <c r="O50" s="163">
        <v>67960</v>
      </c>
      <c r="P50" s="163">
        <v>64875</v>
      </c>
      <c r="Q50" s="163">
        <v>64818</v>
      </c>
      <c r="R50" s="163">
        <v>65793</v>
      </c>
      <c r="S50" s="163">
        <v>69158</v>
      </c>
      <c r="T50" s="164">
        <v>0</v>
      </c>
      <c r="U50" s="129"/>
      <c r="V50" s="143">
        <f t="shared" si="1"/>
        <v>0</v>
      </c>
      <c r="W50" s="143">
        <f t="shared" si="2"/>
        <v>0</v>
      </c>
      <c r="X50" s="143">
        <f t="shared" si="3"/>
        <v>0</v>
      </c>
      <c r="Y50" s="143">
        <f t="shared" si="4"/>
        <v>0</v>
      </c>
      <c r="Z50" s="143">
        <f t="shared" si="5"/>
        <v>0</v>
      </c>
      <c r="AA50" s="143">
        <f t="shared" si="6"/>
        <v>0</v>
      </c>
      <c r="AB50" s="143">
        <f t="shared" si="7"/>
        <v>0</v>
      </c>
      <c r="AC50" s="143">
        <f t="shared" si="8"/>
        <v>0</v>
      </c>
      <c r="AD50" s="143">
        <f t="shared" si="9"/>
        <v>0</v>
      </c>
      <c r="AE50" s="143">
        <f t="shared" si="10"/>
        <v>0</v>
      </c>
      <c r="AF50" s="143">
        <f t="shared" si="11"/>
        <v>0</v>
      </c>
      <c r="AG50" s="143">
        <f t="shared" si="12"/>
        <v>0</v>
      </c>
      <c r="AH50" s="148">
        <f t="shared" si="13"/>
        <v>0</v>
      </c>
      <c r="AI50" s="212">
        <f t="shared" si="14"/>
        <v>0</v>
      </c>
      <c r="AK50" s="143">
        <f t="shared" si="15"/>
        <v>0</v>
      </c>
    </row>
    <row r="51" spans="1:37" x14ac:dyDescent="0.25">
      <c r="A51" s="121">
        <f t="shared" si="0"/>
        <v>45</v>
      </c>
      <c r="B51" s="159" t="s">
        <v>120</v>
      </c>
      <c r="C51" s="159" t="s">
        <v>84</v>
      </c>
      <c r="D51" s="159" t="s">
        <v>120</v>
      </c>
      <c r="E51" s="159" t="s">
        <v>98</v>
      </c>
      <c r="F51" s="150">
        <v>0</v>
      </c>
      <c r="G51" s="129"/>
      <c r="H51" s="163">
        <v>73306</v>
      </c>
      <c r="I51" s="163">
        <v>81872</v>
      </c>
      <c r="J51" s="163">
        <v>80667</v>
      </c>
      <c r="K51" s="163">
        <v>71434</v>
      </c>
      <c r="L51" s="163">
        <v>74951</v>
      </c>
      <c r="M51" s="163">
        <v>66832</v>
      </c>
      <c r="N51" s="163">
        <v>68978</v>
      </c>
      <c r="O51" s="163">
        <v>69463</v>
      </c>
      <c r="P51" s="163">
        <v>65784</v>
      </c>
      <c r="Q51" s="163">
        <v>66163</v>
      </c>
      <c r="R51" s="163">
        <v>65151</v>
      </c>
      <c r="S51" s="163">
        <v>68561</v>
      </c>
      <c r="T51" s="164">
        <v>0</v>
      </c>
      <c r="U51" s="129"/>
      <c r="V51" s="143">
        <f t="shared" si="1"/>
        <v>0</v>
      </c>
      <c r="W51" s="143">
        <f t="shared" si="2"/>
        <v>0</v>
      </c>
      <c r="X51" s="143">
        <f t="shared" si="3"/>
        <v>0</v>
      </c>
      <c r="Y51" s="143">
        <f t="shared" si="4"/>
        <v>0</v>
      </c>
      <c r="Z51" s="143">
        <f t="shared" si="5"/>
        <v>0</v>
      </c>
      <c r="AA51" s="143">
        <f t="shared" si="6"/>
        <v>0</v>
      </c>
      <c r="AB51" s="143">
        <f t="shared" si="7"/>
        <v>0</v>
      </c>
      <c r="AC51" s="143">
        <f t="shared" si="8"/>
        <v>0</v>
      </c>
      <c r="AD51" s="143">
        <f t="shared" si="9"/>
        <v>0</v>
      </c>
      <c r="AE51" s="143">
        <f t="shared" si="10"/>
        <v>0</v>
      </c>
      <c r="AF51" s="143">
        <f t="shared" si="11"/>
        <v>0</v>
      </c>
      <c r="AG51" s="143">
        <f t="shared" si="12"/>
        <v>0</v>
      </c>
      <c r="AH51" s="148">
        <f t="shared" si="13"/>
        <v>0</v>
      </c>
      <c r="AI51" s="212">
        <f t="shared" si="14"/>
        <v>0</v>
      </c>
      <c r="AK51" s="143">
        <f t="shared" si="15"/>
        <v>0</v>
      </c>
    </row>
    <row r="52" spans="1:37" x14ac:dyDescent="0.25">
      <c r="A52" s="121">
        <f t="shared" si="0"/>
        <v>46</v>
      </c>
      <c r="B52" s="159"/>
      <c r="C52" s="159" t="s">
        <v>84</v>
      </c>
      <c r="D52" s="159" t="s">
        <v>120</v>
      </c>
      <c r="E52" s="159" t="s">
        <v>111</v>
      </c>
      <c r="F52" s="150">
        <v>0</v>
      </c>
      <c r="G52" s="129"/>
      <c r="H52" s="163">
        <v>60000</v>
      </c>
      <c r="I52" s="163">
        <v>60000</v>
      </c>
      <c r="J52" s="163">
        <v>60000</v>
      </c>
      <c r="K52" s="163">
        <v>60000</v>
      </c>
      <c r="L52" s="163">
        <v>60000</v>
      </c>
      <c r="M52" s="163">
        <v>60000</v>
      </c>
      <c r="N52" s="163">
        <v>60000</v>
      </c>
      <c r="O52" s="163">
        <v>60000</v>
      </c>
      <c r="P52" s="163">
        <v>60000</v>
      </c>
      <c r="Q52" s="163">
        <v>60000</v>
      </c>
      <c r="R52" s="163">
        <v>60000</v>
      </c>
      <c r="S52" s="163">
        <v>60000</v>
      </c>
      <c r="T52" s="164">
        <v>0</v>
      </c>
      <c r="U52" s="129"/>
      <c r="V52" s="143">
        <f t="shared" si="1"/>
        <v>0</v>
      </c>
      <c r="W52" s="143">
        <f t="shared" si="2"/>
        <v>0</v>
      </c>
      <c r="X52" s="143">
        <f t="shared" si="3"/>
        <v>0</v>
      </c>
      <c r="Y52" s="143">
        <f t="shared" si="4"/>
        <v>0</v>
      </c>
      <c r="Z52" s="143">
        <f t="shared" si="5"/>
        <v>0</v>
      </c>
      <c r="AA52" s="143">
        <f t="shared" si="6"/>
        <v>0</v>
      </c>
      <c r="AB52" s="143">
        <f t="shared" si="7"/>
        <v>0</v>
      </c>
      <c r="AC52" s="143">
        <f t="shared" si="8"/>
        <v>0</v>
      </c>
      <c r="AD52" s="143">
        <f t="shared" si="9"/>
        <v>0</v>
      </c>
      <c r="AE52" s="143">
        <f t="shared" si="10"/>
        <v>0</v>
      </c>
      <c r="AF52" s="143">
        <f t="shared" si="11"/>
        <v>0</v>
      </c>
      <c r="AG52" s="143">
        <f t="shared" si="12"/>
        <v>0</v>
      </c>
      <c r="AH52" s="148">
        <f t="shared" si="13"/>
        <v>0</v>
      </c>
      <c r="AI52" s="212">
        <f t="shared" si="14"/>
        <v>0</v>
      </c>
      <c r="AK52" s="143">
        <f t="shared" si="15"/>
        <v>0</v>
      </c>
    </row>
    <row r="53" spans="1:37" x14ac:dyDescent="0.25">
      <c r="A53" s="121">
        <f t="shared" si="0"/>
        <v>47</v>
      </c>
      <c r="B53" s="159"/>
      <c r="C53" s="159" t="s">
        <v>84</v>
      </c>
      <c r="D53" s="159" t="s">
        <v>120</v>
      </c>
      <c r="E53" s="159" t="s">
        <v>112</v>
      </c>
      <c r="F53" s="150">
        <v>0</v>
      </c>
      <c r="G53" s="129"/>
      <c r="H53" s="163">
        <v>121424</v>
      </c>
      <c r="I53" s="163">
        <v>129238</v>
      </c>
      <c r="J53" s="163">
        <v>126522</v>
      </c>
      <c r="K53" s="163">
        <v>112123</v>
      </c>
      <c r="L53" s="163">
        <v>129212</v>
      </c>
      <c r="M53" s="163">
        <v>99165</v>
      </c>
      <c r="N53" s="163">
        <v>74404</v>
      </c>
      <c r="O53" s="163">
        <v>56327</v>
      </c>
      <c r="P53" s="163">
        <v>79110</v>
      </c>
      <c r="Q53" s="163">
        <v>62841</v>
      </c>
      <c r="R53" s="163">
        <v>57257</v>
      </c>
      <c r="S53" s="163">
        <v>81619</v>
      </c>
      <c r="T53" s="164">
        <v>0</v>
      </c>
      <c r="U53" s="129"/>
      <c r="V53" s="143">
        <f t="shared" si="1"/>
        <v>0</v>
      </c>
      <c r="W53" s="143">
        <f t="shared" si="2"/>
        <v>0</v>
      </c>
      <c r="X53" s="143">
        <f t="shared" si="3"/>
        <v>0</v>
      </c>
      <c r="Y53" s="143">
        <f t="shared" si="4"/>
        <v>0</v>
      </c>
      <c r="Z53" s="143">
        <f t="shared" si="5"/>
        <v>0</v>
      </c>
      <c r="AA53" s="143">
        <f t="shared" si="6"/>
        <v>0</v>
      </c>
      <c r="AB53" s="143">
        <f t="shared" si="7"/>
        <v>0</v>
      </c>
      <c r="AC53" s="143">
        <f t="shared" si="8"/>
        <v>0</v>
      </c>
      <c r="AD53" s="143">
        <f t="shared" si="9"/>
        <v>0</v>
      </c>
      <c r="AE53" s="143">
        <f t="shared" si="10"/>
        <v>0</v>
      </c>
      <c r="AF53" s="143">
        <f t="shared" si="11"/>
        <v>0</v>
      </c>
      <c r="AG53" s="143">
        <f t="shared" si="12"/>
        <v>0</v>
      </c>
      <c r="AH53" s="148">
        <f t="shared" si="13"/>
        <v>0</v>
      </c>
      <c r="AI53" s="212">
        <f t="shared" si="14"/>
        <v>0</v>
      </c>
      <c r="AK53" s="143">
        <f t="shared" si="15"/>
        <v>0</v>
      </c>
    </row>
    <row r="54" spans="1:37" x14ac:dyDescent="0.25">
      <c r="A54" s="121">
        <f t="shared" si="0"/>
        <v>48</v>
      </c>
      <c r="B54" s="159"/>
      <c r="C54" s="159" t="s">
        <v>84</v>
      </c>
      <c r="D54" s="159" t="s">
        <v>120</v>
      </c>
      <c r="E54" s="159" t="s">
        <v>113</v>
      </c>
      <c r="F54" s="150">
        <v>0</v>
      </c>
      <c r="G54" s="129"/>
      <c r="H54" s="163">
        <v>33750</v>
      </c>
      <c r="I54" s="163">
        <v>65751</v>
      </c>
      <c r="J54" s="163">
        <v>59803</v>
      </c>
      <c r="K54" s="163">
        <v>5276</v>
      </c>
      <c r="L54" s="163">
        <v>15230</v>
      </c>
      <c r="M54" s="163">
        <v>0</v>
      </c>
      <c r="N54" s="163">
        <v>0</v>
      </c>
      <c r="O54" s="163">
        <v>0</v>
      </c>
      <c r="P54" s="163">
        <v>0</v>
      </c>
      <c r="Q54" s="163">
        <v>0</v>
      </c>
      <c r="R54" s="163">
        <v>0</v>
      </c>
      <c r="S54" s="163">
        <v>0</v>
      </c>
      <c r="T54" s="164">
        <v>0</v>
      </c>
      <c r="U54" s="129"/>
      <c r="V54" s="143">
        <f t="shared" si="1"/>
        <v>0</v>
      </c>
      <c r="W54" s="143">
        <f t="shared" si="2"/>
        <v>0</v>
      </c>
      <c r="X54" s="143">
        <f t="shared" si="3"/>
        <v>0</v>
      </c>
      <c r="Y54" s="143">
        <f t="shared" si="4"/>
        <v>0</v>
      </c>
      <c r="Z54" s="143">
        <f t="shared" si="5"/>
        <v>0</v>
      </c>
      <c r="AA54" s="143">
        <f t="shared" si="6"/>
        <v>0</v>
      </c>
      <c r="AB54" s="143">
        <f t="shared" si="7"/>
        <v>0</v>
      </c>
      <c r="AC54" s="143">
        <f t="shared" si="8"/>
        <v>0</v>
      </c>
      <c r="AD54" s="143">
        <f t="shared" si="9"/>
        <v>0</v>
      </c>
      <c r="AE54" s="143">
        <f t="shared" si="10"/>
        <v>0</v>
      </c>
      <c r="AF54" s="143">
        <f t="shared" si="11"/>
        <v>0</v>
      </c>
      <c r="AG54" s="143">
        <f t="shared" si="12"/>
        <v>0</v>
      </c>
      <c r="AH54" s="148">
        <f t="shared" si="13"/>
        <v>0</v>
      </c>
      <c r="AI54" s="212">
        <f t="shared" si="14"/>
        <v>0</v>
      </c>
      <c r="AK54" s="143">
        <f t="shared" si="15"/>
        <v>0</v>
      </c>
    </row>
    <row r="55" spans="1:37" x14ac:dyDescent="0.25">
      <c r="A55" s="121">
        <f t="shared" si="0"/>
        <v>49</v>
      </c>
      <c r="B55" s="160"/>
      <c r="C55" s="160" t="s">
        <v>84</v>
      </c>
      <c r="D55" s="160" t="s">
        <v>120</v>
      </c>
      <c r="E55" s="160" t="s">
        <v>114</v>
      </c>
      <c r="F55" s="149">
        <v>0</v>
      </c>
      <c r="G55" s="127"/>
      <c r="H55" s="166">
        <v>0</v>
      </c>
      <c r="I55" s="166">
        <v>0</v>
      </c>
      <c r="J55" s="161"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162">
        <v>0</v>
      </c>
      <c r="U55" s="127"/>
      <c r="V55" s="145">
        <f t="shared" si="1"/>
        <v>0</v>
      </c>
      <c r="W55" s="145">
        <f t="shared" si="2"/>
        <v>0</v>
      </c>
      <c r="X55" s="145">
        <f t="shared" si="3"/>
        <v>0</v>
      </c>
      <c r="Y55" s="145">
        <f t="shared" si="4"/>
        <v>0</v>
      </c>
      <c r="Z55" s="145">
        <f t="shared" si="5"/>
        <v>0</v>
      </c>
      <c r="AA55" s="145">
        <f t="shared" si="6"/>
        <v>0</v>
      </c>
      <c r="AB55" s="145">
        <f t="shared" si="7"/>
        <v>0</v>
      </c>
      <c r="AC55" s="145">
        <f t="shared" si="8"/>
        <v>0</v>
      </c>
      <c r="AD55" s="145">
        <f t="shared" si="9"/>
        <v>0</v>
      </c>
      <c r="AE55" s="145">
        <f t="shared" si="10"/>
        <v>0</v>
      </c>
      <c r="AF55" s="145">
        <f t="shared" si="11"/>
        <v>0</v>
      </c>
      <c r="AG55" s="145">
        <f t="shared" si="12"/>
        <v>0</v>
      </c>
      <c r="AH55" s="147">
        <f t="shared" si="13"/>
        <v>0</v>
      </c>
      <c r="AI55" s="214">
        <f t="shared" si="14"/>
        <v>0</v>
      </c>
      <c r="AK55" s="145">
        <f t="shared" si="15"/>
        <v>0</v>
      </c>
    </row>
    <row r="56" spans="1:37" x14ac:dyDescent="0.25">
      <c r="A56" s="121">
        <f t="shared" si="0"/>
        <v>50</v>
      </c>
      <c r="B56" s="159" t="s">
        <v>121</v>
      </c>
      <c r="C56" s="159" t="s">
        <v>84</v>
      </c>
      <c r="D56" s="159" t="s">
        <v>122</v>
      </c>
      <c r="E56" s="159" t="s">
        <v>97</v>
      </c>
      <c r="F56" s="150">
        <v>-5.9800000000000001E-3</v>
      </c>
      <c r="G56" s="129"/>
      <c r="H56" s="163">
        <v>20000</v>
      </c>
      <c r="I56" s="163">
        <v>20000</v>
      </c>
      <c r="J56" s="163">
        <v>20000</v>
      </c>
      <c r="K56" s="163">
        <v>20000</v>
      </c>
      <c r="L56" s="163">
        <v>20000</v>
      </c>
      <c r="M56" s="163">
        <v>20000</v>
      </c>
      <c r="N56" s="163">
        <v>20000</v>
      </c>
      <c r="O56" s="163">
        <v>20000</v>
      </c>
      <c r="P56" s="163">
        <v>20000</v>
      </c>
      <c r="Q56" s="163">
        <v>20000</v>
      </c>
      <c r="R56" s="163">
        <v>20000</v>
      </c>
      <c r="S56" s="163">
        <v>20000</v>
      </c>
      <c r="T56" s="164">
        <v>0</v>
      </c>
      <c r="U56" s="129"/>
      <c r="V56" s="143">
        <f t="shared" si="1"/>
        <v>-119.6</v>
      </c>
      <c r="W56" s="143">
        <f t="shared" si="2"/>
        <v>-119.6</v>
      </c>
      <c r="X56" s="143">
        <f t="shared" si="3"/>
        <v>-119.6</v>
      </c>
      <c r="Y56" s="143">
        <f t="shared" si="4"/>
        <v>-119.6</v>
      </c>
      <c r="Z56" s="143">
        <f t="shared" si="5"/>
        <v>-119.6</v>
      </c>
      <c r="AA56" s="143">
        <f t="shared" si="6"/>
        <v>-119.6</v>
      </c>
      <c r="AB56" s="143">
        <f t="shared" si="7"/>
        <v>-119.6</v>
      </c>
      <c r="AC56" s="143">
        <f t="shared" si="8"/>
        <v>-119.6</v>
      </c>
      <c r="AD56" s="143">
        <f t="shared" si="9"/>
        <v>-119.6</v>
      </c>
      <c r="AE56" s="143">
        <f t="shared" si="10"/>
        <v>-119.6</v>
      </c>
      <c r="AF56" s="143">
        <f t="shared" si="11"/>
        <v>-119.6</v>
      </c>
      <c r="AG56" s="143">
        <f t="shared" si="12"/>
        <v>-119.6</v>
      </c>
      <c r="AH56" s="148">
        <f t="shared" si="13"/>
        <v>0</v>
      </c>
      <c r="AI56" s="212">
        <f t="shared" si="14"/>
        <v>-1435.1999999999998</v>
      </c>
      <c r="AK56" s="143">
        <f t="shared" si="15"/>
        <v>-1500.8156606851549</v>
      </c>
    </row>
    <row r="57" spans="1:37" x14ac:dyDescent="0.25">
      <c r="A57" s="121">
        <f t="shared" si="0"/>
        <v>51</v>
      </c>
      <c r="B57" s="159" t="s">
        <v>122</v>
      </c>
      <c r="C57" s="159" t="s">
        <v>84</v>
      </c>
      <c r="D57" s="159" t="s">
        <v>122</v>
      </c>
      <c r="E57" s="159" t="s">
        <v>98</v>
      </c>
      <c r="F57" s="150">
        <v>-5.3600000000000002E-3</v>
      </c>
      <c r="G57" s="129"/>
      <c r="H57" s="163">
        <v>40000</v>
      </c>
      <c r="I57" s="163">
        <v>40000</v>
      </c>
      <c r="J57" s="163">
        <v>40000</v>
      </c>
      <c r="K57" s="163">
        <v>40000</v>
      </c>
      <c r="L57" s="163">
        <v>40000</v>
      </c>
      <c r="M57" s="163">
        <v>40000</v>
      </c>
      <c r="N57" s="163">
        <v>40000</v>
      </c>
      <c r="O57" s="163">
        <v>38987</v>
      </c>
      <c r="P57" s="163">
        <v>38590</v>
      </c>
      <c r="Q57" s="163">
        <v>38052</v>
      </c>
      <c r="R57" s="163">
        <v>40000</v>
      </c>
      <c r="S57" s="163">
        <v>40000</v>
      </c>
      <c r="T57" s="164">
        <v>0</v>
      </c>
      <c r="U57" s="129"/>
      <c r="V57" s="143">
        <f t="shared" si="1"/>
        <v>-214.4</v>
      </c>
      <c r="W57" s="143">
        <f t="shared" si="2"/>
        <v>-214.4</v>
      </c>
      <c r="X57" s="143">
        <f t="shared" si="3"/>
        <v>-214.4</v>
      </c>
      <c r="Y57" s="143">
        <f t="shared" si="4"/>
        <v>-214.4</v>
      </c>
      <c r="Z57" s="143">
        <f t="shared" si="5"/>
        <v>-214.4</v>
      </c>
      <c r="AA57" s="143">
        <f t="shared" si="6"/>
        <v>-214.4</v>
      </c>
      <c r="AB57" s="143">
        <f t="shared" si="7"/>
        <v>-214.4</v>
      </c>
      <c r="AC57" s="143">
        <f t="shared" si="8"/>
        <v>-208.97</v>
      </c>
      <c r="AD57" s="143">
        <f t="shared" si="9"/>
        <v>-206.84</v>
      </c>
      <c r="AE57" s="143">
        <f t="shared" si="10"/>
        <v>-203.96</v>
      </c>
      <c r="AF57" s="143">
        <f t="shared" si="11"/>
        <v>-214.4</v>
      </c>
      <c r="AG57" s="143">
        <f t="shared" si="12"/>
        <v>-214.4</v>
      </c>
      <c r="AH57" s="148">
        <f t="shared" si="13"/>
        <v>0</v>
      </c>
      <c r="AI57" s="212">
        <f t="shared" si="14"/>
        <v>-2549.3700000000003</v>
      </c>
      <c r="AK57" s="143">
        <f t="shared" si="15"/>
        <v>-2665.9242062994103</v>
      </c>
    </row>
    <row r="58" spans="1:37" x14ac:dyDescent="0.25">
      <c r="A58" s="121">
        <f t="shared" si="0"/>
        <v>52</v>
      </c>
      <c r="B58" s="159"/>
      <c r="C58" s="159" t="s">
        <v>84</v>
      </c>
      <c r="D58" s="159" t="s">
        <v>122</v>
      </c>
      <c r="E58" s="159" t="s">
        <v>111</v>
      </c>
      <c r="F58" s="150">
        <v>-4.1000000000000003E-3</v>
      </c>
      <c r="G58" s="129"/>
      <c r="H58" s="163">
        <v>26767</v>
      </c>
      <c r="I58" s="163">
        <v>30733</v>
      </c>
      <c r="J58" s="163">
        <v>30783</v>
      </c>
      <c r="K58" s="163">
        <v>25592</v>
      </c>
      <c r="L58" s="163">
        <v>26983</v>
      </c>
      <c r="M58" s="163">
        <v>19283</v>
      </c>
      <c r="N58" s="163">
        <v>14795</v>
      </c>
      <c r="O58" s="163">
        <v>6094</v>
      </c>
      <c r="P58" s="163">
        <v>5127</v>
      </c>
      <c r="Q58" s="163">
        <v>6081</v>
      </c>
      <c r="R58" s="163">
        <v>8355</v>
      </c>
      <c r="S58" s="163">
        <v>19317</v>
      </c>
      <c r="T58" s="164">
        <v>0</v>
      </c>
      <c r="U58" s="129"/>
      <c r="V58" s="143">
        <f t="shared" si="1"/>
        <v>-109.74</v>
      </c>
      <c r="W58" s="143">
        <f t="shared" si="2"/>
        <v>-126.01</v>
      </c>
      <c r="X58" s="143">
        <f t="shared" si="3"/>
        <v>-126.21</v>
      </c>
      <c r="Y58" s="143">
        <f t="shared" si="4"/>
        <v>-104.93</v>
      </c>
      <c r="Z58" s="143">
        <f t="shared" si="5"/>
        <v>-110.63</v>
      </c>
      <c r="AA58" s="143">
        <f t="shared" si="6"/>
        <v>-79.06</v>
      </c>
      <c r="AB58" s="143">
        <f t="shared" si="7"/>
        <v>-60.66</v>
      </c>
      <c r="AC58" s="143">
        <f t="shared" si="8"/>
        <v>-24.99</v>
      </c>
      <c r="AD58" s="143">
        <f t="shared" si="9"/>
        <v>-21.02</v>
      </c>
      <c r="AE58" s="143">
        <f t="shared" si="10"/>
        <v>-24.93</v>
      </c>
      <c r="AF58" s="143">
        <f t="shared" si="11"/>
        <v>-34.26</v>
      </c>
      <c r="AG58" s="143">
        <f t="shared" si="12"/>
        <v>-79.2</v>
      </c>
      <c r="AH58" s="148">
        <f t="shared" si="13"/>
        <v>0</v>
      </c>
      <c r="AI58" s="212">
        <f t="shared" si="14"/>
        <v>-901.63999999999987</v>
      </c>
      <c r="AK58" s="143">
        <f t="shared" si="15"/>
        <v>-942.86192328606671</v>
      </c>
    </row>
    <row r="59" spans="1:37" x14ac:dyDescent="0.25">
      <c r="A59" s="121">
        <f t="shared" si="0"/>
        <v>53</v>
      </c>
      <c r="B59" s="159"/>
      <c r="C59" s="159" t="s">
        <v>84</v>
      </c>
      <c r="D59" s="159" t="s">
        <v>122</v>
      </c>
      <c r="E59" s="159" t="s">
        <v>112</v>
      </c>
      <c r="F59" s="150">
        <v>-3.2799999999999999E-3</v>
      </c>
      <c r="G59" s="129"/>
      <c r="H59" s="163">
        <v>15510</v>
      </c>
      <c r="I59" s="163">
        <v>17278</v>
      </c>
      <c r="J59" s="163">
        <v>23321</v>
      </c>
      <c r="K59" s="163">
        <v>7565</v>
      </c>
      <c r="L59" s="163">
        <v>8338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3">
        <v>0</v>
      </c>
      <c r="S59" s="163">
        <v>0</v>
      </c>
      <c r="T59" s="164">
        <v>0</v>
      </c>
      <c r="U59" s="129"/>
      <c r="V59" s="143">
        <f t="shared" si="1"/>
        <v>-50.87</v>
      </c>
      <c r="W59" s="143">
        <f t="shared" si="2"/>
        <v>-56.67</v>
      </c>
      <c r="X59" s="143">
        <f t="shared" si="3"/>
        <v>-76.489999999999995</v>
      </c>
      <c r="Y59" s="143">
        <f t="shared" si="4"/>
        <v>-24.81</v>
      </c>
      <c r="Z59" s="143">
        <f t="shared" si="5"/>
        <v>-27.35</v>
      </c>
      <c r="AA59" s="143">
        <f t="shared" si="6"/>
        <v>0</v>
      </c>
      <c r="AB59" s="143">
        <f t="shared" si="7"/>
        <v>0</v>
      </c>
      <c r="AC59" s="143">
        <f t="shared" si="8"/>
        <v>0</v>
      </c>
      <c r="AD59" s="143">
        <f t="shared" si="9"/>
        <v>0</v>
      </c>
      <c r="AE59" s="143">
        <f t="shared" si="10"/>
        <v>0</v>
      </c>
      <c r="AF59" s="143">
        <f t="shared" si="11"/>
        <v>0</v>
      </c>
      <c r="AG59" s="143">
        <f t="shared" si="12"/>
        <v>0</v>
      </c>
      <c r="AH59" s="148">
        <f t="shared" si="13"/>
        <v>0</v>
      </c>
      <c r="AI59" s="212">
        <f t="shared" si="14"/>
        <v>-236.18999999999997</v>
      </c>
      <c r="AK59" s="143">
        <f t="shared" si="15"/>
        <v>-246.98832977788928</v>
      </c>
    </row>
    <row r="60" spans="1:37" x14ac:dyDescent="0.25">
      <c r="A60" s="121">
        <f t="shared" si="0"/>
        <v>54</v>
      </c>
      <c r="B60" s="159"/>
      <c r="C60" s="159" t="s">
        <v>84</v>
      </c>
      <c r="D60" s="159" t="s">
        <v>122</v>
      </c>
      <c r="E60" s="159" t="s">
        <v>113</v>
      </c>
      <c r="F60" s="150">
        <v>-2.1900000000000001E-3</v>
      </c>
      <c r="G60" s="129"/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4">
        <v>0</v>
      </c>
      <c r="U60" s="129"/>
      <c r="V60" s="143">
        <f t="shared" si="1"/>
        <v>0</v>
      </c>
      <c r="W60" s="143">
        <f t="shared" si="2"/>
        <v>0</v>
      </c>
      <c r="X60" s="143">
        <f t="shared" si="3"/>
        <v>0</v>
      </c>
      <c r="Y60" s="143">
        <f t="shared" si="4"/>
        <v>0</v>
      </c>
      <c r="Z60" s="143">
        <f t="shared" si="5"/>
        <v>0</v>
      </c>
      <c r="AA60" s="143">
        <f t="shared" si="6"/>
        <v>0</v>
      </c>
      <c r="AB60" s="143">
        <f t="shared" si="7"/>
        <v>0</v>
      </c>
      <c r="AC60" s="143">
        <f t="shared" si="8"/>
        <v>0</v>
      </c>
      <c r="AD60" s="143">
        <f t="shared" si="9"/>
        <v>0</v>
      </c>
      <c r="AE60" s="143">
        <f t="shared" si="10"/>
        <v>0</v>
      </c>
      <c r="AF60" s="143">
        <f t="shared" si="11"/>
        <v>0</v>
      </c>
      <c r="AG60" s="143">
        <f t="shared" si="12"/>
        <v>0</v>
      </c>
      <c r="AH60" s="148">
        <f t="shared" si="13"/>
        <v>0</v>
      </c>
      <c r="AI60" s="212">
        <f t="shared" si="14"/>
        <v>0</v>
      </c>
      <c r="AK60" s="143">
        <f t="shared" si="15"/>
        <v>0</v>
      </c>
    </row>
    <row r="61" spans="1:37" x14ac:dyDescent="0.25">
      <c r="A61" s="121">
        <f t="shared" si="0"/>
        <v>55</v>
      </c>
      <c r="B61" s="160"/>
      <c r="C61" s="160" t="s">
        <v>84</v>
      </c>
      <c r="D61" s="160" t="s">
        <v>122</v>
      </c>
      <c r="E61" s="160" t="s">
        <v>114</v>
      </c>
      <c r="F61" s="149">
        <v>-8.1999999999999998E-4</v>
      </c>
      <c r="G61" s="127"/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2">
        <v>0</v>
      </c>
      <c r="U61" s="127"/>
      <c r="V61" s="142">
        <f t="shared" si="1"/>
        <v>0</v>
      </c>
      <c r="W61" s="142">
        <f t="shared" si="2"/>
        <v>0</v>
      </c>
      <c r="X61" s="142">
        <f t="shared" si="3"/>
        <v>0</v>
      </c>
      <c r="Y61" s="142">
        <f t="shared" si="4"/>
        <v>0</v>
      </c>
      <c r="Z61" s="142">
        <f t="shared" si="5"/>
        <v>0</v>
      </c>
      <c r="AA61" s="142">
        <f t="shared" si="6"/>
        <v>0</v>
      </c>
      <c r="AB61" s="142">
        <f t="shared" si="7"/>
        <v>0</v>
      </c>
      <c r="AC61" s="142">
        <f t="shared" si="8"/>
        <v>0</v>
      </c>
      <c r="AD61" s="142">
        <f t="shared" si="9"/>
        <v>0</v>
      </c>
      <c r="AE61" s="142">
        <f t="shared" si="10"/>
        <v>0</v>
      </c>
      <c r="AF61" s="142">
        <f t="shared" si="11"/>
        <v>0</v>
      </c>
      <c r="AG61" s="142">
        <f t="shared" si="12"/>
        <v>0</v>
      </c>
      <c r="AH61" s="147">
        <f t="shared" si="13"/>
        <v>0</v>
      </c>
      <c r="AI61" s="211">
        <f t="shared" si="14"/>
        <v>0</v>
      </c>
      <c r="AK61" s="142">
        <f t="shared" si="15"/>
        <v>0</v>
      </c>
    </row>
    <row r="62" spans="1:37" x14ac:dyDescent="0.25">
      <c r="A62" s="121">
        <f t="shared" si="0"/>
        <v>56</v>
      </c>
      <c r="B62" s="159" t="s">
        <v>123</v>
      </c>
      <c r="C62" s="159" t="s">
        <v>84</v>
      </c>
      <c r="D62" s="159" t="s">
        <v>124</v>
      </c>
      <c r="E62" s="159" t="s">
        <v>97</v>
      </c>
      <c r="F62" s="150">
        <v>0</v>
      </c>
      <c r="G62" s="129"/>
      <c r="H62" s="163">
        <v>17947</v>
      </c>
      <c r="I62" s="163">
        <v>20901</v>
      </c>
      <c r="J62" s="163">
        <v>22384</v>
      </c>
      <c r="K62" s="163">
        <v>17128</v>
      </c>
      <c r="L62" s="163">
        <v>17889</v>
      </c>
      <c r="M62" s="163">
        <v>11220.05</v>
      </c>
      <c r="N62" s="163">
        <v>14236.95</v>
      </c>
      <c r="O62" s="163">
        <v>10000</v>
      </c>
      <c r="P62" s="163">
        <v>10000</v>
      </c>
      <c r="Q62" s="163">
        <v>10000</v>
      </c>
      <c r="R62" s="163">
        <v>10245</v>
      </c>
      <c r="S62" s="163">
        <v>10811</v>
      </c>
      <c r="T62" s="164">
        <v>0</v>
      </c>
      <c r="U62" s="129"/>
      <c r="V62" s="143">
        <f t="shared" si="1"/>
        <v>0</v>
      </c>
      <c r="W62" s="143">
        <f t="shared" si="2"/>
        <v>0</v>
      </c>
      <c r="X62" s="143">
        <f t="shared" si="3"/>
        <v>0</v>
      </c>
      <c r="Y62" s="143">
        <f t="shared" si="4"/>
        <v>0</v>
      </c>
      <c r="Z62" s="143">
        <f t="shared" si="5"/>
        <v>0</v>
      </c>
      <c r="AA62" s="143">
        <f t="shared" si="6"/>
        <v>0</v>
      </c>
      <c r="AB62" s="143">
        <f t="shared" si="7"/>
        <v>0</v>
      </c>
      <c r="AC62" s="143">
        <f t="shared" si="8"/>
        <v>0</v>
      </c>
      <c r="AD62" s="143">
        <f t="shared" si="9"/>
        <v>0</v>
      </c>
      <c r="AE62" s="143">
        <f t="shared" si="10"/>
        <v>0</v>
      </c>
      <c r="AF62" s="143">
        <f t="shared" si="11"/>
        <v>0</v>
      </c>
      <c r="AG62" s="143">
        <f t="shared" si="12"/>
        <v>0</v>
      </c>
      <c r="AH62" s="148">
        <f t="shared" si="13"/>
        <v>0</v>
      </c>
      <c r="AI62" s="212">
        <f t="shared" si="14"/>
        <v>0</v>
      </c>
      <c r="AK62" s="143">
        <f t="shared" si="15"/>
        <v>0</v>
      </c>
    </row>
    <row r="63" spans="1:37" x14ac:dyDescent="0.25">
      <c r="A63" s="121">
        <f t="shared" si="0"/>
        <v>57</v>
      </c>
      <c r="B63" s="159" t="s">
        <v>124</v>
      </c>
      <c r="C63" s="159" t="s">
        <v>84</v>
      </c>
      <c r="D63" s="159" t="s">
        <v>124</v>
      </c>
      <c r="E63" s="159" t="s">
        <v>98</v>
      </c>
      <c r="F63" s="150">
        <v>0</v>
      </c>
      <c r="G63" s="129"/>
      <c r="H63" s="163">
        <v>8071</v>
      </c>
      <c r="I63" s="163">
        <v>12381</v>
      </c>
      <c r="J63" s="163">
        <v>12856</v>
      </c>
      <c r="K63" s="163">
        <v>10952</v>
      </c>
      <c r="L63" s="163">
        <v>14078</v>
      </c>
      <c r="M63" s="163">
        <v>13110</v>
      </c>
      <c r="N63" s="163">
        <v>12497</v>
      </c>
      <c r="O63" s="163">
        <v>11645</v>
      </c>
      <c r="P63" s="163">
        <v>8791</v>
      </c>
      <c r="Q63" s="163">
        <v>6567</v>
      </c>
      <c r="R63" s="163">
        <v>7647</v>
      </c>
      <c r="S63" s="163">
        <v>5383</v>
      </c>
      <c r="T63" s="164">
        <v>0</v>
      </c>
      <c r="U63" s="129"/>
      <c r="V63" s="143">
        <f t="shared" si="1"/>
        <v>0</v>
      </c>
      <c r="W63" s="143">
        <f t="shared" si="2"/>
        <v>0</v>
      </c>
      <c r="X63" s="143">
        <f t="shared" si="3"/>
        <v>0</v>
      </c>
      <c r="Y63" s="143">
        <f t="shared" si="4"/>
        <v>0</v>
      </c>
      <c r="Z63" s="143">
        <f t="shared" si="5"/>
        <v>0</v>
      </c>
      <c r="AA63" s="143">
        <f t="shared" si="6"/>
        <v>0</v>
      </c>
      <c r="AB63" s="143">
        <f t="shared" si="7"/>
        <v>0</v>
      </c>
      <c r="AC63" s="143">
        <f t="shared" si="8"/>
        <v>0</v>
      </c>
      <c r="AD63" s="143">
        <f t="shared" si="9"/>
        <v>0</v>
      </c>
      <c r="AE63" s="143">
        <f t="shared" si="10"/>
        <v>0</v>
      </c>
      <c r="AF63" s="143">
        <f t="shared" si="11"/>
        <v>0</v>
      </c>
      <c r="AG63" s="143">
        <f t="shared" si="12"/>
        <v>0</v>
      </c>
      <c r="AH63" s="148">
        <f t="shared" si="13"/>
        <v>0</v>
      </c>
      <c r="AI63" s="212">
        <f t="shared" si="14"/>
        <v>0</v>
      </c>
      <c r="AK63" s="143">
        <f t="shared" si="15"/>
        <v>0</v>
      </c>
    </row>
    <row r="64" spans="1:37" x14ac:dyDescent="0.25">
      <c r="A64" s="121">
        <f t="shared" si="0"/>
        <v>58</v>
      </c>
      <c r="B64" s="159"/>
      <c r="C64" s="159" t="s">
        <v>84</v>
      </c>
      <c r="D64" s="159" t="s">
        <v>124</v>
      </c>
      <c r="E64" s="159" t="s">
        <v>111</v>
      </c>
      <c r="F64" s="150">
        <v>0</v>
      </c>
      <c r="G64" s="129"/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v>0</v>
      </c>
      <c r="N64" s="163">
        <v>0</v>
      </c>
      <c r="O64" s="163">
        <v>0</v>
      </c>
      <c r="P64" s="163">
        <v>0</v>
      </c>
      <c r="Q64" s="163">
        <v>0</v>
      </c>
      <c r="R64" s="163">
        <v>0</v>
      </c>
      <c r="S64" s="163">
        <v>0</v>
      </c>
      <c r="T64" s="164">
        <v>0</v>
      </c>
      <c r="U64" s="129"/>
      <c r="V64" s="143">
        <f t="shared" si="1"/>
        <v>0</v>
      </c>
      <c r="W64" s="143">
        <f t="shared" si="2"/>
        <v>0</v>
      </c>
      <c r="X64" s="143">
        <f t="shared" si="3"/>
        <v>0</v>
      </c>
      <c r="Y64" s="143">
        <f t="shared" si="4"/>
        <v>0</v>
      </c>
      <c r="Z64" s="143">
        <f t="shared" si="5"/>
        <v>0</v>
      </c>
      <c r="AA64" s="143">
        <f t="shared" si="6"/>
        <v>0</v>
      </c>
      <c r="AB64" s="143">
        <f t="shared" si="7"/>
        <v>0</v>
      </c>
      <c r="AC64" s="143">
        <f t="shared" si="8"/>
        <v>0</v>
      </c>
      <c r="AD64" s="143">
        <f t="shared" si="9"/>
        <v>0</v>
      </c>
      <c r="AE64" s="143">
        <f t="shared" si="10"/>
        <v>0</v>
      </c>
      <c r="AF64" s="143">
        <f t="shared" si="11"/>
        <v>0</v>
      </c>
      <c r="AG64" s="143">
        <f t="shared" si="12"/>
        <v>0</v>
      </c>
      <c r="AH64" s="148">
        <f t="shared" si="13"/>
        <v>0</v>
      </c>
      <c r="AI64" s="212">
        <f t="shared" si="14"/>
        <v>0</v>
      </c>
      <c r="AK64" s="143">
        <f t="shared" si="15"/>
        <v>0</v>
      </c>
    </row>
    <row r="65" spans="1:37" x14ac:dyDescent="0.25">
      <c r="A65" s="121">
        <f t="shared" si="0"/>
        <v>59</v>
      </c>
      <c r="B65" s="159"/>
      <c r="C65" s="159" t="s">
        <v>84</v>
      </c>
      <c r="D65" s="159" t="s">
        <v>124</v>
      </c>
      <c r="E65" s="159" t="s">
        <v>112</v>
      </c>
      <c r="F65" s="150">
        <v>0</v>
      </c>
      <c r="G65" s="129"/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v>0</v>
      </c>
      <c r="P65" s="163">
        <v>0</v>
      </c>
      <c r="Q65" s="163">
        <v>0</v>
      </c>
      <c r="R65" s="163">
        <v>0</v>
      </c>
      <c r="S65" s="163">
        <v>0</v>
      </c>
      <c r="T65" s="164">
        <v>0</v>
      </c>
      <c r="U65" s="129"/>
      <c r="V65" s="143">
        <f t="shared" si="1"/>
        <v>0</v>
      </c>
      <c r="W65" s="143">
        <f t="shared" si="2"/>
        <v>0</v>
      </c>
      <c r="X65" s="143">
        <f t="shared" si="3"/>
        <v>0</v>
      </c>
      <c r="Y65" s="143">
        <f t="shared" si="4"/>
        <v>0</v>
      </c>
      <c r="Z65" s="143">
        <f t="shared" si="5"/>
        <v>0</v>
      </c>
      <c r="AA65" s="143">
        <f t="shared" si="6"/>
        <v>0</v>
      </c>
      <c r="AB65" s="143">
        <f t="shared" si="7"/>
        <v>0</v>
      </c>
      <c r="AC65" s="143">
        <f t="shared" si="8"/>
        <v>0</v>
      </c>
      <c r="AD65" s="143">
        <f t="shared" si="9"/>
        <v>0</v>
      </c>
      <c r="AE65" s="143">
        <f t="shared" si="10"/>
        <v>0</v>
      </c>
      <c r="AF65" s="143">
        <f t="shared" si="11"/>
        <v>0</v>
      </c>
      <c r="AG65" s="143">
        <f t="shared" si="12"/>
        <v>0</v>
      </c>
      <c r="AH65" s="148">
        <f t="shared" si="13"/>
        <v>0</v>
      </c>
      <c r="AI65" s="212">
        <f t="shared" si="14"/>
        <v>0</v>
      </c>
      <c r="AK65" s="143">
        <f t="shared" si="15"/>
        <v>0</v>
      </c>
    </row>
    <row r="66" spans="1:37" x14ac:dyDescent="0.25">
      <c r="A66" s="121">
        <f t="shared" si="0"/>
        <v>60</v>
      </c>
      <c r="B66" s="159"/>
      <c r="C66" s="159" t="s">
        <v>84</v>
      </c>
      <c r="D66" s="159" t="s">
        <v>124</v>
      </c>
      <c r="E66" s="159" t="s">
        <v>113</v>
      </c>
      <c r="F66" s="150">
        <v>0</v>
      </c>
      <c r="G66" s="129"/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v>0</v>
      </c>
      <c r="N66" s="163">
        <v>0</v>
      </c>
      <c r="O66" s="163">
        <v>0</v>
      </c>
      <c r="P66" s="163">
        <v>0</v>
      </c>
      <c r="Q66" s="163">
        <v>0</v>
      </c>
      <c r="R66" s="163">
        <v>0</v>
      </c>
      <c r="S66" s="163">
        <v>0</v>
      </c>
      <c r="T66" s="164">
        <v>0</v>
      </c>
      <c r="U66" s="129"/>
      <c r="V66" s="143">
        <f t="shared" si="1"/>
        <v>0</v>
      </c>
      <c r="W66" s="143">
        <f t="shared" si="2"/>
        <v>0</v>
      </c>
      <c r="X66" s="143">
        <f t="shared" si="3"/>
        <v>0</v>
      </c>
      <c r="Y66" s="143">
        <f t="shared" si="4"/>
        <v>0</v>
      </c>
      <c r="Z66" s="143">
        <f t="shared" si="5"/>
        <v>0</v>
      </c>
      <c r="AA66" s="143">
        <f t="shared" si="6"/>
        <v>0</v>
      </c>
      <c r="AB66" s="143">
        <f t="shared" si="7"/>
        <v>0</v>
      </c>
      <c r="AC66" s="143">
        <f t="shared" si="8"/>
        <v>0</v>
      </c>
      <c r="AD66" s="143">
        <f t="shared" si="9"/>
        <v>0</v>
      </c>
      <c r="AE66" s="143">
        <f t="shared" si="10"/>
        <v>0</v>
      </c>
      <c r="AF66" s="143">
        <f t="shared" si="11"/>
        <v>0</v>
      </c>
      <c r="AG66" s="143">
        <f t="shared" si="12"/>
        <v>0</v>
      </c>
      <c r="AH66" s="148">
        <f t="shared" si="13"/>
        <v>0</v>
      </c>
      <c r="AI66" s="212">
        <f t="shared" si="14"/>
        <v>0</v>
      </c>
      <c r="AK66" s="143">
        <f t="shared" si="15"/>
        <v>0</v>
      </c>
    </row>
    <row r="67" spans="1:37" x14ac:dyDescent="0.25">
      <c r="A67" s="121">
        <f t="shared" si="0"/>
        <v>61</v>
      </c>
      <c r="B67" s="160"/>
      <c r="C67" s="160" t="s">
        <v>84</v>
      </c>
      <c r="D67" s="160" t="s">
        <v>124</v>
      </c>
      <c r="E67" s="160" t="s">
        <v>114</v>
      </c>
      <c r="F67" s="149">
        <v>0</v>
      </c>
      <c r="G67" s="127"/>
      <c r="H67" s="166">
        <v>0</v>
      </c>
      <c r="I67" s="166">
        <v>0</v>
      </c>
      <c r="J67" s="161">
        <v>0</v>
      </c>
      <c r="K67" s="161">
        <v>0</v>
      </c>
      <c r="L67" s="161">
        <v>0</v>
      </c>
      <c r="M67" s="161">
        <v>0</v>
      </c>
      <c r="N67" s="161">
        <v>0</v>
      </c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2">
        <v>0</v>
      </c>
      <c r="U67" s="127"/>
      <c r="V67" s="145">
        <f t="shared" si="1"/>
        <v>0</v>
      </c>
      <c r="W67" s="145">
        <f t="shared" si="2"/>
        <v>0</v>
      </c>
      <c r="X67" s="145">
        <f t="shared" si="3"/>
        <v>0</v>
      </c>
      <c r="Y67" s="145">
        <f t="shared" si="4"/>
        <v>0</v>
      </c>
      <c r="Z67" s="145">
        <f t="shared" si="5"/>
        <v>0</v>
      </c>
      <c r="AA67" s="145">
        <f t="shared" si="6"/>
        <v>0</v>
      </c>
      <c r="AB67" s="145">
        <f t="shared" si="7"/>
        <v>0</v>
      </c>
      <c r="AC67" s="145">
        <f t="shared" si="8"/>
        <v>0</v>
      </c>
      <c r="AD67" s="145">
        <f t="shared" si="9"/>
        <v>0</v>
      </c>
      <c r="AE67" s="145">
        <f t="shared" si="10"/>
        <v>0</v>
      </c>
      <c r="AF67" s="145">
        <f t="shared" si="11"/>
        <v>0</v>
      </c>
      <c r="AG67" s="145">
        <f t="shared" si="12"/>
        <v>0</v>
      </c>
      <c r="AH67" s="147">
        <f t="shared" si="13"/>
        <v>0</v>
      </c>
      <c r="AI67" s="214">
        <f t="shared" si="14"/>
        <v>0</v>
      </c>
      <c r="AK67" s="145">
        <f t="shared" si="15"/>
        <v>0</v>
      </c>
    </row>
    <row r="68" spans="1:37" x14ac:dyDescent="0.25">
      <c r="A68" s="121">
        <f t="shared" si="0"/>
        <v>62</v>
      </c>
      <c r="B68" s="159" t="s">
        <v>125</v>
      </c>
      <c r="C68" s="159" t="s">
        <v>84</v>
      </c>
      <c r="D68" s="159" t="s">
        <v>126</v>
      </c>
      <c r="E68" s="159" t="s">
        <v>97</v>
      </c>
      <c r="F68" s="150">
        <v>0</v>
      </c>
      <c r="G68" s="129"/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3">
        <v>0</v>
      </c>
      <c r="Q68" s="163">
        <v>0</v>
      </c>
      <c r="R68" s="163">
        <v>0</v>
      </c>
      <c r="S68" s="163">
        <v>0</v>
      </c>
      <c r="T68" s="164">
        <v>0</v>
      </c>
      <c r="U68" s="129"/>
      <c r="V68" s="143">
        <f t="shared" si="1"/>
        <v>0</v>
      </c>
      <c r="W68" s="143">
        <f t="shared" si="2"/>
        <v>0</v>
      </c>
      <c r="X68" s="143">
        <f t="shared" si="3"/>
        <v>0</v>
      </c>
      <c r="Y68" s="143">
        <f t="shared" si="4"/>
        <v>0</v>
      </c>
      <c r="Z68" s="143">
        <f t="shared" si="5"/>
        <v>0</v>
      </c>
      <c r="AA68" s="143">
        <f t="shared" si="6"/>
        <v>0</v>
      </c>
      <c r="AB68" s="143">
        <f t="shared" si="7"/>
        <v>0</v>
      </c>
      <c r="AC68" s="143">
        <f t="shared" si="8"/>
        <v>0</v>
      </c>
      <c r="AD68" s="143">
        <f t="shared" si="9"/>
        <v>0</v>
      </c>
      <c r="AE68" s="143">
        <f t="shared" si="10"/>
        <v>0</v>
      </c>
      <c r="AF68" s="143">
        <f t="shared" si="11"/>
        <v>0</v>
      </c>
      <c r="AG68" s="143">
        <f t="shared" si="12"/>
        <v>0</v>
      </c>
      <c r="AH68" s="148">
        <f t="shared" si="13"/>
        <v>0</v>
      </c>
      <c r="AI68" s="212">
        <f t="shared" si="14"/>
        <v>0</v>
      </c>
      <c r="AK68" s="143">
        <f t="shared" si="15"/>
        <v>0</v>
      </c>
    </row>
    <row r="69" spans="1:37" x14ac:dyDescent="0.25">
      <c r="A69" s="121">
        <f t="shared" si="0"/>
        <v>63</v>
      </c>
      <c r="B69" s="159" t="s">
        <v>126</v>
      </c>
      <c r="C69" s="159" t="s">
        <v>84</v>
      </c>
      <c r="D69" s="159" t="s">
        <v>126</v>
      </c>
      <c r="E69" s="159" t="s">
        <v>98</v>
      </c>
      <c r="F69" s="150">
        <v>0</v>
      </c>
      <c r="G69" s="129"/>
      <c r="H69" s="163">
        <v>0</v>
      </c>
      <c r="I69" s="163">
        <v>0</v>
      </c>
      <c r="J69" s="163">
        <v>0</v>
      </c>
      <c r="K69" s="163">
        <v>0</v>
      </c>
      <c r="L69" s="163">
        <v>0</v>
      </c>
      <c r="M69" s="163">
        <v>0</v>
      </c>
      <c r="N69" s="163">
        <v>0</v>
      </c>
      <c r="O69" s="163">
        <v>0</v>
      </c>
      <c r="P69" s="163">
        <v>0</v>
      </c>
      <c r="Q69" s="163">
        <v>0</v>
      </c>
      <c r="R69" s="163">
        <v>0</v>
      </c>
      <c r="S69" s="163">
        <v>0</v>
      </c>
      <c r="T69" s="164">
        <v>0</v>
      </c>
      <c r="U69" s="129"/>
      <c r="V69" s="143">
        <f t="shared" si="1"/>
        <v>0</v>
      </c>
      <c r="W69" s="143">
        <f t="shared" si="2"/>
        <v>0</v>
      </c>
      <c r="X69" s="143">
        <f t="shared" si="3"/>
        <v>0</v>
      </c>
      <c r="Y69" s="143">
        <f t="shared" si="4"/>
        <v>0</v>
      </c>
      <c r="Z69" s="143">
        <f t="shared" si="5"/>
        <v>0</v>
      </c>
      <c r="AA69" s="143">
        <f t="shared" si="6"/>
        <v>0</v>
      </c>
      <c r="AB69" s="143">
        <f t="shared" si="7"/>
        <v>0</v>
      </c>
      <c r="AC69" s="143">
        <f t="shared" si="8"/>
        <v>0</v>
      </c>
      <c r="AD69" s="143">
        <f t="shared" si="9"/>
        <v>0</v>
      </c>
      <c r="AE69" s="143">
        <f t="shared" si="10"/>
        <v>0</v>
      </c>
      <c r="AF69" s="143">
        <f t="shared" si="11"/>
        <v>0</v>
      </c>
      <c r="AG69" s="143">
        <f t="shared" si="12"/>
        <v>0</v>
      </c>
      <c r="AH69" s="148">
        <f t="shared" si="13"/>
        <v>0</v>
      </c>
      <c r="AI69" s="212">
        <f t="shared" si="14"/>
        <v>0</v>
      </c>
      <c r="AK69" s="143">
        <f t="shared" si="15"/>
        <v>0</v>
      </c>
    </row>
    <row r="70" spans="1:37" x14ac:dyDescent="0.25">
      <c r="A70" s="121">
        <f t="shared" si="0"/>
        <v>64</v>
      </c>
      <c r="B70" s="159"/>
      <c r="C70" s="159" t="s">
        <v>84</v>
      </c>
      <c r="D70" s="159" t="s">
        <v>126</v>
      </c>
      <c r="E70" s="159" t="s">
        <v>111</v>
      </c>
      <c r="F70" s="150">
        <v>0</v>
      </c>
      <c r="G70" s="129"/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v>0</v>
      </c>
      <c r="P70" s="163">
        <v>0</v>
      </c>
      <c r="Q70" s="163">
        <v>0</v>
      </c>
      <c r="R70" s="163">
        <v>0</v>
      </c>
      <c r="S70" s="163">
        <v>0</v>
      </c>
      <c r="T70" s="164">
        <v>0</v>
      </c>
      <c r="U70" s="129"/>
      <c r="V70" s="143">
        <f t="shared" si="1"/>
        <v>0</v>
      </c>
      <c r="W70" s="143">
        <f t="shared" si="2"/>
        <v>0</v>
      </c>
      <c r="X70" s="143">
        <f t="shared" si="3"/>
        <v>0</v>
      </c>
      <c r="Y70" s="143">
        <f t="shared" si="4"/>
        <v>0</v>
      </c>
      <c r="Z70" s="143">
        <f t="shared" si="5"/>
        <v>0</v>
      </c>
      <c r="AA70" s="143">
        <f t="shared" si="6"/>
        <v>0</v>
      </c>
      <c r="AB70" s="143">
        <f t="shared" si="7"/>
        <v>0</v>
      </c>
      <c r="AC70" s="143">
        <f t="shared" si="8"/>
        <v>0</v>
      </c>
      <c r="AD70" s="143">
        <f t="shared" si="9"/>
        <v>0</v>
      </c>
      <c r="AE70" s="143">
        <f t="shared" si="10"/>
        <v>0</v>
      </c>
      <c r="AF70" s="143">
        <f t="shared" si="11"/>
        <v>0</v>
      </c>
      <c r="AG70" s="143">
        <f t="shared" si="12"/>
        <v>0</v>
      </c>
      <c r="AH70" s="148">
        <f t="shared" si="13"/>
        <v>0</v>
      </c>
      <c r="AI70" s="212">
        <f t="shared" si="14"/>
        <v>0</v>
      </c>
      <c r="AK70" s="143">
        <f t="shared" si="15"/>
        <v>0</v>
      </c>
    </row>
    <row r="71" spans="1:37" x14ac:dyDescent="0.25">
      <c r="A71" s="121">
        <f t="shared" si="0"/>
        <v>65</v>
      </c>
      <c r="B71" s="159"/>
      <c r="C71" s="159" t="s">
        <v>84</v>
      </c>
      <c r="D71" s="159" t="s">
        <v>126</v>
      </c>
      <c r="E71" s="159" t="s">
        <v>112</v>
      </c>
      <c r="F71" s="150">
        <v>0</v>
      </c>
      <c r="G71" s="129"/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3">
        <v>0</v>
      </c>
      <c r="Q71" s="163">
        <v>0</v>
      </c>
      <c r="R71" s="163">
        <v>0</v>
      </c>
      <c r="S71" s="163">
        <v>0</v>
      </c>
      <c r="T71" s="164">
        <v>0</v>
      </c>
      <c r="U71" s="129"/>
      <c r="V71" s="143">
        <f t="shared" si="1"/>
        <v>0</v>
      </c>
      <c r="W71" s="143">
        <f t="shared" si="2"/>
        <v>0</v>
      </c>
      <c r="X71" s="143">
        <f t="shared" si="3"/>
        <v>0</v>
      </c>
      <c r="Y71" s="143">
        <f t="shared" si="4"/>
        <v>0</v>
      </c>
      <c r="Z71" s="143">
        <f t="shared" si="5"/>
        <v>0</v>
      </c>
      <c r="AA71" s="143">
        <f t="shared" si="6"/>
        <v>0</v>
      </c>
      <c r="AB71" s="143">
        <f t="shared" si="7"/>
        <v>0</v>
      </c>
      <c r="AC71" s="143">
        <f t="shared" si="8"/>
        <v>0</v>
      </c>
      <c r="AD71" s="143">
        <f t="shared" si="9"/>
        <v>0</v>
      </c>
      <c r="AE71" s="143">
        <f t="shared" si="10"/>
        <v>0</v>
      </c>
      <c r="AF71" s="143">
        <f t="shared" si="11"/>
        <v>0</v>
      </c>
      <c r="AG71" s="143">
        <f t="shared" si="12"/>
        <v>0</v>
      </c>
      <c r="AH71" s="148">
        <f t="shared" si="13"/>
        <v>0</v>
      </c>
      <c r="AI71" s="212">
        <f t="shared" si="14"/>
        <v>0</v>
      </c>
      <c r="AK71" s="143">
        <f t="shared" si="15"/>
        <v>0</v>
      </c>
    </row>
    <row r="72" spans="1:37" x14ac:dyDescent="0.25">
      <c r="A72" s="121">
        <f t="shared" ref="A72:A95" si="16">+A71+1</f>
        <v>66</v>
      </c>
      <c r="B72" s="159"/>
      <c r="C72" s="159" t="s">
        <v>84</v>
      </c>
      <c r="D72" s="159" t="s">
        <v>126</v>
      </c>
      <c r="E72" s="159" t="s">
        <v>113</v>
      </c>
      <c r="F72" s="150">
        <v>0</v>
      </c>
      <c r="G72" s="129"/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3">
        <v>0</v>
      </c>
      <c r="T72" s="164">
        <v>0</v>
      </c>
      <c r="U72" s="129"/>
      <c r="V72" s="143">
        <f t="shared" si="1"/>
        <v>0</v>
      </c>
      <c r="W72" s="143">
        <f t="shared" si="2"/>
        <v>0</v>
      </c>
      <c r="X72" s="143">
        <f t="shared" si="3"/>
        <v>0</v>
      </c>
      <c r="Y72" s="143">
        <f t="shared" si="4"/>
        <v>0</v>
      </c>
      <c r="Z72" s="143">
        <f t="shared" si="5"/>
        <v>0</v>
      </c>
      <c r="AA72" s="143">
        <f t="shared" si="6"/>
        <v>0</v>
      </c>
      <c r="AB72" s="143">
        <f t="shared" si="7"/>
        <v>0</v>
      </c>
      <c r="AC72" s="143">
        <f t="shared" si="8"/>
        <v>0</v>
      </c>
      <c r="AD72" s="143">
        <f t="shared" si="9"/>
        <v>0</v>
      </c>
      <c r="AE72" s="143">
        <f t="shared" si="10"/>
        <v>0</v>
      </c>
      <c r="AF72" s="143">
        <f t="shared" si="11"/>
        <v>0</v>
      </c>
      <c r="AG72" s="143">
        <f t="shared" si="12"/>
        <v>0</v>
      </c>
      <c r="AH72" s="148">
        <f t="shared" si="13"/>
        <v>0</v>
      </c>
      <c r="AI72" s="212">
        <f t="shared" si="14"/>
        <v>0</v>
      </c>
      <c r="AK72" s="143">
        <f t="shared" si="15"/>
        <v>0</v>
      </c>
    </row>
    <row r="73" spans="1:37" x14ac:dyDescent="0.25">
      <c r="A73" s="121">
        <f t="shared" si="16"/>
        <v>67</v>
      </c>
      <c r="B73" s="160"/>
      <c r="C73" s="160" t="s">
        <v>84</v>
      </c>
      <c r="D73" s="160" t="s">
        <v>126</v>
      </c>
      <c r="E73" s="160" t="s">
        <v>114</v>
      </c>
      <c r="F73" s="149">
        <v>0</v>
      </c>
      <c r="G73" s="127"/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>
        <v>0</v>
      </c>
      <c r="N73" s="161">
        <v>0</v>
      </c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2">
        <v>0</v>
      </c>
      <c r="U73" s="127"/>
      <c r="V73" s="142">
        <f t="shared" si="1"/>
        <v>0</v>
      </c>
      <c r="W73" s="142">
        <f t="shared" si="2"/>
        <v>0</v>
      </c>
      <c r="X73" s="142">
        <f t="shared" si="3"/>
        <v>0</v>
      </c>
      <c r="Y73" s="142">
        <f t="shared" si="4"/>
        <v>0</v>
      </c>
      <c r="Z73" s="142">
        <f t="shared" si="5"/>
        <v>0</v>
      </c>
      <c r="AA73" s="142">
        <f t="shared" si="6"/>
        <v>0</v>
      </c>
      <c r="AB73" s="142">
        <f t="shared" si="7"/>
        <v>0</v>
      </c>
      <c r="AC73" s="142">
        <f t="shared" si="8"/>
        <v>0</v>
      </c>
      <c r="AD73" s="142">
        <f t="shared" si="9"/>
        <v>0</v>
      </c>
      <c r="AE73" s="142">
        <f t="shared" si="10"/>
        <v>0</v>
      </c>
      <c r="AF73" s="142">
        <f t="shared" si="11"/>
        <v>0</v>
      </c>
      <c r="AG73" s="142">
        <f t="shared" si="12"/>
        <v>0</v>
      </c>
      <c r="AH73" s="147">
        <f t="shared" si="13"/>
        <v>0</v>
      </c>
      <c r="AI73" s="211">
        <f t="shared" si="14"/>
        <v>0</v>
      </c>
      <c r="AK73" s="142">
        <f t="shared" si="15"/>
        <v>0</v>
      </c>
    </row>
    <row r="74" spans="1:37" x14ac:dyDescent="0.25">
      <c r="A74" s="121">
        <f t="shared" si="16"/>
        <v>68</v>
      </c>
      <c r="B74" s="159" t="s">
        <v>127</v>
      </c>
      <c r="C74" s="159" t="s">
        <v>84</v>
      </c>
      <c r="D74" s="159" t="s">
        <v>128</v>
      </c>
      <c r="E74" s="159" t="s">
        <v>97</v>
      </c>
      <c r="F74" s="150">
        <v>0</v>
      </c>
      <c r="G74" s="129"/>
      <c r="H74" s="167">
        <v>79958</v>
      </c>
      <c r="I74" s="167">
        <v>55802</v>
      </c>
      <c r="J74" s="163">
        <v>63079</v>
      </c>
      <c r="K74" s="163">
        <v>73839</v>
      </c>
      <c r="L74" s="163">
        <v>79465</v>
      </c>
      <c r="M74" s="163">
        <v>80837</v>
      </c>
      <c r="N74" s="163">
        <v>84575</v>
      </c>
      <c r="O74" s="163">
        <v>81704</v>
      </c>
      <c r="P74" s="163">
        <v>80658</v>
      </c>
      <c r="Q74" s="163">
        <v>80221</v>
      </c>
      <c r="R74" s="163">
        <v>68306</v>
      </c>
      <c r="S74" s="163">
        <v>74217</v>
      </c>
      <c r="T74" s="164">
        <v>0</v>
      </c>
      <c r="U74" s="129"/>
      <c r="V74" s="146">
        <f t="shared" si="1"/>
        <v>0</v>
      </c>
      <c r="W74" s="146">
        <f t="shared" si="2"/>
        <v>0</v>
      </c>
      <c r="X74" s="146">
        <f t="shared" si="3"/>
        <v>0</v>
      </c>
      <c r="Y74" s="146">
        <f t="shared" si="4"/>
        <v>0</v>
      </c>
      <c r="Z74" s="146">
        <f t="shared" si="5"/>
        <v>0</v>
      </c>
      <c r="AA74" s="146">
        <f t="shared" si="6"/>
        <v>0</v>
      </c>
      <c r="AB74" s="146">
        <f t="shared" si="7"/>
        <v>0</v>
      </c>
      <c r="AC74" s="146">
        <f t="shared" si="8"/>
        <v>0</v>
      </c>
      <c r="AD74" s="146">
        <f t="shared" si="9"/>
        <v>0</v>
      </c>
      <c r="AE74" s="146">
        <f t="shared" si="10"/>
        <v>0</v>
      </c>
      <c r="AF74" s="146">
        <f t="shared" si="11"/>
        <v>0</v>
      </c>
      <c r="AG74" s="146">
        <f t="shared" si="12"/>
        <v>0</v>
      </c>
      <c r="AH74" s="151">
        <f t="shared" si="13"/>
        <v>0</v>
      </c>
      <c r="AI74" s="215">
        <f t="shared" si="14"/>
        <v>0</v>
      </c>
      <c r="AK74" s="146">
        <f t="shared" si="15"/>
        <v>0</v>
      </c>
    </row>
    <row r="75" spans="1:37" x14ac:dyDescent="0.25">
      <c r="A75" s="121">
        <f t="shared" si="16"/>
        <v>69</v>
      </c>
      <c r="B75" s="159" t="s">
        <v>128</v>
      </c>
      <c r="C75" s="159" t="s">
        <v>84</v>
      </c>
      <c r="D75" s="159" t="s">
        <v>128</v>
      </c>
      <c r="E75" s="159" t="s">
        <v>98</v>
      </c>
      <c r="F75" s="150">
        <v>0</v>
      </c>
      <c r="G75" s="129"/>
      <c r="H75" s="167">
        <v>126916</v>
      </c>
      <c r="I75" s="167">
        <v>99461</v>
      </c>
      <c r="J75" s="163">
        <v>114457</v>
      </c>
      <c r="K75" s="163">
        <v>113591</v>
      </c>
      <c r="L75" s="163">
        <v>120616</v>
      </c>
      <c r="M75" s="163">
        <v>126707</v>
      </c>
      <c r="N75" s="163">
        <v>157589</v>
      </c>
      <c r="O75" s="163">
        <v>145964</v>
      </c>
      <c r="P75" s="163">
        <v>169559</v>
      </c>
      <c r="Q75" s="163">
        <v>153828</v>
      </c>
      <c r="R75" s="163">
        <v>146238</v>
      </c>
      <c r="S75" s="163">
        <v>152558</v>
      </c>
      <c r="T75" s="164">
        <v>0</v>
      </c>
      <c r="U75" s="129"/>
      <c r="V75" s="146">
        <f t="shared" si="1"/>
        <v>0</v>
      </c>
      <c r="W75" s="146">
        <f t="shared" si="2"/>
        <v>0</v>
      </c>
      <c r="X75" s="146">
        <f t="shared" si="3"/>
        <v>0</v>
      </c>
      <c r="Y75" s="146">
        <f t="shared" si="4"/>
        <v>0</v>
      </c>
      <c r="Z75" s="146">
        <f t="shared" si="5"/>
        <v>0</v>
      </c>
      <c r="AA75" s="146">
        <f t="shared" si="6"/>
        <v>0</v>
      </c>
      <c r="AB75" s="146">
        <f t="shared" si="7"/>
        <v>0</v>
      </c>
      <c r="AC75" s="146">
        <f t="shared" si="8"/>
        <v>0</v>
      </c>
      <c r="AD75" s="146">
        <f t="shared" si="9"/>
        <v>0</v>
      </c>
      <c r="AE75" s="146">
        <f t="shared" si="10"/>
        <v>0</v>
      </c>
      <c r="AF75" s="146">
        <f t="shared" si="11"/>
        <v>0</v>
      </c>
      <c r="AG75" s="146">
        <f t="shared" si="12"/>
        <v>0</v>
      </c>
      <c r="AH75" s="151">
        <f t="shared" si="13"/>
        <v>0</v>
      </c>
      <c r="AI75" s="215">
        <f t="shared" si="14"/>
        <v>0</v>
      </c>
      <c r="AK75" s="146">
        <f t="shared" si="15"/>
        <v>0</v>
      </c>
    </row>
    <row r="76" spans="1:37" x14ac:dyDescent="0.25">
      <c r="A76" s="121">
        <f t="shared" si="16"/>
        <v>70</v>
      </c>
      <c r="B76" s="159"/>
      <c r="C76" s="159" t="s">
        <v>84</v>
      </c>
      <c r="D76" s="159" t="s">
        <v>128</v>
      </c>
      <c r="E76" s="159" t="s">
        <v>111</v>
      </c>
      <c r="F76" s="150">
        <v>0</v>
      </c>
      <c r="G76" s="129"/>
      <c r="H76" s="167">
        <v>101663</v>
      </c>
      <c r="I76" s="167">
        <v>88056</v>
      </c>
      <c r="J76" s="163">
        <v>82325</v>
      </c>
      <c r="K76" s="163">
        <v>79904</v>
      </c>
      <c r="L76" s="163">
        <v>92698</v>
      </c>
      <c r="M76" s="163">
        <v>100000</v>
      </c>
      <c r="N76" s="163">
        <v>102297</v>
      </c>
      <c r="O76" s="163">
        <v>93043</v>
      </c>
      <c r="P76" s="163">
        <v>120776</v>
      </c>
      <c r="Q76" s="163">
        <v>127170</v>
      </c>
      <c r="R76" s="163">
        <v>135256</v>
      </c>
      <c r="S76" s="163">
        <v>126455</v>
      </c>
      <c r="T76" s="164">
        <v>0</v>
      </c>
      <c r="U76" s="129"/>
      <c r="V76" s="146">
        <f t="shared" si="1"/>
        <v>0</v>
      </c>
      <c r="W76" s="146">
        <f t="shared" si="2"/>
        <v>0</v>
      </c>
      <c r="X76" s="146">
        <f t="shared" si="3"/>
        <v>0</v>
      </c>
      <c r="Y76" s="146">
        <f t="shared" si="4"/>
        <v>0</v>
      </c>
      <c r="Z76" s="146">
        <f t="shared" si="5"/>
        <v>0</v>
      </c>
      <c r="AA76" s="146">
        <f t="shared" si="6"/>
        <v>0</v>
      </c>
      <c r="AB76" s="146">
        <f t="shared" si="7"/>
        <v>0</v>
      </c>
      <c r="AC76" s="146">
        <f t="shared" si="8"/>
        <v>0</v>
      </c>
      <c r="AD76" s="146">
        <f t="shared" si="9"/>
        <v>0</v>
      </c>
      <c r="AE76" s="146">
        <f t="shared" si="10"/>
        <v>0</v>
      </c>
      <c r="AF76" s="146">
        <f t="shared" si="11"/>
        <v>0</v>
      </c>
      <c r="AG76" s="146">
        <f t="shared" si="12"/>
        <v>0</v>
      </c>
      <c r="AH76" s="151">
        <f t="shared" si="13"/>
        <v>0</v>
      </c>
      <c r="AI76" s="215">
        <f t="shared" si="14"/>
        <v>0</v>
      </c>
      <c r="AK76" s="146">
        <f t="shared" si="15"/>
        <v>0</v>
      </c>
    </row>
    <row r="77" spans="1:37" x14ac:dyDescent="0.25">
      <c r="A77" s="121">
        <f t="shared" si="16"/>
        <v>71</v>
      </c>
      <c r="B77" s="159"/>
      <c r="C77" s="159" t="s">
        <v>84</v>
      </c>
      <c r="D77" s="159" t="s">
        <v>128</v>
      </c>
      <c r="E77" s="159" t="s">
        <v>112</v>
      </c>
      <c r="F77" s="150">
        <v>0</v>
      </c>
      <c r="G77" s="129"/>
      <c r="H77" s="167">
        <v>313934</v>
      </c>
      <c r="I77" s="167">
        <v>326323</v>
      </c>
      <c r="J77" s="163">
        <v>276773</v>
      </c>
      <c r="K77" s="163">
        <v>290226</v>
      </c>
      <c r="L77" s="163">
        <v>298155</v>
      </c>
      <c r="M77" s="163">
        <v>319294</v>
      </c>
      <c r="N77" s="163">
        <v>314420</v>
      </c>
      <c r="O77" s="163">
        <v>332527</v>
      </c>
      <c r="P77" s="163">
        <v>300459</v>
      </c>
      <c r="Q77" s="163">
        <v>400254</v>
      </c>
      <c r="R77" s="163">
        <v>396478</v>
      </c>
      <c r="S77" s="163">
        <v>414121</v>
      </c>
      <c r="T77" s="164">
        <v>0</v>
      </c>
      <c r="U77" s="129"/>
      <c r="V77" s="146">
        <f t="shared" si="1"/>
        <v>0</v>
      </c>
      <c r="W77" s="146">
        <f t="shared" si="2"/>
        <v>0</v>
      </c>
      <c r="X77" s="146">
        <f t="shared" si="3"/>
        <v>0</v>
      </c>
      <c r="Y77" s="146">
        <f t="shared" si="4"/>
        <v>0</v>
      </c>
      <c r="Z77" s="146">
        <f t="shared" si="5"/>
        <v>0</v>
      </c>
      <c r="AA77" s="146">
        <f t="shared" si="6"/>
        <v>0</v>
      </c>
      <c r="AB77" s="146">
        <f t="shared" si="7"/>
        <v>0</v>
      </c>
      <c r="AC77" s="146">
        <f t="shared" si="8"/>
        <v>0</v>
      </c>
      <c r="AD77" s="146">
        <f t="shared" si="9"/>
        <v>0</v>
      </c>
      <c r="AE77" s="146">
        <f t="shared" si="10"/>
        <v>0</v>
      </c>
      <c r="AF77" s="146">
        <f t="shared" si="11"/>
        <v>0</v>
      </c>
      <c r="AG77" s="146">
        <f t="shared" si="12"/>
        <v>0</v>
      </c>
      <c r="AH77" s="151">
        <f t="shared" si="13"/>
        <v>0</v>
      </c>
      <c r="AI77" s="215">
        <f t="shared" si="14"/>
        <v>0</v>
      </c>
      <c r="AK77" s="146">
        <f t="shared" si="15"/>
        <v>0</v>
      </c>
    </row>
    <row r="78" spans="1:37" x14ac:dyDescent="0.25">
      <c r="A78" s="121">
        <f t="shared" si="16"/>
        <v>72</v>
      </c>
      <c r="B78" s="159"/>
      <c r="C78" s="159" t="s">
        <v>84</v>
      </c>
      <c r="D78" s="159" t="s">
        <v>128</v>
      </c>
      <c r="E78" s="159" t="s">
        <v>113</v>
      </c>
      <c r="F78" s="150">
        <v>0</v>
      </c>
      <c r="G78" s="129"/>
      <c r="H78" s="167">
        <v>214146</v>
      </c>
      <c r="I78" s="167">
        <v>292111</v>
      </c>
      <c r="J78" s="163">
        <v>259564</v>
      </c>
      <c r="K78" s="163">
        <v>122571</v>
      </c>
      <c r="L78" s="163">
        <v>196379</v>
      </c>
      <c r="M78" s="163">
        <v>149563</v>
      </c>
      <c r="N78" s="163">
        <v>185814</v>
      </c>
      <c r="O78" s="163">
        <v>175814</v>
      </c>
      <c r="P78" s="163">
        <v>115083</v>
      </c>
      <c r="Q78" s="163">
        <v>165016</v>
      </c>
      <c r="R78" s="163">
        <v>334724</v>
      </c>
      <c r="S78" s="163">
        <v>262758</v>
      </c>
      <c r="T78" s="164">
        <v>0</v>
      </c>
      <c r="U78" s="129"/>
      <c r="V78" s="146">
        <f t="shared" si="1"/>
        <v>0</v>
      </c>
      <c r="W78" s="146">
        <f t="shared" si="2"/>
        <v>0</v>
      </c>
      <c r="X78" s="146">
        <f t="shared" si="3"/>
        <v>0</v>
      </c>
      <c r="Y78" s="146">
        <f t="shared" si="4"/>
        <v>0</v>
      </c>
      <c r="Z78" s="146">
        <f t="shared" si="5"/>
        <v>0</v>
      </c>
      <c r="AA78" s="146">
        <f t="shared" si="6"/>
        <v>0</v>
      </c>
      <c r="AB78" s="146">
        <f t="shared" si="7"/>
        <v>0</v>
      </c>
      <c r="AC78" s="146">
        <f t="shared" si="8"/>
        <v>0</v>
      </c>
      <c r="AD78" s="146">
        <f t="shared" si="9"/>
        <v>0</v>
      </c>
      <c r="AE78" s="146">
        <f t="shared" si="10"/>
        <v>0</v>
      </c>
      <c r="AF78" s="146">
        <f t="shared" si="11"/>
        <v>0</v>
      </c>
      <c r="AG78" s="146">
        <f t="shared" si="12"/>
        <v>0</v>
      </c>
      <c r="AH78" s="151">
        <f t="shared" si="13"/>
        <v>0</v>
      </c>
      <c r="AI78" s="215">
        <f t="shared" si="14"/>
        <v>0</v>
      </c>
      <c r="AK78" s="146">
        <f t="shared" si="15"/>
        <v>0</v>
      </c>
    </row>
    <row r="79" spans="1:37" x14ac:dyDescent="0.25">
      <c r="A79" s="121">
        <f t="shared" si="16"/>
        <v>73</v>
      </c>
      <c r="B79" s="160"/>
      <c r="C79" s="160" t="s">
        <v>84</v>
      </c>
      <c r="D79" s="160" t="s">
        <v>128</v>
      </c>
      <c r="E79" s="160" t="s">
        <v>114</v>
      </c>
      <c r="F79" s="149">
        <v>0</v>
      </c>
      <c r="G79" s="127"/>
      <c r="H79" s="166">
        <v>0</v>
      </c>
      <c r="I79" s="166">
        <v>0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0</v>
      </c>
      <c r="Q79" s="161">
        <v>0</v>
      </c>
      <c r="R79" s="161">
        <v>0</v>
      </c>
      <c r="S79" s="161">
        <v>0</v>
      </c>
      <c r="T79" s="162">
        <v>0</v>
      </c>
      <c r="U79" s="127"/>
      <c r="V79" s="145">
        <f t="shared" ref="V79" si="17">ROUND($F79*$H79,2)</f>
        <v>0</v>
      </c>
      <c r="W79" s="145">
        <f t="shared" ref="W79" si="18">ROUND($F79*$I79,2)</f>
        <v>0</v>
      </c>
      <c r="X79" s="145">
        <f t="shared" ref="X79" si="19">ROUND($F79*$J79,2)</f>
        <v>0</v>
      </c>
      <c r="Y79" s="145">
        <f t="shared" ref="Y79" si="20">ROUND($F79*$K79,2)</f>
        <v>0</v>
      </c>
      <c r="Z79" s="145">
        <f t="shared" ref="Z79" si="21">ROUND($F79*$L79,2)</f>
        <v>0</v>
      </c>
      <c r="AA79" s="145">
        <f t="shared" ref="AA79" si="22">ROUND($F79*$M79,2)</f>
        <v>0</v>
      </c>
      <c r="AB79" s="145">
        <f t="shared" ref="AB79" si="23">ROUND($F79*$N79,2)</f>
        <v>0</v>
      </c>
      <c r="AC79" s="145">
        <f t="shared" ref="AC79" si="24">ROUND($F79*$O79,2)</f>
        <v>0</v>
      </c>
      <c r="AD79" s="145">
        <f t="shared" ref="AD79" si="25">ROUND($F79*$P79,2)</f>
        <v>0</v>
      </c>
      <c r="AE79" s="145">
        <f t="shared" ref="AE79" si="26">ROUND($F79*$Q79,2)</f>
        <v>0</v>
      </c>
      <c r="AF79" s="145">
        <f t="shared" ref="AF79" si="27">ROUND($F79*$R79,2)</f>
        <v>0</v>
      </c>
      <c r="AG79" s="145">
        <f t="shared" ref="AG79" si="28">ROUND($F79*$S79,2)</f>
        <v>0</v>
      </c>
      <c r="AH79" s="147">
        <f t="shared" ref="AH79" si="29">ROUND($F79*$T79,2)</f>
        <v>0</v>
      </c>
      <c r="AI79" s="214">
        <f t="shared" ref="AI79" si="30">+SUM(V79:AH79)</f>
        <v>0</v>
      </c>
      <c r="AK79" s="145">
        <f t="shared" ref="AK79" si="31">AI79/(1-0.04372)</f>
        <v>0</v>
      </c>
    </row>
    <row r="80" spans="1:37" s="133" customFormat="1" x14ac:dyDescent="0.25">
      <c r="A80" s="121">
        <f t="shared" si="16"/>
        <v>74</v>
      </c>
      <c r="B80" s="120" t="s">
        <v>148</v>
      </c>
      <c r="C80" s="120"/>
      <c r="D80" s="120"/>
      <c r="E80" s="120"/>
      <c r="F80" s="152"/>
      <c r="G80" s="153"/>
      <c r="H80" s="168">
        <f>SUM(H14:H79)</f>
        <v>3778396.4</v>
      </c>
      <c r="I80" s="168">
        <f t="shared" ref="I80:T80" si="32">SUM(I14:I79)</f>
        <v>12270407.899999999</v>
      </c>
      <c r="J80" s="168">
        <f t="shared" si="32"/>
        <v>14365487.1</v>
      </c>
      <c r="K80" s="168">
        <f t="shared" si="32"/>
        <v>9819564.3000000007</v>
      </c>
      <c r="L80" s="168">
        <f t="shared" si="32"/>
        <v>8709886.1999999993</v>
      </c>
      <c r="M80" s="168">
        <f t="shared" si="32"/>
        <v>6675892.5499999998</v>
      </c>
      <c r="N80" s="168">
        <f t="shared" si="32"/>
        <v>4656099.3499999996</v>
      </c>
      <c r="O80" s="168">
        <f t="shared" si="32"/>
        <v>4167119.6999999997</v>
      </c>
      <c r="P80" s="168">
        <f t="shared" si="32"/>
        <v>3538572</v>
      </c>
      <c r="Q80" s="168">
        <f t="shared" si="32"/>
        <v>3404781.1999999997</v>
      </c>
      <c r="R80" s="168">
        <f t="shared" si="32"/>
        <v>3740089.3000000003</v>
      </c>
      <c r="S80" s="168">
        <f t="shared" si="32"/>
        <v>4760782.9000000004</v>
      </c>
      <c r="T80" s="168">
        <f t="shared" si="32"/>
        <v>2735419.8</v>
      </c>
      <c r="U80" s="153"/>
      <c r="V80" s="154">
        <f>SUM(V14:V79)</f>
        <v>-39471.979999999989</v>
      </c>
      <c r="W80" s="154">
        <f>SUM(W14:W79)</f>
        <v>-201294.68000000005</v>
      </c>
      <c r="X80" s="154">
        <f>SUM(X14:X79)</f>
        <v>-243216.82999999996</v>
      </c>
      <c r="Y80" s="154">
        <f>SUM(Y14:Y79)</f>
        <v>-160551.00999999998</v>
      </c>
      <c r="Z80" s="154">
        <f>SUM(Z14:Z79)</f>
        <v>-135715.14000000004</v>
      </c>
      <c r="AA80" s="154">
        <f t="shared" ref="AA80:AI80" si="33">SUM(AA14:AA79)</f>
        <v>-99950.780000000013</v>
      </c>
      <c r="AB80" s="154">
        <f t="shared" si="33"/>
        <v>-60320.330000000009</v>
      </c>
      <c r="AC80" s="154">
        <f t="shared" si="33"/>
        <v>-51989.000000000007</v>
      </c>
      <c r="AD80" s="154">
        <f t="shared" si="33"/>
        <v>-41160.740000000005</v>
      </c>
      <c r="AE80" s="154">
        <f t="shared" si="33"/>
        <v>-35650.980000000003</v>
      </c>
      <c r="AF80" s="154">
        <f t="shared" si="33"/>
        <v>-38896.559999999998</v>
      </c>
      <c r="AG80" s="154">
        <f t="shared" si="33"/>
        <v>-57154.779999999984</v>
      </c>
      <c r="AH80" s="155">
        <f t="shared" si="33"/>
        <v>-51481.490000000005</v>
      </c>
      <c r="AI80" s="154">
        <f t="shared" si="33"/>
        <v>-1216854.2999999998</v>
      </c>
      <c r="AK80" s="154">
        <f t="shared" ref="AK80" si="34">SUM(AK14:AK79)</f>
        <v>-1272487.4513740742</v>
      </c>
    </row>
    <row r="81" spans="1:37" x14ac:dyDescent="0.25">
      <c r="A81" s="121">
        <f t="shared" si="16"/>
        <v>75</v>
      </c>
      <c r="F81" s="141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</row>
    <row r="82" spans="1:37" x14ac:dyDescent="0.25">
      <c r="A82" s="121">
        <f t="shared" si="16"/>
        <v>76</v>
      </c>
      <c r="F82" s="141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AK82" s="206"/>
    </row>
    <row r="83" spans="1:37" x14ac:dyDescent="0.25">
      <c r="A83" s="121">
        <f t="shared" si="16"/>
        <v>77</v>
      </c>
      <c r="B83" s="120" t="s">
        <v>231</v>
      </c>
      <c r="F83" s="141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37" x14ac:dyDescent="0.25">
      <c r="A84" s="121">
        <f t="shared" si="16"/>
        <v>78</v>
      </c>
      <c r="B84" s="157" t="s">
        <v>232</v>
      </c>
      <c r="C84" s="207"/>
      <c r="D84" s="207"/>
      <c r="E84" s="207"/>
      <c r="F84" s="208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10">
        <f t="shared" ref="V84:AG84" si="35">+V14</f>
        <v>-174.6</v>
      </c>
      <c r="W84" s="210">
        <f t="shared" si="35"/>
        <v>-924.3</v>
      </c>
      <c r="X84" s="210">
        <f t="shared" si="35"/>
        <v>-1128.3699999999999</v>
      </c>
      <c r="Y84" s="210">
        <f t="shared" si="35"/>
        <v>-742.59</v>
      </c>
      <c r="Z84" s="210">
        <f t="shared" si="35"/>
        <v>-640.98</v>
      </c>
      <c r="AA84" s="210">
        <f t="shared" si="35"/>
        <v>-470.31</v>
      </c>
      <c r="AB84" s="210">
        <f t="shared" si="35"/>
        <v>-310.31</v>
      </c>
      <c r="AC84" s="210">
        <f t="shared" si="35"/>
        <v>-299.52999999999997</v>
      </c>
      <c r="AD84" s="210">
        <f t="shared" si="35"/>
        <v>-249.08</v>
      </c>
      <c r="AE84" s="210">
        <f t="shared" si="35"/>
        <v>-219.5</v>
      </c>
      <c r="AF84" s="210">
        <f t="shared" si="35"/>
        <v>-232.17</v>
      </c>
      <c r="AG84" s="210">
        <f t="shared" si="35"/>
        <v>-294.67</v>
      </c>
      <c r="AH84" s="210">
        <f>+SUM(AH14)</f>
        <v>-265.14999999999998</v>
      </c>
      <c r="AI84" s="216">
        <f t="shared" ref="AI84:AI89" si="36">+AI14</f>
        <v>-5951.5599999999995</v>
      </c>
      <c r="AK84" s="210">
        <f t="shared" ref="AK84:AK89" si="37">+AK14</f>
        <v>-6223.6583427448022</v>
      </c>
    </row>
    <row r="85" spans="1:37" x14ac:dyDescent="0.25">
      <c r="A85" s="121">
        <f t="shared" si="16"/>
        <v>79</v>
      </c>
      <c r="B85" s="157" t="s">
        <v>233</v>
      </c>
      <c r="C85" s="207"/>
      <c r="D85" s="207"/>
      <c r="E85" s="207"/>
      <c r="F85" s="208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10">
        <f t="shared" ref="V85:AG85" si="38">+V15</f>
        <v>-12.83</v>
      </c>
      <c r="W85" s="210">
        <f t="shared" si="38"/>
        <v>-103.42</v>
      </c>
      <c r="X85" s="210">
        <f t="shared" si="38"/>
        <v>-151.38</v>
      </c>
      <c r="Y85" s="210">
        <f t="shared" si="38"/>
        <v>-95.48</v>
      </c>
      <c r="Z85" s="210">
        <f t="shared" si="38"/>
        <v>-67.84</v>
      </c>
      <c r="AA85" s="210">
        <f t="shared" si="38"/>
        <v>-49.11</v>
      </c>
      <c r="AB85" s="210">
        <f t="shared" si="38"/>
        <v>-22.66</v>
      </c>
      <c r="AC85" s="210">
        <f t="shared" si="38"/>
        <v>-20.84</v>
      </c>
      <c r="AD85" s="210">
        <f t="shared" si="38"/>
        <v>-8.98</v>
      </c>
      <c r="AE85" s="210">
        <f t="shared" si="38"/>
        <v>-10.98</v>
      </c>
      <c r="AF85" s="210">
        <f t="shared" si="38"/>
        <v>-26.34</v>
      </c>
      <c r="AG85" s="210">
        <f t="shared" si="38"/>
        <v>-24.18</v>
      </c>
      <c r="AH85" s="210">
        <f t="shared" ref="AH85:AH89" si="39">+SUM(AH15)</f>
        <v>-19.91</v>
      </c>
      <c r="AI85" s="216">
        <f t="shared" si="36"/>
        <v>-613.95000000000005</v>
      </c>
      <c r="AK85" s="210">
        <f t="shared" si="37"/>
        <v>-642.01907391140674</v>
      </c>
    </row>
    <row r="86" spans="1:37" x14ac:dyDescent="0.25">
      <c r="A86" s="121">
        <f t="shared" si="16"/>
        <v>80</v>
      </c>
      <c r="B86" s="157">
        <v>2</v>
      </c>
      <c r="C86" s="207"/>
      <c r="D86" s="207"/>
      <c r="E86" s="207"/>
      <c r="F86" s="208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10">
        <f t="shared" ref="V86:AG86" si="40">+V16</f>
        <v>-29287.48</v>
      </c>
      <c r="W86" s="210">
        <f t="shared" si="40"/>
        <v>-150133.19</v>
      </c>
      <c r="X86" s="210">
        <f t="shared" si="40"/>
        <v>-180540.16</v>
      </c>
      <c r="Y86" s="210">
        <f t="shared" si="40"/>
        <v>-117703.58</v>
      </c>
      <c r="Z86" s="210">
        <f t="shared" si="40"/>
        <v>-100012.25</v>
      </c>
      <c r="AA86" s="210">
        <f t="shared" si="40"/>
        <v>-71738.320000000007</v>
      </c>
      <c r="AB86" s="210">
        <f t="shared" si="40"/>
        <v>-42336.800000000003</v>
      </c>
      <c r="AC86" s="210">
        <f t="shared" si="40"/>
        <v>-35481.75</v>
      </c>
      <c r="AD86" s="210">
        <f t="shared" si="40"/>
        <v>-27339.72</v>
      </c>
      <c r="AE86" s="210">
        <f t="shared" si="40"/>
        <v>-23432.23</v>
      </c>
      <c r="AF86" s="210">
        <f t="shared" si="40"/>
        <v>-25627.119999999999</v>
      </c>
      <c r="AG86" s="210">
        <f t="shared" si="40"/>
        <v>-40499.589999999997</v>
      </c>
      <c r="AH86" s="210">
        <f t="shared" si="39"/>
        <v>-37301.440000000002</v>
      </c>
      <c r="AI86" s="216">
        <f t="shared" si="36"/>
        <v>-881433.62999999989</v>
      </c>
      <c r="AK86" s="210">
        <f t="shared" si="37"/>
        <v>-921731.74174927827</v>
      </c>
    </row>
    <row r="87" spans="1:37" x14ac:dyDescent="0.25">
      <c r="A87" s="121">
        <f t="shared" si="16"/>
        <v>81</v>
      </c>
      <c r="B87" s="158" t="s">
        <v>234</v>
      </c>
      <c r="C87" s="207"/>
      <c r="D87" s="207"/>
      <c r="E87" s="207"/>
      <c r="F87" s="208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10">
        <f t="shared" ref="V87:AG87" si="41">+V17</f>
        <v>-7055.57</v>
      </c>
      <c r="W87" s="210">
        <f t="shared" si="41"/>
        <v>-42288.3</v>
      </c>
      <c r="X87" s="210">
        <f t="shared" si="41"/>
        <v>-52861.64</v>
      </c>
      <c r="Y87" s="210">
        <f t="shared" si="41"/>
        <v>-35423.519999999997</v>
      </c>
      <c r="Z87" s="210">
        <f t="shared" si="41"/>
        <v>-29135.88</v>
      </c>
      <c r="AA87" s="210">
        <f t="shared" si="41"/>
        <v>-22942.21</v>
      </c>
      <c r="AB87" s="210">
        <f t="shared" si="41"/>
        <v>-14097.37</v>
      </c>
      <c r="AC87" s="210">
        <f t="shared" si="41"/>
        <v>-13078.62</v>
      </c>
      <c r="AD87" s="210">
        <f t="shared" si="41"/>
        <v>-10947.82</v>
      </c>
      <c r="AE87" s="210">
        <f t="shared" si="41"/>
        <v>-9613.7000000000007</v>
      </c>
      <c r="AF87" s="210">
        <f t="shared" si="41"/>
        <v>-10214.129999999999</v>
      </c>
      <c r="AG87" s="210">
        <f t="shared" si="41"/>
        <v>-12938.62</v>
      </c>
      <c r="AH87" s="210">
        <f t="shared" si="39"/>
        <v>-11617.34</v>
      </c>
      <c r="AI87" s="216">
        <f t="shared" si="36"/>
        <v>-272214.72000000003</v>
      </c>
      <c r="AK87" s="210">
        <f t="shared" si="37"/>
        <v>-284660.05772367929</v>
      </c>
    </row>
    <row r="88" spans="1:37" x14ac:dyDescent="0.25">
      <c r="A88" s="121">
        <f t="shared" si="16"/>
        <v>82</v>
      </c>
      <c r="B88" s="158" t="s">
        <v>235</v>
      </c>
      <c r="C88" s="207"/>
      <c r="D88" s="207"/>
      <c r="E88" s="207"/>
      <c r="F88" s="208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10">
        <f t="shared" ref="V88:AG88" si="42">+V18</f>
        <v>0</v>
      </c>
      <c r="W88" s="210">
        <f t="shared" si="42"/>
        <v>0</v>
      </c>
      <c r="X88" s="210">
        <f t="shared" si="42"/>
        <v>0</v>
      </c>
      <c r="Y88" s="210">
        <f t="shared" si="42"/>
        <v>0</v>
      </c>
      <c r="Z88" s="210">
        <f t="shared" si="42"/>
        <v>0</v>
      </c>
      <c r="AA88" s="210">
        <f t="shared" si="42"/>
        <v>0</v>
      </c>
      <c r="AB88" s="210">
        <f t="shared" si="42"/>
        <v>0</v>
      </c>
      <c r="AC88" s="210">
        <f t="shared" si="42"/>
        <v>0</v>
      </c>
      <c r="AD88" s="210">
        <f t="shared" si="42"/>
        <v>0</v>
      </c>
      <c r="AE88" s="210">
        <f t="shared" si="42"/>
        <v>0</v>
      </c>
      <c r="AF88" s="210">
        <f t="shared" si="42"/>
        <v>0</v>
      </c>
      <c r="AG88" s="210">
        <f t="shared" si="42"/>
        <v>0</v>
      </c>
      <c r="AH88" s="210">
        <f t="shared" si="39"/>
        <v>0</v>
      </c>
      <c r="AI88" s="216">
        <f t="shared" si="36"/>
        <v>0</v>
      </c>
      <c r="AK88" s="210">
        <f t="shared" si="37"/>
        <v>0</v>
      </c>
    </row>
    <row r="89" spans="1:37" x14ac:dyDescent="0.25">
      <c r="A89" s="121">
        <f t="shared" si="16"/>
        <v>83</v>
      </c>
      <c r="B89" s="157">
        <v>27</v>
      </c>
      <c r="C89" s="207"/>
      <c r="D89" s="207"/>
      <c r="E89" s="207"/>
      <c r="F89" s="208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10">
        <f t="shared" ref="V89:AG89" si="43">+V19</f>
        <v>-234.53</v>
      </c>
      <c r="W89" s="210">
        <f t="shared" si="43"/>
        <v>-857.73</v>
      </c>
      <c r="X89" s="210">
        <f t="shared" si="43"/>
        <v>-852.2</v>
      </c>
      <c r="Y89" s="210">
        <f t="shared" si="43"/>
        <v>-654.78</v>
      </c>
      <c r="Z89" s="210">
        <f t="shared" si="43"/>
        <v>-605.46</v>
      </c>
      <c r="AA89" s="210">
        <f t="shared" si="43"/>
        <v>-453.02</v>
      </c>
      <c r="AB89" s="210">
        <f t="shared" si="43"/>
        <v>-202.35</v>
      </c>
      <c r="AC89" s="210">
        <f t="shared" si="43"/>
        <v>-132.38</v>
      </c>
      <c r="AD89" s="210">
        <f t="shared" si="43"/>
        <v>-72.3</v>
      </c>
      <c r="AE89" s="210">
        <f t="shared" si="43"/>
        <v>-32.979999999999997</v>
      </c>
      <c r="AF89" s="210">
        <f t="shared" si="43"/>
        <v>-45.49</v>
      </c>
      <c r="AG89" s="210">
        <f t="shared" si="43"/>
        <v>-217.59</v>
      </c>
      <c r="AH89" s="210">
        <f t="shared" si="39"/>
        <v>-258.98</v>
      </c>
      <c r="AI89" s="216">
        <f t="shared" si="36"/>
        <v>-4619.7899999999991</v>
      </c>
      <c r="AK89" s="210">
        <f t="shared" si="37"/>
        <v>-4831.0013803488509</v>
      </c>
    </row>
    <row r="90" spans="1:37" x14ac:dyDescent="0.25">
      <c r="A90" s="121">
        <f t="shared" si="16"/>
        <v>84</v>
      </c>
      <c r="B90" s="157" t="s">
        <v>95</v>
      </c>
      <c r="C90" s="207"/>
      <c r="D90" s="207"/>
      <c r="E90" s="207"/>
      <c r="F90" s="208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10">
        <f t="shared" ref="V90:AI90" si="44">+SUM(V20:V21)</f>
        <v>-1391.62</v>
      </c>
      <c r="W90" s="210">
        <f t="shared" si="44"/>
        <v>-5561.59</v>
      </c>
      <c r="X90" s="210">
        <f t="shared" si="44"/>
        <v>-6247.02</v>
      </c>
      <c r="Y90" s="210">
        <f t="shared" si="44"/>
        <v>-4854.59</v>
      </c>
      <c r="Z90" s="210">
        <f t="shared" si="44"/>
        <v>-4135.58</v>
      </c>
      <c r="AA90" s="210">
        <f t="shared" si="44"/>
        <v>-3449.8</v>
      </c>
      <c r="AB90" s="210">
        <f t="shared" si="44"/>
        <v>-2604.86</v>
      </c>
      <c r="AC90" s="210">
        <f t="shared" si="44"/>
        <v>-2367.6999999999998</v>
      </c>
      <c r="AD90" s="210">
        <f t="shared" si="44"/>
        <v>-2024.86</v>
      </c>
      <c r="AE90" s="210">
        <f t="shared" si="44"/>
        <v>-1771.44</v>
      </c>
      <c r="AF90" s="210">
        <f t="shared" si="44"/>
        <v>-1988.01</v>
      </c>
      <c r="AG90" s="210">
        <f t="shared" si="44"/>
        <v>-2459</v>
      </c>
      <c r="AH90" s="210">
        <f t="shared" si="44"/>
        <v>-1951.81</v>
      </c>
      <c r="AI90" s="216">
        <f t="shared" si="44"/>
        <v>-40807.880000000005</v>
      </c>
      <c r="AK90" s="210">
        <f>+SUM(AK20:AK21)</f>
        <v>-42673.568410925676</v>
      </c>
    </row>
    <row r="91" spans="1:37" x14ac:dyDescent="0.25">
      <c r="A91" s="121">
        <f t="shared" si="16"/>
        <v>85</v>
      </c>
      <c r="B91" s="157" t="s">
        <v>99</v>
      </c>
      <c r="C91" s="207"/>
      <c r="D91" s="207"/>
      <c r="E91" s="207"/>
      <c r="F91" s="208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10">
        <f t="shared" ref="V91:AI91" si="45">+SUM(V22:V23)</f>
        <v>0</v>
      </c>
      <c r="W91" s="210">
        <f t="shared" si="45"/>
        <v>0</v>
      </c>
      <c r="X91" s="210">
        <f t="shared" si="45"/>
        <v>0</v>
      </c>
      <c r="Y91" s="210">
        <f t="shared" si="45"/>
        <v>0</v>
      </c>
      <c r="Z91" s="210">
        <f t="shared" si="45"/>
        <v>0</v>
      </c>
      <c r="AA91" s="210">
        <f t="shared" si="45"/>
        <v>0</v>
      </c>
      <c r="AB91" s="210">
        <f t="shared" si="45"/>
        <v>0</v>
      </c>
      <c r="AC91" s="210">
        <f t="shared" si="45"/>
        <v>0</v>
      </c>
      <c r="AD91" s="210">
        <f t="shared" si="45"/>
        <v>0</v>
      </c>
      <c r="AE91" s="210">
        <f t="shared" si="45"/>
        <v>0</v>
      </c>
      <c r="AF91" s="210">
        <f t="shared" si="45"/>
        <v>0</v>
      </c>
      <c r="AG91" s="210">
        <f t="shared" si="45"/>
        <v>0</v>
      </c>
      <c r="AH91" s="210">
        <f t="shared" si="45"/>
        <v>0</v>
      </c>
      <c r="AI91" s="216">
        <f t="shared" si="45"/>
        <v>0</v>
      </c>
      <c r="AK91" s="210">
        <f>+SUM(AK22:AK23)</f>
        <v>0</v>
      </c>
    </row>
    <row r="92" spans="1:37" x14ac:dyDescent="0.25">
      <c r="A92" s="121">
        <f t="shared" si="16"/>
        <v>86</v>
      </c>
      <c r="B92" s="157" t="s">
        <v>103</v>
      </c>
      <c r="C92" s="207"/>
      <c r="D92" s="207"/>
      <c r="E92" s="207"/>
      <c r="F92" s="208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10">
        <f t="shared" ref="V92:AI92" si="46">+SUM(V26:V27)</f>
        <v>0</v>
      </c>
      <c r="W92" s="210">
        <f t="shared" si="46"/>
        <v>0</v>
      </c>
      <c r="X92" s="210">
        <f t="shared" si="46"/>
        <v>0</v>
      </c>
      <c r="Y92" s="210">
        <f t="shared" si="46"/>
        <v>0</v>
      </c>
      <c r="Z92" s="210">
        <f t="shared" si="46"/>
        <v>0</v>
      </c>
      <c r="AA92" s="210">
        <f t="shared" si="46"/>
        <v>0</v>
      </c>
      <c r="AB92" s="210">
        <f t="shared" si="46"/>
        <v>0</v>
      </c>
      <c r="AC92" s="210">
        <f t="shared" si="46"/>
        <v>0</v>
      </c>
      <c r="AD92" s="210">
        <f t="shared" si="46"/>
        <v>0</v>
      </c>
      <c r="AE92" s="210">
        <f t="shared" si="46"/>
        <v>0</v>
      </c>
      <c r="AF92" s="210">
        <f t="shared" si="46"/>
        <v>0</v>
      </c>
      <c r="AG92" s="210">
        <f t="shared" si="46"/>
        <v>0</v>
      </c>
      <c r="AH92" s="210">
        <f t="shared" si="46"/>
        <v>0</v>
      </c>
      <c r="AI92" s="216">
        <f t="shared" si="46"/>
        <v>0</v>
      </c>
      <c r="AK92" s="210">
        <f>+SUM(AK26:AK27)</f>
        <v>0</v>
      </c>
    </row>
    <row r="93" spans="1:37" x14ac:dyDescent="0.25">
      <c r="A93" s="121">
        <f t="shared" si="16"/>
        <v>87</v>
      </c>
      <c r="B93" s="157" t="s">
        <v>109</v>
      </c>
      <c r="C93" s="207"/>
      <c r="D93" s="207"/>
      <c r="E93" s="207"/>
      <c r="F93" s="208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10">
        <f t="shared" ref="V93:AI93" si="47">+SUM(V32:V37)</f>
        <v>-820.74</v>
      </c>
      <c r="W93" s="210">
        <f t="shared" si="47"/>
        <v>-909.47000000000014</v>
      </c>
      <c r="X93" s="210">
        <f t="shared" si="47"/>
        <v>-899.36</v>
      </c>
      <c r="Y93" s="210">
        <f t="shared" si="47"/>
        <v>-612.73</v>
      </c>
      <c r="Z93" s="210">
        <f t="shared" si="47"/>
        <v>-645.17000000000007</v>
      </c>
      <c r="AA93" s="210">
        <f t="shared" si="47"/>
        <v>-434.95</v>
      </c>
      <c r="AB93" s="210">
        <f t="shared" si="47"/>
        <v>-351.32</v>
      </c>
      <c r="AC93" s="210">
        <f t="shared" si="47"/>
        <v>-254.62</v>
      </c>
      <c r="AD93" s="210">
        <f t="shared" si="47"/>
        <v>-170.52</v>
      </c>
      <c r="AE93" s="210">
        <f t="shared" si="47"/>
        <v>-221.66</v>
      </c>
      <c r="AF93" s="210">
        <f t="shared" si="47"/>
        <v>-395.03999999999996</v>
      </c>
      <c r="AG93" s="210">
        <f t="shared" si="47"/>
        <v>-307.93</v>
      </c>
      <c r="AH93" s="210">
        <f t="shared" si="47"/>
        <v>-66.86</v>
      </c>
      <c r="AI93" s="216">
        <f t="shared" si="47"/>
        <v>-6090.37</v>
      </c>
      <c r="AK93" s="210">
        <f>+SUM(AK32:AK37)</f>
        <v>-6368.8145731375744</v>
      </c>
    </row>
    <row r="94" spans="1:37" x14ac:dyDescent="0.25">
      <c r="A94" s="121">
        <f t="shared" si="16"/>
        <v>88</v>
      </c>
      <c r="B94" s="157" t="s">
        <v>121</v>
      </c>
      <c r="C94" s="207"/>
      <c r="D94" s="207"/>
      <c r="E94" s="207"/>
      <c r="F94" s="208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10">
        <f t="shared" ref="V94:AI94" si="48">+SUM(V56:V61)</f>
        <v>-494.61</v>
      </c>
      <c r="W94" s="210">
        <f t="shared" si="48"/>
        <v>-516.67999999999995</v>
      </c>
      <c r="X94" s="210">
        <f t="shared" si="48"/>
        <v>-536.69999999999993</v>
      </c>
      <c r="Y94" s="210">
        <f t="shared" si="48"/>
        <v>-463.74</v>
      </c>
      <c r="Z94" s="210">
        <f t="shared" si="48"/>
        <v>-471.98</v>
      </c>
      <c r="AA94" s="210">
        <f t="shared" si="48"/>
        <v>-413.06</v>
      </c>
      <c r="AB94" s="210">
        <f t="shared" si="48"/>
        <v>-394.65999999999997</v>
      </c>
      <c r="AC94" s="210">
        <f t="shared" si="48"/>
        <v>-353.56</v>
      </c>
      <c r="AD94" s="210">
        <f t="shared" si="48"/>
        <v>-347.46</v>
      </c>
      <c r="AE94" s="210">
        <f t="shared" si="48"/>
        <v>-348.49</v>
      </c>
      <c r="AF94" s="210">
        <f t="shared" si="48"/>
        <v>-368.26</v>
      </c>
      <c r="AG94" s="210">
        <f t="shared" si="48"/>
        <v>-413.2</v>
      </c>
      <c r="AH94" s="210">
        <f t="shared" si="48"/>
        <v>0</v>
      </c>
      <c r="AI94" s="216">
        <f t="shared" si="48"/>
        <v>-5122.3999999999996</v>
      </c>
      <c r="AK94" s="210">
        <f>+SUM(AK56:AK61)</f>
        <v>-5356.5901200485214</v>
      </c>
    </row>
    <row r="95" spans="1:37" x14ac:dyDescent="0.25">
      <c r="A95" s="121">
        <f t="shared" si="16"/>
        <v>89</v>
      </c>
      <c r="B95" s="120" t="s">
        <v>148</v>
      </c>
      <c r="F95" s="141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54">
        <f>SUM(V84:V94)</f>
        <v>-39471.979999999996</v>
      </c>
      <c r="W95" s="154">
        <f t="shared" ref="W95:AI95" si="49">SUM(W84:W94)</f>
        <v>-201294.68000000002</v>
      </c>
      <c r="X95" s="154">
        <f t="shared" si="49"/>
        <v>-243216.83</v>
      </c>
      <c r="Y95" s="154">
        <f t="shared" si="49"/>
        <v>-160551.01</v>
      </c>
      <c r="Z95" s="154">
        <f t="shared" si="49"/>
        <v>-135715.14000000004</v>
      </c>
      <c r="AA95" s="154">
        <f t="shared" si="49"/>
        <v>-99950.780000000013</v>
      </c>
      <c r="AB95" s="154">
        <f t="shared" si="49"/>
        <v>-60320.330000000009</v>
      </c>
      <c r="AC95" s="154">
        <f t="shared" si="49"/>
        <v>-51989</v>
      </c>
      <c r="AD95" s="154">
        <f t="shared" si="49"/>
        <v>-41160.740000000005</v>
      </c>
      <c r="AE95" s="154">
        <f t="shared" si="49"/>
        <v>-35650.98000000001</v>
      </c>
      <c r="AF95" s="154">
        <f t="shared" si="49"/>
        <v>-38896.559999999998</v>
      </c>
      <c r="AG95" s="154">
        <f t="shared" si="49"/>
        <v>-57154.779999999992</v>
      </c>
      <c r="AH95" s="154">
        <f t="shared" si="49"/>
        <v>-51481.49</v>
      </c>
      <c r="AI95" s="154">
        <f t="shared" si="49"/>
        <v>-1216854.2999999998</v>
      </c>
      <c r="AK95" s="206">
        <f t="shared" ref="AK95" si="50">SUM(AK84:AK94)</f>
        <v>-1272487.4513740742</v>
      </c>
    </row>
    <row r="96" spans="1:37" x14ac:dyDescent="0.25">
      <c r="F96" s="141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</row>
    <row r="97" spans="6:21" x14ac:dyDescent="0.25">
      <c r="F97" s="141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</row>
    <row r="98" spans="6:21" x14ac:dyDescent="0.25">
      <c r="F98" s="141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</row>
    <row r="99" spans="6:21" x14ac:dyDescent="0.25">
      <c r="F99" s="141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</row>
    <row r="100" spans="6:21" x14ac:dyDescent="0.25">
      <c r="F100" s="141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</row>
    <row r="101" spans="6:21" x14ac:dyDescent="0.25">
      <c r="F101" s="141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</row>
    <row r="102" spans="6:21" x14ac:dyDescent="0.25">
      <c r="F102" s="141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</row>
    <row r="103" spans="6:21" x14ac:dyDescent="0.25">
      <c r="F103" s="141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</row>
    <row r="104" spans="6:21" x14ac:dyDescent="0.25">
      <c r="F104" s="141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</row>
    <row r="105" spans="6:21" x14ac:dyDescent="0.25">
      <c r="F105" s="141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</row>
    <row r="106" spans="6:21" x14ac:dyDescent="0.25">
      <c r="F106" s="141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</row>
    <row r="107" spans="6:21" x14ac:dyDescent="0.25">
      <c r="F107" s="141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</row>
    <row r="108" spans="6:21" x14ac:dyDescent="0.25">
      <c r="F108" s="141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</row>
    <row r="109" spans="6:21" x14ac:dyDescent="0.25">
      <c r="F109" s="141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</row>
    <row r="110" spans="6:21" x14ac:dyDescent="0.25">
      <c r="F110" s="141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</row>
    <row r="111" spans="6:21" x14ac:dyDescent="0.25">
      <c r="F111" s="141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</row>
    <row r="112" spans="6:21" x14ac:dyDescent="0.25">
      <c r="F112" s="141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</row>
    <row r="113" spans="6:21" x14ac:dyDescent="0.25">
      <c r="F113" s="141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</row>
    <row r="114" spans="6:21" x14ac:dyDescent="0.25">
      <c r="F114" s="141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</row>
    <row r="115" spans="6:21" x14ac:dyDescent="0.25">
      <c r="F115" s="141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</row>
    <row r="116" spans="6:21" x14ac:dyDescent="0.25">
      <c r="F116" s="141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</row>
    <row r="117" spans="6:21" x14ac:dyDescent="0.25">
      <c r="F117" s="141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</row>
    <row r="118" spans="6:21" x14ac:dyDescent="0.25">
      <c r="F118" s="141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</row>
    <row r="119" spans="6:21" x14ac:dyDescent="0.25">
      <c r="F119" s="141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</row>
    <row r="120" spans="6:21" x14ac:dyDescent="0.25">
      <c r="F120" s="141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</row>
    <row r="121" spans="6:21" x14ac:dyDescent="0.25">
      <c r="F121" s="141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6:21" x14ac:dyDescent="0.25">
      <c r="F122" s="14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6:21" x14ac:dyDescent="0.25">
      <c r="F123" s="141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6:21" x14ac:dyDescent="0.25">
      <c r="F124" s="141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  <row r="125" spans="6:21" x14ac:dyDescent="0.25">
      <c r="F125" s="141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</row>
    <row r="126" spans="6:21" x14ac:dyDescent="0.25">
      <c r="F126" s="141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</row>
    <row r="127" spans="6:21" x14ac:dyDescent="0.25">
      <c r="F127" s="141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</row>
    <row r="128" spans="6:21" x14ac:dyDescent="0.25">
      <c r="F128" s="141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</row>
    <row r="129" spans="6:21" x14ac:dyDescent="0.25">
      <c r="F129" s="141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</row>
    <row r="130" spans="6:21" x14ac:dyDescent="0.25">
      <c r="F130" s="141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</row>
    <row r="131" spans="6:21" x14ac:dyDescent="0.25">
      <c r="F131" s="141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</row>
    <row r="132" spans="6:21" x14ac:dyDescent="0.25">
      <c r="F132" s="141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</row>
    <row r="133" spans="6:21" x14ac:dyDescent="0.25">
      <c r="F133" s="141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</row>
    <row r="134" spans="6:21" x14ac:dyDescent="0.25">
      <c r="F134" s="141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</row>
    <row r="135" spans="6:21" x14ac:dyDescent="0.25">
      <c r="F135" s="141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</row>
    <row r="136" spans="6:21" x14ac:dyDescent="0.25">
      <c r="F136" s="141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6:21" x14ac:dyDescent="0.25">
      <c r="F137" s="141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</row>
    <row r="138" spans="6:21" x14ac:dyDescent="0.25">
      <c r="F138" s="141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</row>
    <row r="139" spans="6:21" x14ac:dyDescent="0.25">
      <c r="F139" s="141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</row>
    <row r="140" spans="6:21" x14ac:dyDescent="0.25">
      <c r="F140" s="141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</row>
    <row r="141" spans="6:21" x14ac:dyDescent="0.25">
      <c r="F141" s="141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</row>
    <row r="142" spans="6:21" x14ac:dyDescent="0.25">
      <c r="F142" s="141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</row>
    <row r="143" spans="6:21" x14ac:dyDescent="0.25">
      <c r="F143" s="141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</row>
    <row r="144" spans="6:21" x14ac:dyDescent="0.25">
      <c r="F144" s="141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</row>
    <row r="145" spans="6:21" x14ac:dyDescent="0.25">
      <c r="F145" s="141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</row>
    <row r="146" spans="6:21" x14ac:dyDescent="0.25">
      <c r="F146" s="141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</row>
    <row r="147" spans="6:21" x14ac:dyDescent="0.25">
      <c r="F147" s="141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</row>
    <row r="148" spans="6:21" x14ac:dyDescent="0.25">
      <c r="F148" s="141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</row>
    <row r="149" spans="6:21" x14ac:dyDescent="0.25">
      <c r="F149" s="141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</row>
    <row r="150" spans="6:21" x14ac:dyDescent="0.25">
      <c r="F150" s="141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</row>
    <row r="151" spans="6:21" x14ac:dyDescent="0.25">
      <c r="F151" s="141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</row>
    <row r="152" spans="6:21" x14ac:dyDescent="0.25">
      <c r="F152" s="141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</row>
    <row r="153" spans="6:21" x14ac:dyDescent="0.25">
      <c r="F153" s="141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</row>
    <row r="154" spans="6:21" x14ac:dyDescent="0.25">
      <c r="F154" s="141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</row>
    <row r="155" spans="6:21" x14ac:dyDescent="0.25">
      <c r="F155" s="141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</row>
    <row r="156" spans="6:21" x14ac:dyDescent="0.25">
      <c r="F156" s="141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</row>
  </sheetData>
  <mergeCells count="4">
    <mergeCell ref="H10:T10"/>
    <mergeCell ref="V10:AH10"/>
    <mergeCell ref="H11:T11"/>
    <mergeCell ref="V11:AH11"/>
  </mergeCells>
  <printOptions horizontalCentered="1" verticalCentered="1"/>
  <pageMargins left="0" right="0" top="0" bottom="0" header="0" footer="0.5"/>
  <pageSetup scale="55" orientation="portrait" r:id="rId1"/>
  <headerFooter alignWithMargins="0"/>
  <colBreaks count="2" manualBreakCount="2">
    <brk id="6" max="150" man="1"/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6"/>
  <sheetViews>
    <sheetView workbookViewId="0">
      <selection activeCell="H101" sqref="H101"/>
    </sheetView>
  </sheetViews>
  <sheetFormatPr defaultColWidth="8.88671875" defaultRowHeight="13.2" x14ac:dyDescent="0.25"/>
  <cols>
    <col min="1" max="1" width="4.33203125" style="112" customWidth="1"/>
    <col min="2" max="2" width="17.44140625" style="114" customWidth="1"/>
    <col min="3" max="4" width="8" style="114" customWidth="1"/>
    <col min="5" max="5" width="9.109375" style="114" customWidth="1"/>
    <col min="6" max="6" width="14.109375" style="139" customWidth="1"/>
    <col min="7" max="7" width="3.88671875" style="112" customWidth="1"/>
    <col min="8" max="20" width="16.109375" style="112" customWidth="1"/>
    <col min="21" max="21" width="3.88671875" style="112" customWidth="1"/>
    <col min="22" max="32" width="16.109375" style="112" customWidth="1"/>
    <col min="33" max="33" width="19" style="112" customWidth="1"/>
    <col min="34" max="34" width="16.109375" style="112" customWidth="1"/>
    <col min="35" max="35" width="18.44140625" style="112" customWidth="1"/>
    <col min="36" max="36" width="11" style="112" customWidth="1"/>
    <col min="37" max="37" width="18.6640625" style="112" customWidth="1"/>
    <col min="38" max="46" width="11" style="112" customWidth="1"/>
    <col min="47" max="16384" width="8.88671875" style="112"/>
  </cols>
  <sheetData>
    <row r="1" spans="1:37" ht="13.8" x14ac:dyDescent="0.25">
      <c r="B1" s="113" t="s">
        <v>77</v>
      </c>
    </row>
    <row r="2" spans="1:37" ht="13.8" x14ac:dyDescent="0.25">
      <c r="B2" s="113" t="s">
        <v>78</v>
      </c>
    </row>
    <row r="3" spans="1:37" ht="13.8" x14ac:dyDescent="0.25">
      <c r="B3" s="217" t="s">
        <v>290</v>
      </c>
    </row>
    <row r="4" spans="1:37" ht="13.8" x14ac:dyDescent="0.25">
      <c r="B4" s="113" t="s">
        <v>131</v>
      </c>
    </row>
    <row r="5" spans="1:37" x14ac:dyDescent="0.25">
      <c r="B5" s="116"/>
    </row>
    <row r="7" spans="1:37" x14ac:dyDescent="0.25">
      <c r="A7" s="117">
        <v>1</v>
      </c>
      <c r="B7" s="156" t="s">
        <v>80</v>
      </c>
      <c r="C7" s="118"/>
      <c r="D7" s="118"/>
      <c r="F7" s="119"/>
    </row>
    <row r="8" spans="1:37" x14ac:dyDescent="0.25">
      <c r="A8" s="117">
        <f t="shared" ref="A8:A71" si="0">+A7+1</f>
        <v>2</v>
      </c>
      <c r="B8" s="120"/>
      <c r="C8" s="120"/>
      <c r="D8" s="120"/>
      <c r="F8" s="119"/>
    </row>
    <row r="9" spans="1:37" x14ac:dyDescent="0.25">
      <c r="A9" s="121">
        <f t="shared" si="0"/>
        <v>3</v>
      </c>
      <c r="B9" s="122"/>
      <c r="C9" s="122"/>
      <c r="D9" s="122"/>
      <c r="E9" s="122"/>
      <c r="F9" s="140"/>
    </row>
    <row r="10" spans="1:37" s="123" customFormat="1" ht="13.8" thickBot="1" x14ac:dyDescent="0.3">
      <c r="A10" s="121">
        <f t="shared" si="0"/>
        <v>4</v>
      </c>
      <c r="B10" s="122"/>
      <c r="C10" s="122"/>
      <c r="D10" s="122"/>
      <c r="E10" s="122"/>
      <c r="F10" s="140"/>
      <c r="H10" s="308" t="s">
        <v>132</v>
      </c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V10" s="308" t="s">
        <v>44</v>
      </c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</row>
    <row r="11" spans="1:37" s="123" customFormat="1" ht="13.8" thickBot="1" x14ac:dyDescent="0.3">
      <c r="A11" s="121">
        <f t="shared" si="0"/>
        <v>5</v>
      </c>
      <c r="B11" s="122"/>
      <c r="C11" s="122"/>
      <c r="D11" s="122"/>
      <c r="E11" s="122"/>
      <c r="F11" s="135" t="s">
        <v>147</v>
      </c>
      <c r="H11" s="309" t="s">
        <v>145</v>
      </c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V11" s="309" t="s">
        <v>145</v>
      </c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K11" s="124"/>
    </row>
    <row r="12" spans="1:37" s="123" customFormat="1" ht="15" customHeight="1" x14ac:dyDescent="0.25">
      <c r="A12" s="121">
        <f t="shared" si="0"/>
        <v>6</v>
      </c>
      <c r="B12" s="136" t="s">
        <v>130</v>
      </c>
      <c r="C12" s="134" t="s">
        <v>81</v>
      </c>
      <c r="D12" s="134" t="s">
        <v>18</v>
      </c>
      <c r="E12" s="136" t="s">
        <v>82</v>
      </c>
      <c r="F12" s="136" t="s">
        <v>129</v>
      </c>
      <c r="G12" s="126"/>
      <c r="H12" s="126" t="s">
        <v>277</v>
      </c>
      <c r="I12" s="137" t="s">
        <v>278</v>
      </c>
      <c r="J12" s="138" t="s">
        <v>279</v>
      </c>
      <c r="K12" s="137" t="s">
        <v>280</v>
      </c>
      <c r="L12" s="137" t="s">
        <v>281</v>
      </c>
      <c r="M12" s="137" t="s">
        <v>282</v>
      </c>
      <c r="N12" s="137" t="s">
        <v>283</v>
      </c>
      <c r="O12" s="137" t="s">
        <v>284</v>
      </c>
      <c r="P12" s="137" t="s">
        <v>285</v>
      </c>
      <c r="Q12" s="137" t="s">
        <v>286</v>
      </c>
      <c r="R12" s="137" t="s">
        <v>287</v>
      </c>
      <c r="S12" s="137" t="s">
        <v>288</v>
      </c>
      <c r="T12" s="137" t="s">
        <v>289</v>
      </c>
      <c r="U12" s="126"/>
      <c r="V12" s="126" t="s">
        <v>277</v>
      </c>
      <c r="W12" s="137" t="s">
        <v>278</v>
      </c>
      <c r="X12" s="138" t="s">
        <v>279</v>
      </c>
      <c r="Y12" s="137" t="s">
        <v>280</v>
      </c>
      <c r="Z12" s="137" t="s">
        <v>281</v>
      </c>
      <c r="AA12" s="137" t="s">
        <v>282</v>
      </c>
      <c r="AB12" s="137" t="s">
        <v>283</v>
      </c>
      <c r="AC12" s="137" t="s">
        <v>284</v>
      </c>
      <c r="AD12" s="137" t="s">
        <v>285</v>
      </c>
      <c r="AE12" s="137" t="s">
        <v>286</v>
      </c>
      <c r="AF12" s="137" t="s">
        <v>287</v>
      </c>
      <c r="AG12" s="137" t="s">
        <v>288</v>
      </c>
      <c r="AH12" s="137" t="s">
        <v>289</v>
      </c>
      <c r="AI12" s="124" t="s">
        <v>307</v>
      </c>
      <c r="AK12" s="124" t="s">
        <v>308</v>
      </c>
    </row>
    <row r="13" spans="1:37" s="123" customFormat="1" ht="15" customHeight="1" x14ac:dyDescent="0.25">
      <c r="A13" s="121">
        <f t="shared" si="0"/>
        <v>7</v>
      </c>
      <c r="B13" s="125"/>
      <c r="C13" s="125"/>
      <c r="D13" s="125"/>
      <c r="E13" s="125"/>
      <c r="F13" s="125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spans="1:37" x14ac:dyDescent="0.25">
      <c r="A14" s="121">
        <f t="shared" si="0"/>
        <v>8</v>
      </c>
      <c r="B14" s="157" t="s">
        <v>83</v>
      </c>
      <c r="C14" s="157" t="s">
        <v>84</v>
      </c>
      <c r="D14" s="157" t="s">
        <v>85</v>
      </c>
      <c r="E14" s="157"/>
      <c r="F14" s="149">
        <v>-3.3029999999999997E-2</v>
      </c>
      <c r="G14" s="127"/>
      <c r="H14" s="161">
        <v>5616.8</v>
      </c>
      <c r="I14" s="161">
        <v>25368.7</v>
      </c>
      <c r="J14" s="161">
        <v>28323</v>
      </c>
      <c r="K14" s="161">
        <v>21131.599999999999</v>
      </c>
      <c r="L14" s="161">
        <v>16352.3</v>
      </c>
      <c r="M14" s="161">
        <v>14300.4</v>
      </c>
      <c r="N14" s="161">
        <v>11428.1</v>
      </c>
      <c r="O14" s="161">
        <v>8095.1</v>
      </c>
      <c r="P14" s="161">
        <v>6159.5</v>
      </c>
      <c r="Q14" s="161">
        <v>5475.1</v>
      </c>
      <c r="R14" s="161">
        <v>6290</v>
      </c>
      <c r="S14" s="161">
        <v>7232.3</v>
      </c>
      <c r="T14" s="162">
        <v>6999</v>
      </c>
      <c r="U14" s="127"/>
      <c r="V14" s="142">
        <f>ROUND($F14*$H14,2)</f>
        <v>-185.52</v>
      </c>
      <c r="W14" s="142">
        <f>ROUND($F14*$I14,2)</f>
        <v>-837.93</v>
      </c>
      <c r="X14" s="142">
        <f>ROUND($F14*$J14,2)</f>
        <v>-935.51</v>
      </c>
      <c r="Y14" s="142">
        <f>ROUND($F14*$K14,2)</f>
        <v>-697.98</v>
      </c>
      <c r="Z14" s="142">
        <f>ROUND($F14*$L14,2)</f>
        <v>-540.12</v>
      </c>
      <c r="AA14" s="142">
        <f>ROUND($F14*$M14,2)</f>
        <v>-472.34</v>
      </c>
      <c r="AB14" s="142">
        <f>ROUND($F14*$N14,2)</f>
        <v>-377.47</v>
      </c>
      <c r="AC14" s="142">
        <f>ROUND($F14*$O14,2)</f>
        <v>-267.38</v>
      </c>
      <c r="AD14" s="142">
        <f>ROUND($F14*$P14,2)</f>
        <v>-203.45</v>
      </c>
      <c r="AE14" s="142">
        <f>ROUND($F14*$Q14,2)</f>
        <v>-180.84</v>
      </c>
      <c r="AF14" s="142">
        <f>ROUND($F14*$R14,2)</f>
        <v>-207.76</v>
      </c>
      <c r="AG14" s="142">
        <f>ROUND($F14*$S14,2)</f>
        <v>-238.88</v>
      </c>
      <c r="AH14" s="142">
        <f>ROUND($F14*$T14,2)</f>
        <v>-231.18</v>
      </c>
      <c r="AI14" s="211">
        <f>+SUM(V14:AH14)</f>
        <v>-5376.3600000000006</v>
      </c>
      <c r="AK14" s="142">
        <f>AI14/(1-0.04372)</f>
        <v>-5622.160873384365</v>
      </c>
    </row>
    <row r="15" spans="1:37" x14ac:dyDescent="0.25">
      <c r="A15" s="121">
        <f t="shared" si="0"/>
        <v>9</v>
      </c>
      <c r="B15" s="158" t="s">
        <v>86</v>
      </c>
      <c r="C15" s="158" t="s">
        <v>84</v>
      </c>
      <c r="D15" s="158" t="s">
        <v>87</v>
      </c>
      <c r="E15" s="158"/>
      <c r="F15" s="149">
        <v>-2.7019999999999999E-2</v>
      </c>
      <c r="G15" s="127"/>
      <c r="H15" s="161">
        <v>2337.8000000000002</v>
      </c>
      <c r="I15" s="161">
        <v>9227.2999999999993</v>
      </c>
      <c r="J15" s="161">
        <v>9984.2000000000007</v>
      </c>
      <c r="K15" s="161">
        <v>7752.9</v>
      </c>
      <c r="L15" s="161">
        <v>4894.2</v>
      </c>
      <c r="M15" s="161">
        <v>-18360.400000000001</v>
      </c>
      <c r="N15" s="161">
        <v>1286.0999999999999</v>
      </c>
      <c r="O15" s="161">
        <v>665.4</v>
      </c>
      <c r="P15" s="161">
        <v>976</v>
      </c>
      <c r="Q15" s="161">
        <v>650.5</v>
      </c>
      <c r="R15" s="161">
        <v>844</v>
      </c>
      <c r="S15" s="161">
        <v>1215.0999999999999</v>
      </c>
      <c r="T15" s="162">
        <v>431.9</v>
      </c>
      <c r="U15" s="127"/>
      <c r="V15" s="142">
        <f t="shared" ref="V15:V78" si="1">ROUND($F15*$H15,2)</f>
        <v>-63.17</v>
      </c>
      <c r="W15" s="142">
        <f t="shared" ref="W15:W78" si="2">ROUND($F15*$I15,2)</f>
        <v>-249.32</v>
      </c>
      <c r="X15" s="142">
        <f t="shared" ref="X15:X78" si="3">ROUND($F15*$J15,2)</f>
        <v>-269.77</v>
      </c>
      <c r="Y15" s="142">
        <f t="shared" ref="Y15:Y78" si="4">ROUND($F15*$K15,2)</f>
        <v>-209.48</v>
      </c>
      <c r="Z15" s="142">
        <f t="shared" ref="Z15:Z78" si="5">ROUND($F15*$L15,2)</f>
        <v>-132.24</v>
      </c>
      <c r="AA15" s="142">
        <f t="shared" ref="AA15:AA78" si="6">ROUND($F15*$M15,2)</f>
        <v>496.1</v>
      </c>
      <c r="AB15" s="142">
        <f t="shared" ref="AB15:AB78" si="7">ROUND($F15*$N15,2)</f>
        <v>-34.75</v>
      </c>
      <c r="AC15" s="142">
        <f t="shared" ref="AC15:AC78" si="8">ROUND($F15*$O15,2)</f>
        <v>-17.98</v>
      </c>
      <c r="AD15" s="142">
        <f t="shared" ref="AD15:AD78" si="9">ROUND($F15*$P15,2)</f>
        <v>-26.37</v>
      </c>
      <c r="AE15" s="142">
        <f t="shared" ref="AE15:AE78" si="10">ROUND($F15*$Q15,2)</f>
        <v>-17.579999999999998</v>
      </c>
      <c r="AF15" s="142">
        <f t="shared" ref="AF15:AF78" si="11">ROUND($F15*$R15,2)</f>
        <v>-22.8</v>
      </c>
      <c r="AG15" s="142">
        <f t="shared" ref="AG15:AG78" si="12">ROUND($F15*$S15,2)</f>
        <v>-32.83</v>
      </c>
      <c r="AH15" s="147">
        <f t="shared" ref="AH15:AH78" si="13">ROUND($F15*$T15,2)</f>
        <v>-11.67</v>
      </c>
      <c r="AI15" s="211">
        <f t="shared" ref="AI15:AI78" si="14">+SUM(V15:AH15)</f>
        <v>-591.86</v>
      </c>
      <c r="AK15" s="142">
        <f t="shared" ref="AK15:AK78" si="15">AI15/(1-0.04372)</f>
        <v>-618.91914502028692</v>
      </c>
    </row>
    <row r="16" spans="1:37" x14ac:dyDescent="0.25">
      <c r="A16" s="121">
        <f t="shared" si="0"/>
        <v>10</v>
      </c>
      <c r="B16" s="158" t="s">
        <v>88</v>
      </c>
      <c r="C16" s="158" t="s">
        <v>84</v>
      </c>
      <c r="D16" s="158" t="s">
        <v>89</v>
      </c>
      <c r="E16" s="158"/>
      <c r="F16" s="149">
        <v>-2.0469999999999999E-2</v>
      </c>
      <c r="G16" s="127"/>
      <c r="H16" s="161">
        <v>1610359.5</v>
      </c>
      <c r="I16" s="161">
        <v>6700537.0999999996</v>
      </c>
      <c r="J16" s="161">
        <v>7375362.0999999996</v>
      </c>
      <c r="K16" s="161">
        <v>5358202.3</v>
      </c>
      <c r="L16" s="161">
        <v>4231608.9000000004</v>
      </c>
      <c r="M16" s="161">
        <v>3403014.5</v>
      </c>
      <c r="N16" s="161">
        <v>2483191</v>
      </c>
      <c r="O16" s="161">
        <v>1571984.4</v>
      </c>
      <c r="P16" s="161">
        <v>1133499.1000000001</v>
      </c>
      <c r="Q16" s="161">
        <v>1050854.3</v>
      </c>
      <c r="R16" s="161">
        <v>1226037</v>
      </c>
      <c r="S16" s="161">
        <v>1511900.6</v>
      </c>
      <c r="T16" s="162">
        <v>1552460.3</v>
      </c>
      <c r="U16" s="127"/>
      <c r="V16" s="142">
        <f t="shared" si="1"/>
        <v>-32964.06</v>
      </c>
      <c r="W16" s="142">
        <f t="shared" si="2"/>
        <v>-137159.99</v>
      </c>
      <c r="X16" s="142">
        <f t="shared" si="3"/>
        <v>-150973.66</v>
      </c>
      <c r="Y16" s="142">
        <f t="shared" si="4"/>
        <v>-109682.4</v>
      </c>
      <c r="Z16" s="142">
        <f t="shared" si="5"/>
        <v>-86621.03</v>
      </c>
      <c r="AA16" s="142">
        <f t="shared" si="6"/>
        <v>-69659.710000000006</v>
      </c>
      <c r="AB16" s="142">
        <f t="shared" si="7"/>
        <v>-50830.92</v>
      </c>
      <c r="AC16" s="142">
        <f t="shared" si="8"/>
        <v>-32178.52</v>
      </c>
      <c r="AD16" s="142">
        <f t="shared" si="9"/>
        <v>-23202.73</v>
      </c>
      <c r="AE16" s="142">
        <f t="shared" si="10"/>
        <v>-21510.99</v>
      </c>
      <c r="AF16" s="142">
        <f t="shared" si="11"/>
        <v>-25096.98</v>
      </c>
      <c r="AG16" s="142">
        <f t="shared" si="12"/>
        <v>-30948.61</v>
      </c>
      <c r="AH16" s="147">
        <f t="shared" si="13"/>
        <v>-31778.86</v>
      </c>
      <c r="AI16" s="211">
        <f t="shared" si="14"/>
        <v>-802608.46</v>
      </c>
      <c r="AK16" s="142">
        <f t="shared" si="15"/>
        <v>-839302.77742920478</v>
      </c>
    </row>
    <row r="17" spans="1:37" x14ac:dyDescent="0.25">
      <c r="A17" s="121">
        <f t="shared" si="0"/>
        <v>11</v>
      </c>
      <c r="B17" s="158" t="s">
        <v>90</v>
      </c>
      <c r="C17" s="158" t="s">
        <v>84</v>
      </c>
      <c r="D17" s="158" t="s">
        <v>91</v>
      </c>
      <c r="E17" s="158"/>
      <c r="F17" s="149">
        <v>-1.8239999999999999E-2</v>
      </c>
      <c r="G17" s="127"/>
      <c r="H17" s="161">
        <v>441885.2</v>
      </c>
      <c r="I17" s="161">
        <v>2202842.1999999997</v>
      </c>
      <c r="J17" s="161">
        <v>2403212</v>
      </c>
      <c r="K17" s="161">
        <v>1847099.4</v>
      </c>
      <c r="L17" s="161">
        <v>1404410.5999999999</v>
      </c>
      <c r="M17" s="161">
        <v>1172754.7999999998</v>
      </c>
      <c r="N17" s="161">
        <v>895512.29999999993</v>
      </c>
      <c r="O17" s="161">
        <v>668320.1</v>
      </c>
      <c r="P17" s="161">
        <v>512469.19999999995</v>
      </c>
      <c r="Q17" s="161">
        <v>488480.8</v>
      </c>
      <c r="R17" s="161">
        <v>550476.10000000009</v>
      </c>
      <c r="S17" s="161">
        <v>620849.9</v>
      </c>
      <c r="T17" s="162">
        <v>535870.10000000009</v>
      </c>
      <c r="U17" s="127"/>
      <c r="V17" s="142">
        <f t="shared" si="1"/>
        <v>-8059.99</v>
      </c>
      <c r="W17" s="142">
        <f t="shared" si="2"/>
        <v>-40179.839999999997</v>
      </c>
      <c r="X17" s="142">
        <f t="shared" si="3"/>
        <v>-43834.59</v>
      </c>
      <c r="Y17" s="142">
        <f t="shared" si="4"/>
        <v>-33691.089999999997</v>
      </c>
      <c r="Z17" s="142">
        <f t="shared" si="5"/>
        <v>-25616.45</v>
      </c>
      <c r="AA17" s="142">
        <f t="shared" si="6"/>
        <v>-21391.05</v>
      </c>
      <c r="AB17" s="142">
        <f t="shared" si="7"/>
        <v>-16334.14</v>
      </c>
      <c r="AC17" s="142">
        <f t="shared" si="8"/>
        <v>-12190.16</v>
      </c>
      <c r="AD17" s="142">
        <f t="shared" si="9"/>
        <v>-9347.44</v>
      </c>
      <c r="AE17" s="142">
        <f t="shared" si="10"/>
        <v>-8909.89</v>
      </c>
      <c r="AF17" s="142">
        <f t="shared" si="11"/>
        <v>-10040.68</v>
      </c>
      <c r="AG17" s="142">
        <f t="shared" si="12"/>
        <v>-11324.3</v>
      </c>
      <c r="AH17" s="147">
        <f t="shared" si="13"/>
        <v>-9774.27</v>
      </c>
      <c r="AI17" s="211">
        <f t="shared" si="14"/>
        <v>-250693.88999999993</v>
      </c>
      <c r="AK17" s="142">
        <f t="shared" si="15"/>
        <v>-262155.32061739231</v>
      </c>
    </row>
    <row r="18" spans="1:37" x14ac:dyDescent="0.25">
      <c r="A18" s="121">
        <f t="shared" si="0"/>
        <v>12</v>
      </c>
      <c r="B18" s="158" t="s">
        <v>92</v>
      </c>
      <c r="C18" s="158" t="s">
        <v>84</v>
      </c>
      <c r="D18" s="158" t="s">
        <v>93</v>
      </c>
      <c r="E18" s="158"/>
      <c r="F18" s="149">
        <v>0</v>
      </c>
      <c r="G18" s="127"/>
      <c r="H18" s="161">
        <v>15028</v>
      </c>
      <c r="I18" s="161">
        <v>57598.400000000001</v>
      </c>
      <c r="J18" s="161">
        <v>57916.5</v>
      </c>
      <c r="K18" s="161">
        <v>59109.2</v>
      </c>
      <c r="L18" s="161">
        <v>48719.3</v>
      </c>
      <c r="M18" s="161">
        <v>44599.7</v>
      </c>
      <c r="N18" s="161">
        <v>41618.5</v>
      </c>
      <c r="O18" s="161">
        <v>41195.699999999997</v>
      </c>
      <c r="P18" s="161">
        <v>34719.4</v>
      </c>
      <c r="Q18" s="161">
        <v>32720.5</v>
      </c>
      <c r="R18" s="161">
        <v>24277.8</v>
      </c>
      <c r="S18" s="161">
        <v>32677.200000000001</v>
      </c>
      <c r="T18" s="162">
        <v>23134.2</v>
      </c>
      <c r="U18" s="127"/>
      <c r="V18" s="142">
        <f t="shared" si="1"/>
        <v>0</v>
      </c>
      <c r="W18" s="142">
        <f t="shared" si="2"/>
        <v>0</v>
      </c>
      <c r="X18" s="142">
        <f t="shared" si="3"/>
        <v>0</v>
      </c>
      <c r="Y18" s="142">
        <f t="shared" si="4"/>
        <v>0</v>
      </c>
      <c r="Z18" s="142">
        <f t="shared" si="5"/>
        <v>0</v>
      </c>
      <c r="AA18" s="142">
        <f t="shared" si="6"/>
        <v>0</v>
      </c>
      <c r="AB18" s="142">
        <f t="shared" si="7"/>
        <v>0</v>
      </c>
      <c r="AC18" s="142">
        <f t="shared" si="8"/>
        <v>0</v>
      </c>
      <c r="AD18" s="142">
        <f t="shared" si="9"/>
        <v>0</v>
      </c>
      <c r="AE18" s="142">
        <f t="shared" si="10"/>
        <v>0</v>
      </c>
      <c r="AF18" s="142">
        <f t="shared" si="11"/>
        <v>0</v>
      </c>
      <c r="AG18" s="142">
        <f t="shared" si="12"/>
        <v>0</v>
      </c>
      <c r="AH18" s="147">
        <f t="shared" si="13"/>
        <v>0</v>
      </c>
      <c r="AI18" s="211">
        <f t="shared" si="14"/>
        <v>0</v>
      </c>
      <c r="AK18" s="142">
        <f t="shared" si="15"/>
        <v>0</v>
      </c>
    </row>
    <row r="19" spans="1:37" x14ac:dyDescent="0.25">
      <c r="A19" s="121">
        <f t="shared" si="0"/>
        <v>13</v>
      </c>
      <c r="B19" s="157">
        <v>27</v>
      </c>
      <c r="C19" s="157" t="s">
        <v>84</v>
      </c>
      <c r="D19" s="157" t="s">
        <v>94</v>
      </c>
      <c r="E19" s="157"/>
      <c r="F19" s="149">
        <v>-1.43E-2</v>
      </c>
      <c r="G19" s="127"/>
      <c r="H19" s="161">
        <v>11974.4</v>
      </c>
      <c r="I19" s="161">
        <v>46912.7</v>
      </c>
      <c r="J19" s="161">
        <v>51710.3</v>
      </c>
      <c r="K19" s="161">
        <v>35167.599999999999</v>
      </c>
      <c r="L19" s="161">
        <v>27680.799999999999</v>
      </c>
      <c r="M19" s="161">
        <v>24366.400000000001</v>
      </c>
      <c r="N19" s="161">
        <v>16167.5</v>
      </c>
      <c r="O19" s="161">
        <v>7166.9</v>
      </c>
      <c r="P19" s="161">
        <v>1619.9</v>
      </c>
      <c r="Q19" s="161">
        <v>1033.5999999999999</v>
      </c>
      <c r="R19" s="161">
        <v>2169.1</v>
      </c>
      <c r="S19" s="161">
        <v>8592.5</v>
      </c>
      <c r="T19" s="162">
        <v>9527.9</v>
      </c>
      <c r="U19" s="127"/>
      <c r="V19" s="142">
        <f t="shared" si="1"/>
        <v>-171.23</v>
      </c>
      <c r="W19" s="142">
        <f t="shared" si="2"/>
        <v>-670.85</v>
      </c>
      <c r="X19" s="142">
        <f t="shared" si="3"/>
        <v>-739.46</v>
      </c>
      <c r="Y19" s="142">
        <f t="shared" si="4"/>
        <v>-502.9</v>
      </c>
      <c r="Z19" s="142">
        <f t="shared" si="5"/>
        <v>-395.84</v>
      </c>
      <c r="AA19" s="142">
        <f t="shared" si="6"/>
        <v>-348.44</v>
      </c>
      <c r="AB19" s="142">
        <f t="shared" si="7"/>
        <v>-231.2</v>
      </c>
      <c r="AC19" s="142">
        <f t="shared" si="8"/>
        <v>-102.49</v>
      </c>
      <c r="AD19" s="142">
        <f t="shared" si="9"/>
        <v>-23.16</v>
      </c>
      <c r="AE19" s="142">
        <f t="shared" si="10"/>
        <v>-14.78</v>
      </c>
      <c r="AF19" s="142">
        <f t="shared" si="11"/>
        <v>-31.02</v>
      </c>
      <c r="AG19" s="142">
        <f t="shared" si="12"/>
        <v>-122.87</v>
      </c>
      <c r="AH19" s="147">
        <f t="shared" si="13"/>
        <v>-136.25</v>
      </c>
      <c r="AI19" s="211">
        <f t="shared" si="14"/>
        <v>-3490.49</v>
      </c>
      <c r="AK19" s="142">
        <f t="shared" si="15"/>
        <v>-3650.0711088802441</v>
      </c>
    </row>
    <row r="20" spans="1:37" x14ac:dyDescent="0.25">
      <c r="A20" s="121">
        <f t="shared" si="0"/>
        <v>14</v>
      </c>
      <c r="B20" s="159" t="s">
        <v>95</v>
      </c>
      <c r="C20" s="159" t="s">
        <v>84</v>
      </c>
      <c r="D20" s="159" t="s">
        <v>96</v>
      </c>
      <c r="E20" s="159" t="s">
        <v>97</v>
      </c>
      <c r="F20" s="150">
        <v>-1.43E-2</v>
      </c>
      <c r="G20" s="129"/>
      <c r="H20" s="163">
        <v>70482.600000000006</v>
      </c>
      <c r="I20" s="163">
        <v>178506.7</v>
      </c>
      <c r="J20" s="163">
        <v>178929.7</v>
      </c>
      <c r="K20" s="163">
        <v>180501.7</v>
      </c>
      <c r="L20" s="163">
        <v>178681.4</v>
      </c>
      <c r="M20" s="163">
        <v>175275.2</v>
      </c>
      <c r="N20" s="163">
        <v>168344.8</v>
      </c>
      <c r="O20" s="163">
        <v>144978.1</v>
      </c>
      <c r="P20" s="163">
        <v>122297.4</v>
      </c>
      <c r="Q20" s="163">
        <v>119099.9</v>
      </c>
      <c r="R20" s="163">
        <v>136811.29999999999</v>
      </c>
      <c r="S20" s="163">
        <v>146409.60000000001</v>
      </c>
      <c r="T20" s="164">
        <v>92663.1</v>
      </c>
      <c r="U20" s="129"/>
      <c r="V20" s="143">
        <f t="shared" si="1"/>
        <v>-1007.9</v>
      </c>
      <c r="W20" s="143">
        <f t="shared" si="2"/>
        <v>-2552.65</v>
      </c>
      <c r="X20" s="143">
        <f t="shared" si="3"/>
        <v>-2558.69</v>
      </c>
      <c r="Y20" s="143">
        <f t="shared" si="4"/>
        <v>-2581.17</v>
      </c>
      <c r="Z20" s="143">
        <f t="shared" si="5"/>
        <v>-2555.14</v>
      </c>
      <c r="AA20" s="143">
        <f t="shared" si="6"/>
        <v>-2506.44</v>
      </c>
      <c r="AB20" s="143">
        <f t="shared" si="7"/>
        <v>-2407.33</v>
      </c>
      <c r="AC20" s="143">
        <f t="shared" si="8"/>
        <v>-2073.19</v>
      </c>
      <c r="AD20" s="143">
        <f t="shared" si="9"/>
        <v>-1748.85</v>
      </c>
      <c r="AE20" s="143">
        <f t="shared" si="10"/>
        <v>-1703.13</v>
      </c>
      <c r="AF20" s="143">
        <f t="shared" si="11"/>
        <v>-1956.4</v>
      </c>
      <c r="AG20" s="143">
        <f t="shared" si="12"/>
        <v>-2093.66</v>
      </c>
      <c r="AH20" s="148">
        <f t="shared" si="13"/>
        <v>-1325.08</v>
      </c>
      <c r="AI20" s="212">
        <f t="shared" si="14"/>
        <v>-27069.629999999997</v>
      </c>
      <c r="AK20" s="143">
        <f t="shared" si="15"/>
        <v>-28307.2217342201</v>
      </c>
    </row>
    <row r="21" spans="1:37" x14ac:dyDescent="0.25">
      <c r="A21" s="121">
        <f t="shared" si="0"/>
        <v>15</v>
      </c>
      <c r="B21" s="160" t="s">
        <v>96</v>
      </c>
      <c r="C21" s="160" t="s">
        <v>84</v>
      </c>
      <c r="D21" s="160" t="s">
        <v>96</v>
      </c>
      <c r="E21" s="160" t="s">
        <v>98</v>
      </c>
      <c r="F21" s="149">
        <v>-1.26E-2</v>
      </c>
      <c r="G21" s="127"/>
      <c r="H21" s="161">
        <v>89421.8</v>
      </c>
      <c r="I21" s="161">
        <v>275468.79999999999</v>
      </c>
      <c r="J21" s="161">
        <v>320156.7</v>
      </c>
      <c r="K21" s="161">
        <v>214725.1</v>
      </c>
      <c r="L21" s="161">
        <v>165007.79999999999</v>
      </c>
      <c r="M21" s="161">
        <v>130945.3</v>
      </c>
      <c r="N21" s="161">
        <v>79550</v>
      </c>
      <c r="O21" s="161">
        <v>40715.300000000003</v>
      </c>
      <c r="P21" s="161">
        <v>25553.3</v>
      </c>
      <c r="Q21" s="161">
        <v>24786.5</v>
      </c>
      <c r="R21" s="161">
        <v>45147.9</v>
      </c>
      <c r="S21" s="161">
        <v>61858.8</v>
      </c>
      <c r="T21" s="162">
        <v>39100.9</v>
      </c>
      <c r="U21" s="127"/>
      <c r="V21" s="142">
        <f t="shared" si="1"/>
        <v>-1126.71</v>
      </c>
      <c r="W21" s="142">
        <f t="shared" si="2"/>
        <v>-3470.91</v>
      </c>
      <c r="X21" s="142">
        <f t="shared" si="3"/>
        <v>-4033.97</v>
      </c>
      <c r="Y21" s="142">
        <f t="shared" si="4"/>
        <v>-2705.54</v>
      </c>
      <c r="Z21" s="142">
        <f t="shared" si="5"/>
        <v>-2079.1</v>
      </c>
      <c r="AA21" s="142">
        <f t="shared" si="6"/>
        <v>-1649.91</v>
      </c>
      <c r="AB21" s="142">
        <f t="shared" si="7"/>
        <v>-1002.33</v>
      </c>
      <c r="AC21" s="142">
        <f t="shared" si="8"/>
        <v>-513.01</v>
      </c>
      <c r="AD21" s="142">
        <f t="shared" si="9"/>
        <v>-321.97000000000003</v>
      </c>
      <c r="AE21" s="142">
        <f t="shared" si="10"/>
        <v>-312.31</v>
      </c>
      <c r="AF21" s="142">
        <f t="shared" si="11"/>
        <v>-568.86</v>
      </c>
      <c r="AG21" s="142">
        <f t="shared" si="12"/>
        <v>-779.42</v>
      </c>
      <c r="AH21" s="147">
        <f t="shared" si="13"/>
        <v>-492.67</v>
      </c>
      <c r="AI21" s="211">
        <f t="shared" si="14"/>
        <v>-19056.71</v>
      </c>
      <c r="AK21" s="142">
        <f t="shared" si="15"/>
        <v>-19927.960429999581</v>
      </c>
    </row>
    <row r="22" spans="1:37" x14ac:dyDescent="0.25">
      <c r="A22" s="121">
        <f t="shared" si="0"/>
        <v>16</v>
      </c>
      <c r="B22" s="159" t="s">
        <v>99</v>
      </c>
      <c r="C22" s="159" t="s">
        <v>84</v>
      </c>
      <c r="D22" s="159" t="s">
        <v>100</v>
      </c>
      <c r="E22" s="159" t="s">
        <v>97</v>
      </c>
      <c r="F22" s="150">
        <v>-1.354E-2</v>
      </c>
      <c r="G22" s="129"/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4">
        <v>0</v>
      </c>
      <c r="U22" s="129"/>
      <c r="V22" s="143">
        <f t="shared" si="1"/>
        <v>0</v>
      </c>
      <c r="W22" s="143">
        <f t="shared" si="2"/>
        <v>0</v>
      </c>
      <c r="X22" s="143">
        <f t="shared" si="3"/>
        <v>0</v>
      </c>
      <c r="Y22" s="143">
        <f t="shared" si="4"/>
        <v>0</v>
      </c>
      <c r="Z22" s="143">
        <f t="shared" si="5"/>
        <v>0</v>
      </c>
      <c r="AA22" s="143">
        <f t="shared" si="6"/>
        <v>0</v>
      </c>
      <c r="AB22" s="143">
        <f t="shared" si="7"/>
        <v>0</v>
      </c>
      <c r="AC22" s="143">
        <f t="shared" si="8"/>
        <v>0</v>
      </c>
      <c r="AD22" s="143">
        <f t="shared" si="9"/>
        <v>0</v>
      </c>
      <c r="AE22" s="143">
        <f t="shared" si="10"/>
        <v>0</v>
      </c>
      <c r="AF22" s="143">
        <f t="shared" si="11"/>
        <v>0</v>
      </c>
      <c r="AG22" s="143">
        <f t="shared" si="12"/>
        <v>0</v>
      </c>
      <c r="AH22" s="148">
        <f t="shared" si="13"/>
        <v>0</v>
      </c>
      <c r="AI22" s="212">
        <f t="shared" si="14"/>
        <v>0</v>
      </c>
      <c r="AK22" s="143">
        <f t="shared" si="15"/>
        <v>0</v>
      </c>
    </row>
    <row r="23" spans="1:37" x14ac:dyDescent="0.25">
      <c r="A23" s="121">
        <f t="shared" si="0"/>
        <v>17</v>
      </c>
      <c r="B23" s="160" t="s">
        <v>100</v>
      </c>
      <c r="C23" s="160" t="s">
        <v>84</v>
      </c>
      <c r="D23" s="160" t="s">
        <v>100</v>
      </c>
      <c r="E23" s="160" t="s">
        <v>98</v>
      </c>
      <c r="F23" s="149">
        <v>-1.192E-2</v>
      </c>
      <c r="G23" s="127"/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2">
        <v>0</v>
      </c>
      <c r="U23" s="127"/>
      <c r="V23" s="142">
        <f t="shared" si="1"/>
        <v>0</v>
      </c>
      <c r="W23" s="142">
        <f t="shared" si="2"/>
        <v>0</v>
      </c>
      <c r="X23" s="142">
        <f t="shared" si="3"/>
        <v>0</v>
      </c>
      <c r="Y23" s="142">
        <f t="shared" si="4"/>
        <v>0</v>
      </c>
      <c r="Z23" s="142">
        <f t="shared" si="5"/>
        <v>0</v>
      </c>
      <c r="AA23" s="142">
        <f t="shared" si="6"/>
        <v>0</v>
      </c>
      <c r="AB23" s="142">
        <f t="shared" si="7"/>
        <v>0</v>
      </c>
      <c r="AC23" s="142">
        <f t="shared" si="8"/>
        <v>0</v>
      </c>
      <c r="AD23" s="142">
        <f t="shared" si="9"/>
        <v>0</v>
      </c>
      <c r="AE23" s="142">
        <f t="shared" si="10"/>
        <v>0</v>
      </c>
      <c r="AF23" s="142">
        <f t="shared" si="11"/>
        <v>0</v>
      </c>
      <c r="AG23" s="142">
        <f t="shared" si="12"/>
        <v>0</v>
      </c>
      <c r="AH23" s="147">
        <f t="shared" si="13"/>
        <v>0</v>
      </c>
      <c r="AI23" s="211">
        <f t="shared" si="14"/>
        <v>0</v>
      </c>
      <c r="AK23" s="142">
        <f t="shared" si="15"/>
        <v>0</v>
      </c>
    </row>
    <row r="24" spans="1:37" x14ac:dyDescent="0.25">
      <c r="A24" s="121">
        <f t="shared" si="0"/>
        <v>18</v>
      </c>
      <c r="B24" s="159" t="s">
        <v>101</v>
      </c>
      <c r="C24" s="159" t="s">
        <v>84</v>
      </c>
      <c r="D24" s="159" t="s">
        <v>102</v>
      </c>
      <c r="E24" s="159" t="s">
        <v>97</v>
      </c>
      <c r="F24" s="150">
        <v>0</v>
      </c>
      <c r="G24" s="129"/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4">
        <v>0</v>
      </c>
      <c r="U24" s="129"/>
      <c r="V24" s="143">
        <f t="shared" si="1"/>
        <v>0</v>
      </c>
      <c r="W24" s="143">
        <f t="shared" si="2"/>
        <v>0</v>
      </c>
      <c r="X24" s="143">
        <f t="shared" si="3"/>
        <v>0</v>
      </c>
      <c r="Y24" s="143">
        <f t="shared" si="4"/>
        <v>0</v>
      </c>
      <c r="Z24" s="143">
        <f t="shared" si="5"/>
        <v>0</v>
      </c>
      <c r="AA24" s="143">
        <f t="shared" si="6"/>
        <v>0</v>
      </c>
      <c r="AB24" s="143">
        <f t="shared" si="7"/>
        <v>0</v>
      </c>
      <c r="AC24" s="143">
        <f t="shared" si="8"/>
        <v>0</v>
      </c>
      <c r="AD24" s="143">
        <f t="shared" si="9"/>
        <v>0</v>
      </c>
      <c r="AE24" s="143">
        <f t="shared" si="10"/>
        <v>0</v>
      </c>
      <c r="AF24" s="143">
        <f t="shared" si="11"/>
        <v>0</v>
      </c>
      <c r="AG24" s="143">
        <f t="shared" si="12"/>
        <v>0</v>
      </c>
      <c r="AH24" s="148">
        <f t="shared" si="13"/>
        <v>0</v>
      </c>
      <c r="AI24" s="212">
        <f t="shared" si="14"/>
        <v>0</v>
      </c>
      <c r="AK24" s="143">
        <f t="shared" si="15"/>
        <v>0</v>
      </c>
    </row>
    <row r="25" spans="1:37" x14ac:dyDescent="0.25">
      <c r="A25" s="121">
        <f t="shared" si="0"/>
        <v>19</v>
      </c>
      <c r="B25" s="160" t="s">
        <v>102</v>
      </c>
      <c r="C25" s="160" t="s">
        <v>84</v>
      </c>
      <c r="D25" s="160" t="s">
        <v>102</v>
      </c>
      <c r="E25" s="160" t="s">
        <v>98</v>
      </c>
      <c r="F25" s="149">
        <v>0</v>
      </c>
      <c r="G25" s="127"/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2">
        <v>0</v>
      </c>
      <c r="U25" s="127"/>
      <c r="V25" s="142">
        <f t="shared" si="1"/>
        <v>0</v>
      </c>
      <c r="W25" s="142">
        <f t="shared" si="2"/>
        <v>0</v>
      </c>
      <c r="X25" s="142">
        <f t="shared" si="3"/>
        <v>0</v>
      </c>
      <c r="Y25" s="142">
        <f t="shared" si="4"/>
        <v>0</v>
      </c>
      <c r="Z25" s="142">
        <f t="shared" si="5"/>
        <v>0</v>
      </c>
      <c r="AA25" s="142">
        <f t="shared" si="6"/>
        <v>0</v>
      </c>
      <c r="AB25" s="142">
        <f t="shared" si="7"/>
        <v>0</v>
      </c>
      <c r="AC25" s="142">
        <f t="shared" si="8"/>
        <v>0</v>
      </c>
      <c r="AD25" s="142">
        <f t="shared" si="9"/>
        <v>0</v>
      </c>
      <c r="AE25" s="142">
        <f t="shared" si="10"/>
        <v>0</v>
      </c>
      <c r="AF25" s="142">
        <f t="shared" si="11"/>
        <v>0</v>
      </c>
      <c r="AG25" s="142">
        <f t="shared" si="12"/>
        <v>0</v>
      </c>
      <c r="AH25" s="147">
        <f t="shared" si="13"/>
        <v>0</v>
      </c>
      <c r="AI25" s="211">
        <f t="shared" si="14"/>
        <v>0</v>
      </c>
      <c r="AK25" s="142">
        <f t="shared" si="15"/>
        <v>0</v>
      </c>
    </row>
    <row r="26" spans="1:37" x14ac:dyDescent="0.25">
      <c r="A26" s="121">
        <f t="shared" si="0"/>
        <v>20</v>
      </c>
      <c r="B26" s="159" t="s">
        <v>103</v>
      </c>
      <c r="C26" s="159" t="s">
        <v>84</v>
      </c>
      <c r="D26" s="159" t="s">
        <v>104</v>
      </c>
      <c r="E26" s="159" t="s">
        <v>97</v>
      </c>
      <c r="F26" s="150">
        <v>0</v>
      </c>
      <c r="G26" s="129"/>
      <c r="H26" s="165">
        <v>18000</v>
      </c>
      <c r="I26" s="165">
        <v>18000</v>
      </c>
      <c r="J26" s="163">
        <v>18000</v>
      </c>
      <c r="K26" s="163">
        <v>17950</v>
      </c>
      <c r="L26" s="163">
        <v>17689</v>
      </c>
      <c r="M26" s="163">
        <v>17402</v>
      </c>
      <c r="N26" s="163">
        <v>13807</v>
      </c>
      <c r="O26" s="163">
        <v>9314</v>
      </c>
      <c r="P26" s="163">
        <v>7719</v>
      </c>
      <c r="Q26" s="163">
        <v>8386</v>
      </c>
      <c r="R26" s="163">
        <v>11481</v>
      </c>
      <c r="S26" s="163">
        <v>13924</v>
      </c>
      <c r="T26" s="164">
        <v>0</v>
      </c>
      <c r="U26" s="129"/>
      <c r="V26" s="144">
        <f t="shared" si="1"/>
        <v>0</v>
      </c>
      <c r="W26" s="144">
        <f t="shared" si="2"/>
        <v>0</v>
      </c>
      <c r="X26" s="144">
        <f t="shared" si="3"/>
        <v>0</v>
      </c>
      <c r="Y26" s="144">
        <f t="shared" si="4"/>
        <v>0</v>
      </c>
      <c r="Z26" s="144">
        <f t="shared" si="5"/>
        <v>0</v>
      </c>
      <c r="AA26" s="144">
        <f t="shared" si="6"/>
        <v>0</v>
      </c>
      <c r="AB26" s="144">
        <f t="shared" si="7"/>
        <v>0</v>
      </c>
      <c r="AC26" s="144">
        <f t="shared" si="8"/>
        <v>0</v>
      </c>
      <c r="AD26" s="144">
        <f t="shared" si="9"/>
        <v>0</v>
      </c>
      <c r="AE26" s="144">
        <f t="shared" si="10"/>
        <v>0</v>
      </c>
      <c r="AF26" s="144">
        <f t="shared" si="11"/>
        <v>0</v>
      </c>
      <c r="AG26" s="144">
        <f t="shared" si="12"/>
        <v>0</v>
      </c>
      <c r="AH26" s="151">
        <f t="shared" si="13"/>
        <v>0</v>
      </c>
      <c r="AI26" s="213">
        <f t="shared" si="14"/>
        <v>0</v>
      </c>
      <c r="AK26" s="144">
        <f t="shared" si="15"/>
        <v>0</v>
      </c>
    </row>
    <row r="27" spans="1:37" x14ac:dyDescent="0.25">
      <c r="A27" s="121">
        <f t="shared" si="0"/>
        <v>21</v>
      </c>
      <c r="B27" s="160" t="s">
        <v>104</v>
      </c>
      <c r="C27" s="160" t="s">
        <v>84</v>
      </c>
      <c r="D27" s="160" t="s">
        <v>104</v>
      </c>
      <c r="E27" s="160" t="s">
        <v>98</v>
      </c>
      <c r="F27" s="149">
        <v>0</v>
      </c>
      <c r="G27" s="127"/>
      <c r="H27" s="161">
        <v>37590</v>
      </c>
      <c r="I27" s="161">
        <v>42995</v>
      </c>
      <c r="J27" s="161">
        <v>41906</v>
      </c>
      <c r="K27" s="161">
        <v>20910</v>
      </c>
      <c r="L27" s="161">
        <v>15231</v>
      </c>
      <c r="M27" s="161">
        <v>11151</v>
      </c>
      <c r="N27" s="161">
        <v>3403</v>
      </c>
      <c r="O27" s="161">
        <v>1696</v>
      </c>
      <c r="P27" s="161">
        <v>1316</v>
      </c>
      <c r="Q27" s="161">
        <v>1373</v>
      </c>
      <c r="R27" s="161">
        <v>2242</v>
      </c>
      <c r="S27" s="161">
        <v>4172</v>
      </c>
      <c r="T27" s="162">
        <v>0</v>
      </c>
      <c r="U27" s="127"/>
      <c r="V27" s="142">
        <f t="shared" si="1"/>
        <v>0</v>
      </c>
      <c r="W27" s="142">
        <f t="shared" si="2"/>
        <v>0</v>
      </c>
      <c r="X27" s="142">
        <f t="shared" si="3"/>
        <v>0</v>
      </c>
      <c r="Y27" s="142">
        <f t="shared" si="4"/>
        <v>0</v>
      </c>
      <c r="Z27" s="142">
        <f t="shared" si="5"/>
        <v>0</v>
      </c>
      <c r="AA27" s="142">
        <f t="shared" si="6"/>
        <v>0</v>
      </c>
      <c r="AB27" s="142">
        <f t="shared" si="7"/>
        <v>0</v>
      </c>
      <c r="AC27" s="142">
        <f t="shared" si="8"/>
        <v>0</v>
      </c>
      <c r="AD27" s="142">
        <f t="shared" si="9"/>
        <v>0</v>
      </c>
      <c r="AE27" s="142">
        <f t="shared" si="10"/>
        <v>0</v>
      </c>
      <c r="AF27" s="142">
        <f t="shared" si="11"/>
        <v>0</v>
      </c>
      <c r="AG27" s="142">
        <f t="shared" si="12"/>
        <v>0</v>
      </c>
      <c r="AH27" s="147">
        <f t="shared" si="13"/>
        <v>0</v>
      </c>
      <c r="AI27" s="211">
        <f t="shared" si="14"/>
        <v>0</v>
      </c>
      <c r="AK27" s="142">
        <f t="shared" si="15"/>
        <v>0</v>
      </c>
    </row>
    <row r="28" spans="1:37" x14ac:dyDescent="0.25">
      <c r="A28" s="121">
        <f t="shared" si="0"/>
        <v>22</v>
      </c>
      <c r="B28" s="159" t="s">
        <v>105</v>
      </c>
      <c r="C28" s="159" t="s">
        <v>84</v>
      </c>
      <c r="D28" s="159" t="s">
        <v>106</v>
      </c>
      <c r="E28" s="159" t="s">
        <v>97</v>
      </c>
      <c r="F28" s="150">
        <v>0</v>
      </c>
      <c r="G28" s="129"/>
      <c r="H28" s="163">
        <v>0</v>
      </c>
      <c r="I28" s="163">
        <v>18000</v>
      </c>
      <c r="J28" s="163">
        <v>18000</v>
      </c>
      <c r="K28" s="163">
        <v>17276.099999999999</v>
      </c>
      <c r="L28" s="163">
        <v>18000</v>
      </c>
      <c r="M28" s="163">
        <v>17033.3</v>
      </c>
      <c r="N28" s="163">
        <v>16697.8</v>
      </c>
      <c r="O28" s="163">
        <v>17564.7</v>
      </c>
      <c r="P28" s="163">
        <v>15648.1</v>
      </c>
      <c r="Q28" s="163">
        <v>15579</v>
      </c>
      <c r="R28" s="163">
        <v>16181.3</v>
      </c>
      <c r="S28" s="163">
        <v>16787.8</v>
      </c>
      <c r="T28" s="164">
        <v>14673.6</v>
      </c>
      <c r="U28" s="129"/>
      <c r="V28" s="143">
        <f t="shared" si="1"/>
        <v>0</v>
      </c>
      <c r="W28" s="143">
        <f t="shared" si="2"/>
        <v>0</v>
      </c>
      <c r="X28" s="143">
        <f t="shared" si="3"/>
        <v>0</v>
      </c>
      <c r="Y28" s="143">
        <f t="shared" si="4"/>
        <v>0</v>
      </c>
      <c r="Z28" s="143">
        <f t="shared" si="5"/>
        <v>0</v>
      </c>
      <c r="AA28" s="143">
        <f t="shared" si="6"/>
        <v>0</v>
      </c>
      <c r="AB28" s="143">
        <f t="shared" si="7"/>
        <v>0</v>
      </c>
      <c r="AC28" s="143">
        <f t="shared" si="8"/>
        <v>0</v>
      </c>
      <c r="AD28" s="143">
        <f t="shared" si="9"/>
        <v>0</v>
      </c>
      <c r="AE28" s="143">
        <f t="shared" si="10"/>
        <v>0</v>
      </c>
      <c r="AF28" s="143">
        <f t="shared" si="11"/>
        <v>0</v>
      </c>
      <c r="AG28" s="143">
        <f t="shared" si="12"/>
        <v>0</v>
      </c>
      <c r="AH28" s="148">
        <f t="shared" si="13"/>
        <v>0</v>
      </c>
      <c r="AI28" s="212">
        <f t="shared" si="14"/>
        <v>0</v>
      </c>
      <c r="AK28" s="143">
        <f t="shared" si="15"/>
        <v>0</v>
      </c>
    </row>
    <row r="29" spans="1:37" x14ac:dyDescent="0.25">
      <c r="A29" s="121">
        <f t="shared" si="0"/>
        <v>23</v>
      </c>
      <c r="B29" s="160" t="s">
        <v>106</v>
      </c>
      <c r="C29" s="160" t="s">
        <v>84</v>
      </c>
      <c r="D29" s="160" t="s">
        <v>106</v>
      </c>
      <c r="E29" s="160" t="s">
        <v>98</v>
      </c>
      <c r="F29" s="149">
        <v>0</v>
      </c>
      <c r="G29" s="127"/>
      <c r="H29" s="161">
        <v>0</v>
      </c>
      <c r="I29" s="161">
        <v>30385.1</v>
      </c>
      <c r="J29" s="161">
        <v>32251</v>
      </c>
      <c r="K29" s="161">
        <v>26651.3</v>
      </c>
      <c r="L29" s="161">
        <v>14990.8</v>
      </c>
      <c r="M29" s="161">
        <v>11951.4</v>
      </c>
      <c r="N29" s="161">
        <v>9106.5</v>
      </c>
      <c r="O29" s="161">
        <v>9819.9</v>
      </c>
      <c r="P29" s="161">
        <v>12424.1</v>
      </c>
      <c r="Q29" s="161">
        <v>9886.6</v>
      </c>
      <c r="R29" s="161">
        <v>10983.7</v>
      </c>
      <c r="S29" s="161">
        <v>12379</v>
      </c>
      <c r="T29" s="162">
        <v>9977.7999999999993</v>
      </c>
      <c r="U29" s="127"/>
      <c r="V29" s="142">
        <f t="shared" si="1"/>
        <v>0</v>
      </c>
      <c r="W29" s="142">
        <f t="shared" si="2"/>
        <v>0</v>
      </c>
      <c r="X29" s="142">
        <f t="shared" si="3"/>
        <v>0</v>
      </c>
      <c r="Y29" s="142">
        <f t="shared" si="4"/>
        <v>0</v>
      </c>
      <c r="Z29" s="142">
        <f t="shared" si="5"/>
        <v>0</v>
      </c>
      <c r="AA29" s="142">
        <f t="shared" si="6"/>
        <v>0</v>
      </c>
      <c r="AB29" s="142">
        <f t="shared" si="7"/>
        <v>0</v>
      </c>
      <c r="AC29" s="142">
        <f t="shared" si="8"/>
        <v>0</v>
      </c>
      <c r="AD29" s="142">
        <f t="shared" si="9"/>
        <v>0</v>
      </c>
      <c r="AE29" s="142">
        <f t="shared" si="10"/>
        <v>0</v>
      </c>
      <c r="AF29" s="142">
        <f t="shared" si="11"/>
        <v>0</v>
      </c>
      <c r="AG29" s="142">
        <f t="shared" si="12"/>
        <v>0</v>
      </c>
      <c r="AH29" s="147">
        <f t="shared" si="13"/>
        <v>0</v>
      </c>
      <c r="AI29" s="211">
        <f t="shared" si="14"/>
        <v>0</v>
      </c>
      <c r="AK29" s="142">
        <f t="shared" si="15"/>
        <v>0</v>
      </c>
    </row>
    <row r="30" spans="1:37" x14ac:dyDescent="0.25">
      <c r="A30" s="121">
        <f t="shared" si="0"/>
        <v>24</v>
      </c>
      <c r="B30" s="159" t="s">
        <v>107</v>
      </c>
      <c r="C30" s="159" t="s">
        <v>84</v>
      </c>
      <c r="D30" s="159" t="s">
        <v>108</v>
      </c>
      <c r="E30" s="159" t="s">
        <v>97</v>
      </c>
      <c r="F30" s="150">
        <v>0</v>
      </c>
      <c r="G30" s="129"/>
      <c r="H30" s="163">
        <v>4932.3999999999996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4">
        <v>0</v>
      </c>
      <c r="U30" s="129"/>
      <c r="V30" s="143">
        <f t="shared" si="1"/>
        <v>0</v>
      </c>
      <c r="W30" s="143">
        <f t="shared" si="2"/>
        <v>0</v>
      </c>
      <c r="X30" s="143">
        <f t="shared" si="3"/>
        <v>0</v>
      </c>
      <c r="Y30" s="143">
        <f t="shared" si="4"/>
        <v>0</v>
      </c>
      <c r="Z30" s="143">
        <f t="shared" si="5"/>
        <v>0</v>
      </c>
      <c r="AA30" s="143">
        <f t="shared" si="6"/>
        <v>0</v>
      </c>
      <c r="AB30" s="143">
        <f t="shared" si="7"/>
        <v>0</v>
      </c>
      <c r="AC30" s="143">
        <f t="shared" si="8"/>
        <v>0</v>
      </c>
      <c r="AD30" s="143">
        <f t="shared" si="9"/>
        <v>0</v>
      </c>
      <c r="AE30" s="143">
        <f t="shared" si="10"/>
        <v>0</v>
      </c>
      <c r="AF30" s="143">
        <f t="shared" si="11"/>
        <v>0</v>
      </c>
      <c r="AG30" s="143">
        <f t="shared" si="12"/>
        <v>0</v>
      </c>
      <c r="AH30" s="148">
        <f t="shared" si="13"/>
        <v>0</v>
      </c>
      <c r="AI30" s="212">
        <f t="shared" si="14"/>
        <v>0</v>
      </c>
      <c r="AK30" s="143">
        <f t="shared" si="15"/>
        <v>0</v>
      </c>
    </row>
    <row r="31" spans="1:37" x14ac:dyDescent="0.25">
      <c r="A31" s="121">
        <f t="shared" si="0"/>
        <v>25</v>
      </c>
      <c r="B31" s="160" t="s">
        <v>108</v>
      </c>
      <c r="C31" s="160" t="s">
        <v>84</v>
      </c>
      <c r="D31" s="160" t="s">
        <v>108</v>
      </c>
      <c r="E31" s="160" t="s">
        <v>98</v>
      </c>
      <c r="F31" s="149">
        <v>0</v>
      </c>
      <c r="G31" s="127"/>
      <c r="H31" s="161">
        <v>5125.6000000000004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2">
        <v>0</v>
      </c>
      <c r="U31" s="127"/>
      <c r="V31" s="142">
        <f t="shared" si="1"/>
        <v>0</v>
      </c>
      <c r="W31" s="142">
        <f t="shared" si="2"/>
        <v>0</v>
      </c>
      <c r="X31" s="142">
        <f t="shared" si="3"/>
        <v>0</v>
      </c>
      <c r="Y31" s="142">
        <f t="shared" si="4"/>
        <v>0</v>
      </c>
      <c r="Z31" s="142">
        <f t="shared" si="5"/>
        <v>0</v>
      </c>
      <c r="AA31" s="142">
        <f t="shared" si="6"/>
        <v>0</v>
      </c>
      <c r="AB31" s="142">
        <f t="shared" si="7"/>
        <v>0</v>
      </c>
      <c r="AC31" s="142">
        <f t="shared" si="8"/>
        <v>0</v>
      </c>
      <c r="AD31" s="142">
        <f t="shared" si="9"/>
        <v>0</v>
      </c>
      <c r="AE31" s="142">
        <f t="shared" si="10"/>
        <v>0</v>
      </c>
      <c r="AF31" s="142">
        <f t="shared" si="11"/>
        <v>0</v>
      </c>
      <c r="AG31" s="142">
        <f t="shared" si="12"/>
        <v>0</v>
      </c>
      <c r="AH31" s="147">
        <f t="shared" si="13"/>
        <v>0</v>
      </c>
      <c r="AI31" s="211">
        <f t="shared" si="14"/>
        <v>0</v>
      </c>
      <c r="AK31" s="142">
        <f t="shared" si="15"/>
        <v>0</v>
      </c>
    </row>
    <row r="32" spans="1:37" x14ac:dyDescent="0.25">
      <c r="A32" s="121">
        <f t="shared" si="0"/>
        <v>26</v>
      </c>
      <c r="B32" s="159" t="s">
        <v>109</v>
      </c>
      <c r="C32" s="159" t="s">
        <v>84</v>
      </c>
      <c r="D32" s="159" t="s">
        <v>110</v>
      </c>
      <c r="E32" s="159" t="s">
        <v>97</v>
      </c>
      <c r="F32" s="150">
        <v>-9.6299999999999997E-3</v>
      </c>
      <c r="G32" s="129"/>
      <c r="H32" s="163">
        <v>49543</v>
      </c>
      <c r="I32" s="163">
        <v>50225</v>
      </c>
      <c r="J32" s="163">
        <v>51720</v>
      </c>
      <c r="K32" s="163">
        <v>43010</v>
      </c>
      <c r="L32" s="163">
        <v>44099</v>
      </c>
      <c r="M32" s="163">
        <v>58324</v>
      </c>
      <c r="N32" s="163">
        <v>32477</v>
      </c>
      <c r="O32" s="163">
        <v>23553</v>
      </c>
      <c r="P32" s="163">
        <v>21370</v>
      </c>
      <c r="Q32" s="163">
        <v>23361</v>
      </c>
      <c r="R32" s="163">
        <v>30253</v>
      </c>
      <c r="S32" s="163">
        <v>37678</v>
      </c>
      <c r="T32" s="164">
        <v>0</v>
      </c>
      <c r="U32" s="129"/>
      <c r="V32" s="143">
        <f t="shared" si="1"/>
        <v>-477.1</v>
      </c>
      <c r="W32" s="143">
        <f t="shared" si="2"/>
        <v>-483.67</v>
      </c>
      <c r="X32" s="143">
        <f t="shared" si="3"/>
        <v>-498.06</v>
      </c>
      <c r="Y32" s="143">
        <f t="shared" si="4"/>
        <v>-414.19</v>
      </c>
      <c r="Z32" s="143">
        <f t="shared" si="5"/>
        <v>-424.67</v>
      </c>
      <c r="AA32" s="143">
        <f t="shared" si="6"/>
        <v>-561.66</v>
      </c>
      <c r="AB32" s="143">
        <f t="shared" si="7"/>
        <v>-312.75</v>
      </c>
      <c r="AC32" s="143">
        <f t="shared" si="8"/>
        <v>-226.82</v>
      </c>
      <c r="AD32" s="143">
        <f t="shared" si="9"/>
        <v>-205.79</v>
      </c>
      <c r="AE32" s="143">
        <f t="shared" si="10"/>
        <v>-224.97</v>
      </c>
      <c r="AF32" s="143">
        <f t="shared" si="11"/>
        <v>-291.33999999999997</v>
      </c>
      <c r="AG32" s="143">
        <f t="shared" si="12"/>
        <v>-362.84</v>
      </c>
      <c r="AH32" s="148">
        <f t="shared" si="13"/>
        <v>0</v>
      </c>
      <c r="AI32" s="212">
        <f t="shared" si="14"/>
        <v>-4483.8599999999997</v>
      </c>
      <c r="AK32" s="143">
        <f t="shared" si="15"/>
        <v>-4688.85682017819</v>
      </c>
    </row>
    <row r="33" spans="1:37" x14ac:dyDescent="0.25">
      <c r="A33" s="121">
        <f t="shared" si="0"/>
        <v>27</v>
      </c>
      <c r="B33" s="159" t="s">
        <v>110</v>
      </c>
      <c r="C33" s="159" t="s">
        <v>84</v>
      </c>
      <c r="D33" s="159" t="s">
        <v>110</v>
      </c>
      <c r="E33" s="159" t="s">
        <v>98</v>
      </c>
      <c r="F33" s="150">
        <v>-8.6199999999999992E-3</v>
      </c>
      <c r="G33" s="129"/>
      <c r="H33" s="163">
        <v>26705</v>
      </c>
      <c r="I33" s="163">
        <v>37321</v>
      </c>
      <c r="J33" s="163">
        <v>34698</v>
      </c>
      <c r="K33" s="163">
        <v>15827</v>
      </c>
      <c r="L33" s="163">
        <v>33838</v>
      </c>
      <c r="M33" s="163">
        <v>5807</v>
      </c>
      <c r="N33" s="163">
        <v>2566</v>
      </c>
      <c r="O33" s="163">
        <v>1041</v>
      </c>
      <c r="P33" s="163">
        <v>724</v>
      </c>
      <c r="Q33" s="163">
        <v>1700</v>
      </c>
      <c r="R33" s="163">
        <v>1388</v>
      </c>
      <c r="S33" s="163">
        <v>3094</v>
      </c>
      <c r="T33" s="164">
        <v>0</v>
      </c>
      <c r="U33" s="129"/>
      <c r="V33" s="143">
        <f t="shared" si="1"/>
        <v>-230.2</v>
      </c>
      <c r="W33" s="143">
        <f t="shared" si="2"/>
        <v>-321.70999999999998</v>
      </c>
      <c r="X33" s="143">
        <f t="shared" si="3"/>
        <v>-299.10000000000002</v>
      </c>
      <c r="Y33" s="143">
        <f t="shared" si="4"/>
        <v>-136.43</v>
      </c>
      <c r="Z33" s="143">
        <f t="shared" si="5"/>
        <v>-291.68</v>
      </c>
      <c r="AA33" s="143">
        <f t="shared" si="6"/>
        <v>-50.06</v>
      </c>
      <c r="AB33" s="143">
        <f t="shared" si="7"/>
        <v>-22.12</v>
      </c>
      <c r="AC33" s="143">
        <f t="shared" si="8"/>
        <v>-8.9700000000000006</v>
      </c>
      <c r="AD33" s="143">
        <f t="shared" si="9"/>
        <v>-6.24</v>
      </c>
      <c r="AE33" s="143">
        <f t="shared" si="10"/>
        <v>-14.65</v>
      </c>
      <c r="AF33" s="143">
        <f t="shared" si="11"/>
        <v>-11.96</v>
      </c>
      <c r="AG33" s="143">
        <f t="shared" si="12"/>
        <v>-26.67</v>
      </c>
      <c r="AH33" s="148">
        <f t="shared" si="13"/>
        <v>0</v>
      </c>
      <c r="AI33" s="212">
        <f t="shared" si="14"/>
        <v>-1419.7900000000002</v>
      </c>
      <c r="AK33" s="143">
        <f t="shared" si="15"/>
        <v>-1484.7011335592088</v>
      </c>
    </row>
    <row r="34" spans="1:37" x14ac:dyDescent="0.25">
      <c r="A34" s="121">
        <f t="shared" si="0"/>
        <v>28</v>
      </c>
      <c r="B34" s="159"/>
      <c r="C34" s="159" t="s">
        <v>84</v>
      </c>
      <c r="D34" s="159" t="s">
        <v>110</v>
      </c>
      <c r="E34" s="159" t="s">
        <v>111</v>
      </c>
      <c r="F34" s="150">
        <v>-6.6100000000000004E-3</v>
      </c>
      <c r="G34" s="129"/>
      <c r="H34" s="163">
        <v>0</v>
      </c>
      <c r="I34" s="163">
        <v>147</v>
      </c>
      <c r="J34" s="163">
        <v>1045</v>
      </c>
      <c r="K34" s="163">
        <v>0</v>
      </c>
      <c r="L34" s="163">
        <v>4075</v>
      </c>
      <c r="M34" s="163">
        <v>-4075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163">
        <v>0</v>
      </c>
      <c r="T34" s="164">
        <v>0</v>
      </c>
      <c r="U34" s="129"/>
      <c r="V34" s="143">
        <f t="shared" si="1"/>
        <v>0</v>
      </c>
      <c r="W34" s="143">
        <f t="shared" si="2"/>
        <v>-0.97</v>
      </c>
      <c r="X34" s="143">
        <f t="shared" si="3"/>
        <v>-6.91</v>
      </c>
      <c r="Y34" s="143">
        <f t="shared" si="4"/>
        <v>0</v>
      </c>
      <c r="Z34" s="143">
        <f t="shared" si="5"/>
        <v>-26.94</v>
      </c>
      <c r="AA34" s="143">
        <f t="shared" si="6"/>
        <v>26.94</v>
      </c>
      <c r="AB34" s="143">
        <f t="shared" si="7"/>
        <v>0</v>
      </c>
      <c r="AC34" s="143">
        <f t="shared" si="8"/>
        <v>0</v>
      </c>
      <c r="AD34" s="143">
        <f t="shared" si="9"/>
        <v>0</v>
      </c>
      <c r="AE34" s="143">
        <f t="shared" si="10"/>
        <v>0</v>
      </c>
      <c r="AF34" s="143">
        <f t="shared" si="11"/>
        <v>0</v>
      </c>
      <c r="AG34" s="143">
        <f t="shared" si="12"/>
        <v>0</v>
      </c>
      <c r="AH34" s="148">
        <f t="shared" si="13"/>
        <v>0</v>
      </c>
      <c r="AI34" s="212">
        <f t="shared" si="14"/>
        <v>-7.879999999999999</v>
      </c>
      <c r="AK34" s="143">
        <f t="shared" si="15"/>
        <v>-8.2402643577194947</v>
      </c>
    </row>
    <row r="35" spans="1:37" x14ac:dyDescent="0.25">
      <c r="A35" s="121">
        <f t="shared" si="0"/>
        <v>29</v>
      </c>
      <c r="B35" s="159"/>
      <c r="C35" s="159" t="s">
        <v>84</v>
      </c>
      <c r="D35" s="159" t="s">
        <v>110</v>
      </c>
      <c r="E35" s="159" t="s">
        <v>112</v>
      </c>
      <c r="F35" s="150">
        <v>-5.2900000000000004E-3</v>
      </c>
      <c r="G35" s="129"/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4">
        <v>0</v>
      </c>
      <c r="U35" s="129"/>
      <c r="V35" s="143">
        <f t="shared" si="1"/>
        <v>0</v>
      </c>
      <c r="W35" s="143">
        <f t="shared" si="2"/>
        <v>0</v>
      </c>
      <c r="X35" s="143">
        <f t="shared" si="3"/>
        <v>0</v>
      </c>
      <c r="Y35" s="143">
        <f t="shared" si="4"/>
        <v>0</v>
      </c>
      <c r="Z35" s="143">
        <f t="shared" si="5"/>
        <v>0</v>
      </c>
      <c r="AA35" s="143">
        <f t="shared" si="6"/>
        <v>0</v>
      </c>
      <c r="AB35" s="143">
        <f t="shared" si="7"/>
        <v>0</v>
      </c>
      <c r="AC35" s="143">
        <f t="shared" si="8"/>
        <v>0</v>
      </c>
      <c r="AD35" s="143">
        <f t="shared" si="9"/>
        <v>0</v>
      </c>
      <c r="AE35" s="143">
        <f t="shared" si="10"/>
        <v>0</v>
      </c>
      <c r="AF35" s="143">
        <f t="shared" si="11"/>
        <v>0</v>
      </c>
      <c r="AG35" s="143">
        <f t="shared" si="12"/>
        <v>0</v>
      </c>
      <c r="AH35" s="148">
        <f t="shared" si="13"/>
        <v>0</v>
      </c>
      <c r="AI35" s="212">
        <f t="shared" si="14"/>
        <v>0</v>
      </c>
      <c r="AK35" s="143">
        <f t="shared" si="15"/>
        <v>0</v>
      </c>
    </row>
    <row r="36" spans="1:37" x14ac:dyDescent="0.25">
      <c r="A36" s="121">
        <f t="shared" si="0"/>
        <v>30</v>
      </c>
      <c r="B36" s="159"/>
      <c r="C36" s="159" t="s">
        <v>84</v>
      </c>
      <c r="D36" s="159" t="s">
        <v>110</v>
      </c>
      <c r="E36" s="159" t="s">
        <v>113</v>
      </c>
      <c r="F36" s="150">
        <v>-3.5300000000000002E-3</v>
      </c>
      <c r="G36" s="129"/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4">
        <v>0</v>
      </c>
      <c r="U36" s="129"/>
      <c r="V36" s="143">
        <f t="shared" si="1"/>
        <v>0</v>
      </c>
      <c r="W36" s="143">
        <f t="shared" si="2"/>
        <v>0</v>
      </c>
      <c r="X36" s="143">
        <f t="shared" si="3"/>
        <v>0</v>
      </c>
      <c r="Y36" s="143">
        <f t="shared" si="4"/>
        <v>0</v>
      </c>
      <c r="Z36" s="143">
        <f t="shared" si="5"/>
        <v>0</v>
      </c>
      <c r="AA36" s="143">
        <f t="shared" si="6"/>
        <v>0</v>
      </c>
      <c r="AB36" s="143">
        <f t="shared" si="7"/>
        <v>0</v>
      </c>
      <c r="AC36" s="143">
        <f t="shared" si="8"/>
        <v>0</v>
      </c>
      <c r="AD36" s="143">
        <f t="shared" si="9"/>
        <v>0</v>
      </c>
      <c r="AE36" s="143">
        <f t="shared" si="10"/>
        <v>0</v>
      </c>
      <c r="AF36" s="143">
        <f t="shared" si="11"/>
        <v>0</v>
      </c>
      <c r="AG36" s="143">
        <f t="shared" si="12"/>
        <v>0</v>
      </c>
      <c r="AH36" s="148">
        <f t="shared" si="13"/>
        <v>0</v>
      </c>
      <c r="AI36" s="212">
        <f t="shared" si="14"/>
        <v>0</v>
      </c>
      <c r="AK36" s="143">
        <f t="shared" si="15"/>
        <v>0</v>
      </c>
    </row>
    <row r="37" spans="1:37" x14ac:dyDescent="0.25">
      <c r="A37" s="121">
        <f t="shared" si="0"/>
        <v>31</v>
      </c>
      <c r="B37" s="160"/>
      <c r="C37" s="160" t="s">
        <v>84</v>
      </c>
      <c r="D37" s="160" t="s">
        <v>110</v>
      </c>
      <c r="E37" s="160" t="s">
        <v>114</v>
      </c>
      <c r="F37" s="149">
        <v>-1.32E-3</v>
      </c>
      <c r="G37" s="127"/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2">
        <v>0</v>
      </c>
      <c r="U37" s="127"/>
      <c r="V37" s="142">
        <f t="shared" si="1"/>
        <v>0</v>
      </c>
      <c r="W37" s="142">
        <f t="shared" si="2"/>
        <v>0</v>
      </c>
      <c r="X37" s="142">
        <f t="shared" si="3"/>
        <v>0</v>
      </c>
      <c r="Y37" s="142">
        <f t="shared" si="4"/>
        <v>0</v>
      </c>
      <c r="Z37" s="142">
        <f t="shared" si="5"/>
        <v>0</v>
      </c>
      <c r="AA37" s="142">
        <f t="shared" si="6"/>
        <v>0</v>
      </c>
      <c r="AB37" s="142">
        <f t="shared" si="7"/>
        <v>0</v>
      </c>
      <c r="AC37" s="142">
        <f t="shared" si="8"/>
        <v>0</v>
      </c>
      <c r="AD37" s="142">
        <f t="shared" si="9"/>
        <v>0</v>
      </c>
      <c r="AE37" s="142">
        <f t="shared" si="10"/>
        <v>0</v>
      </c>
      <c r="AF37" s="142">
        <f t="shared" si="11"/>
        <v>0</v>
      </c>
      <c r="AG37" s="142">
        <f t="shared" si="12"/>
        <v>0</v>
      </c>
      <c r="AH37" s="147">
        <f t="shared" si="13"/>
        <v>0</v>
      </c>
      <c r="AI37" s="211">
        <f t="shared" si="14"/>
        <v>0</v>
      </c>
      <c r="AK37" s="142">
        <f t="shared" si="15"/>
        <v>0</v>
      </c>
    </row>
    <row r="38" spans="1:37" ht="12" customHeight="1" x14ac:dyDescent="0.25">
      <c r="A38" s="121">
        <f t="shared" si="0"/>
        <v>32</v>
      </c>
      <c r="B38" s="159" t="s">
        <v>115</v>
      </c>
      <c r="C38" s="159" t="s">
        <v>84</v>
      </c>
      <c r="D38" s="159" t="s">
        <v>116</v>
      </c>
      <c r="E38" s="159" t="s">
        <v>97</v>
      </c>
      <c r="F38" s="150">
        <v>0</v>
      </c>
      <c r="G38" s="129"/>
      <c r="H38" s="163">
        <v>102314</v>
      </c>
      <c r="I38" s="163">
        <v>113184</v>
      </c>
      <c r="J38" s="163">
        <v>112983</v>
      </c>
      <c r="K38" s="163">
        <v>105876</v>
      </c>
      <c r="L38" s="163">
        <v>101372</v>
      </c>
      <c r="M38" s="163">
        <v>93533</v>
      </c>
      <c r="N38" s="163">
        <v>74514</v>
      </c>
      <c r="O38" s="163">
        <v>71912</v>
      </c>
      <c r="P38" s="163">
        <v>63020</v>
      </c>
      <c r="Q38" s="163">
        <v>66952</v>
      </c>
      <c r="R38" s="163">
        <v>71285</v>
      </c>
      <c r="S38" s="163">
        <v>75052</v>
      </c>
      <c r="T38" s="164">
        <v>5517.2</v>
      </c>
      <c r="U38" s="129"/>
      <c r="V38" s="143">
        <f t="shared" si="1"/>
        <v>0</v>
      </c>
      <c r="W38" s="143">
        <f t="shared" si="2"/>
        <v>0</v>
      </c>
      <c r="X38" s="143">
        <f t="shared" si="3"/>
        <v>0</v>
      </c>
      <c r="Y38" s="143">
        <f t="shared" si="4"/>
        <v>0</v>
      </c>
      <c r="Z38" s="143">
        <f t="shared" si="5"/>
        <v>0</v>
      </c>
      <c r="AA38" s="143">
        <f t="shared" si="6"/>
        <v>0</v>
      </c>
      <c r="AB38" s="143">
        <f t="shared" si="7"/>
        <v>0</v>
      </c>
      <c r="AC38" s="143">
        <f t="shared" si="8"/>
        <v>0</v>
      </c>
      <c r="AD38" s="143">
        <f t="shared" si="9"/>
        <v>0</v>
      </c>
      <c r="AE38" s="143">
        <f t="shared" si="10"/>
        <v>0</v>
      </c>
      <c r="AF38" s="143">
        <f t="shared" si="11"/>
        <v>0</v>
      </c>
      <c r="AG38" s="143">
        <f t="shared" si="12"/>
        <v>0</v>
      </c>
      <c r="AH38" s="148">
        <f t="shared" si="13"/>
        <v>0</v>
      </c>
      <c r="AI38" s="212">
        <f t="shared" si="14"/>
        <v>0</v>
      </c>
      <c r="AK38" s="143">
        <f t="shared" si="15"/>
        <v>0</v>
      </c>
    </row>
    <row r="39" spans="1:37" x14ac:dyDescent="0.25">
      <c r="A39" s="121">
        <f t="shared" si="0"/>
        <v>33</v>
      </c>
      <c r="B39" s="159" t="s">
        <v>116</v>
      </c>
      <c r="C39" s="159" t="s">
        <v>84</v>
      </c>
      <c r="D39" s="159" t="s">
        <v>116</v>
      </c>
      <c r="E39" s="159" t="s">
        <v>98</v>
      </c>
      <c r="F39" s="150">
        <v>0</v>
      </c>
      <c r="G39" s="129"/>
      <c r="H39" s="163">
        <v>69119</v>
      </c>
      <c r="I39" s="163">
        <v>101846.2</v>
      </c>
      <c r="J39" s="163">
        <v>96254.399999999994</v>
      </c>
      <c r="K39" s="163">
        <v>64097.1</v>
      </c>
      <c r="L39" s="163">
        <v>56930.8</v>
      </c>
      <c r="M39" s="163">
        <v>52767.199999999997</v>
      </c>
      <c r="N39" s="163">
        <v>41137.5</v>
      </c>
      <c r="O39" s="163">
        <v>40647.699999999997</v>
      </c>
      <c r="P39" s="163">
        <v>35955.199999999997</v>
      </c>
      <c r="Q39" s="163">
        <v>38630.400000000001</v>
      </c>
      <c r="R39" s="163">
        <v>40356.199999999997</v>
      </c>
      <c r="S39" s="163">
        <v>38437.4</v>
      </c>
      <c r="T39" s="164">
        <v>1388</v>
      </c>
      <c r="U39" s="129"/>
      <c r="V39" s="143">
        <f t="shared" si="1"/>
        <v>0</v>
      </c>
      <c r="W39" s="143">
        <f t="shared" si="2"/>
        <v>0</v>
      </c>
      <c r="X39" s="143">
        <f t="shared" si="3"/>
        <v>0</v>
      </c>
      <c r="Y39" s="143">
        <f t="shared" si="4"/>
        <v>0</v>
      </c>
      <c r="Z39" s="143">
        <f t="shared" si="5"/>
        <v>0</v>
      </c>
      <c r="AA39" s="143">
        <f t="shared" si="6"/>
        <v>0</v>
      </c>
      <c r="AB39" s="143">
        <f t="shared" si="7"/>
        <v>0</v>
      </c>
      <c r="AC39" s="143">
        <f t="shared" si="8"/>
        <v>0</v>
      </c>
      <c r="AD39" s="143">
        <f t="shared" si="9"/>
        <v>0</v>
      </c>
      <c r="AE39" s="143">
        <f t="shared" si="10"/>
        <v>0</v>
      </c>
      <c r="AF39" s="143">
        <f t="shared" si="11"/>
        <v>0</v>
      </c>
      <c r="AG39" s="143">
        <f t="shared" si="12"/>
        <v>0</v>
      </c>
      <c r="AH39" s="148">
        <f t="shared" si="13"/>
        <v>0</v>
      </c>
      <c r="AI39" s="212">
        <f t="shared" si="14"/>
        <v>0</v>
      </c>
      <c r="AK39" s="143">
        <f t="shared" si="15"/>
        <v>0</v>
      </c>
    </row>
    <row r="40" spans="1:37" x14ac:dyDescent="0.25">
      <c r="A40" s="121">
        <f t="shared" si="0"/>
        <v>34</v>
      </c>
      <c r="B40" s="159"/>
      <c r="C40" s="159" t="s">
        <v>84</v>
      </c>
      <c r="D40" s="159" t="s">
        <v>116</v>
      </c>
      <c r="E40" s="159" t="s">
        <v>111</v>
      </c>
      <c r="F40" s="150">
        <v>0</v>
      </c>
      <c r="G40" s="129"/>
      <c r="H40" s="163">
        <v>11184</v>
      </c>
      <c r="I40" s="163">
        <v>11071</v>
      </c>
      <c r="J40" s="163">
        <v>11501</v>
      </c>
      <c r="K40" s="163">
        <v>0</v>
      </c>
      <c r="L40" s="163">
        <v>1387</v>
      </c>
      <c r="M40" s="163">
        <v>43</v>
      </c>
      <c r="N40" s="163">
        <v>2330</v>
      </c>
      <c r="O40" s="163">
        <v>4713</v>
      </c>
      <c r="P40" s="163">
        <v>2323</v>
      </c>
      <c r="Q40" s="163">
        <v>974</v>
      </c>
      <c r="R40" s="163">
        <v>1388</v>
      </c>
      <c r="S40" s="163">
        <v>0</v>
      </c>
      <c r="T40" s="164">
        <v>0</v>
      </c>
      <c r="U40" s="129"/>
      <c r="V40" s="143">
        <f t="shared" si="1"/>
        <v>0</v>
      </c>
      <c r="W40" s="143">
        <f t="shared" si="2"/>
        <v>0</v>
      </c>
      <c r="X40" s="143">
        <f t="shared" si="3"/>
        <v>0</v>
      </c>
      <c r="Y40" s="143">
        <f t="shared" si="4"/>
        <v>0</v>
      </c>
      <c r="Z40" s="143">
        <f t="shared" si="5"/>
        <v>0</v>
      </c>
      <c r="AA40" s="143">
        <f t="shared" si="6"/>
        <v>0</v>
      </c>
      <c r="AB40" s="143">
        <f t="shared" si="7"/>
        <v>0</v>
      </c>
      <c r="AC40" s="143">
        <f t="shared" si="8"/>
        <v>0</v>
      </c>
      <c r="AD40" s="143">
        <f t="shared" si="9"/>
        <v>0</v>
      </c>
      <c r="AE40" s="143">
        <f t="shared" si="10"/>
        <v>0</v>
      </c>
      <c r="AF40" s="143">
        <f t="shared" si="11"/>
        <v>0</v>
      </c>
      <c r="AG40" s="143">
        <f t="shared" si="12"/>
        <v>0</v>
      </c>
      <c r="AH40" s="148">
        <f t="shared" si="13"/>
        <v>0</v>
      </c>
      <c r="AI40" s="212">
        <f t="shared" si="14"/>
        <v>0</v>
      </c>
      <c r="AK40" s="143">
        <f t="shared" si="15"/>
        <v>0</v>
      </c>
    </row>
    <row r="41" spans="1:37" x14ac:dyDescent="0.25">
      <c r="A41" s="121">
        <f t="shared" si="0"/>
        <v>35</v>
      </c>
      <c r="B41" s="159"/>
      <c r="C41" s="159" t="s">
        <v>84</v>
      </c>
      <c r="D41" s="159" t="s">
        <v>116</v>
      </c>
      <c r="E41" s="159" t="s">
        <v>112</v>
      </c>
      <c r="F41" s="150">
        <v>0</v>
      </c>
      <c r="G41" s="129"/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163">
        <v>0</v>
      </c>
      <c r="T41" s="164">
        <v>0</v>
      </c>
      <c r="U41" s="129"/>
      <c r="V41" s="143">
        <f t="shared" si="1"/>
        <v>0</v>
      </c>
      <c r="W41" s="143">
        <f t="shared" si="2"/>
        <v>0</v>
      </c>
      <c r="X41" s="143">
        <f t="shared" si="3"/>
        <v>0</v>
      </c>
      <c r="Y41" s="143">
        <f t="shared" si="4"/>
        <v>0</v>
      </c>
      <c r="Z41" s="143">
        <f t="shared" si="5"/>
        <v>0</v>
      </c>
      <c r="AA41" s="143">
        <f t="shared" si="6"/>
        <v>0</v>
      </c>
      <c r="AB41" s="143">
        <f t="shared" si="7"/>
        <v>0</v>
      </c>
      <c r="AC41" s="143">
        <f t="shared" si="8"/>
        <v>0</v>
      </c>
      <c r="AD41" s="143">
        <f t="shared" si="9"/>
        <v>0</v>
      </c>
      <c r="AE41" s="143">
        <f t="shared" si="10"/>
        <v>0</v>
      </c>
      <c r="AF41" s="143">
        <f t="shared" si="11"/>
        <v>0</v>
      </c>
      <c r="AG41" s="143">
        <f t="shared" si="12"/>
        <v>0</v>
      </c>
      <c r="AH41" s="148">
        <f t="shared" si="13"/>
        <v>0</v>
      </c>
      <c r="AI41" s="212">
        <f t="shared" si="14"/>
        <v>0</v>
      </c>
      <c r="AK41" s="143">
        <f t="shared" si="15"/>
        <v>0</v>
      </c>
    </row>
    <row r="42" spans="1:37" x14ac:dyDescent="0.25">
      <c r="A42" s="121">
        <f t="shared" si="0"/>
        <v>36</v>
      </c>
      <c r="B42" s="159"/>
      <c r="C42" s="159" t="s">
        <v>84</v>
      </c>
      <c r="D42" s="159" t="s">
        <v>116</v>
      </c>
      <c r="E42" s="159" t="s">
        <v>113</v>
      </c>
      <c r="F42" s="150">
        <v>0</v>
      </c>
      <c r="G42" s="129"/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163">
        <v>0</v>
      </c>
      <c r="T42" s="164">
        <v>0</v>
      </c>
      <c r="U42" s="129"/>
      <c r="V42" s="143">
        <f t="shared" si="1"/>
        <v>0</v>
      </c>
      <c r="W42" s="143">
        <f t="shared" si="2"/>
        <v>0</v>
      </c>
      <c r="X42" s="143">
        <f t="shared" si="3"/>
        <v>0</v>
      </c>
      <c r="Y42" s="143">
        <f t="shared" si="4"/>
        <v>0</v>
      </c>
      <c r="Z42" s="143">
        <f t="shared" si="5"/>
        <v>0</v>
      </c>
      <c r="AA42" s="143">
        <f t="shared" si="6"/>
        <v>0</v>
      </c>
      <c r="AB42" s="143">
        <f t="shared" si="7"/>
        <v>0</v>
      </c>
      <c r="AC42" s="143">
        <f t="shared" si="8"/>
        <v>0</v>
      </c>
      <c r="AD42" s="143">
        <f t="shared" si="9"/>
        <v>0</v>
      </c>
      <c r="AE42" s="143">
        <f t="shared" si="10"/>
        <v>0</v>
      </c>
      <c r="AF42" s="143">
        <f t="shared" si="11"/>
        <v>0</v>
      </c>
      <c r="AG42" s="143">
        <f t="shared" si="12"/>
        <v>0</v>
      </c>
      <c r="AH42" s="148">
        <f t="shared" si="13"/>
        <v>0</v>
      </c>
      <c r="AI42" s="212">
        <f t="shared" si="14"/>
        <v>0</v>
      </c>
      <c r="AK42" s="143">
        <f t="shared" si="15"/>
        <v>0</v>
      </c>
    </row>
    <row r="43" spans="1:37" x14ac:dyDescent="0.25">
      <c r="A43" s="121">
        <f t="shared" si="0"/>
        <v>37</v>
      </c>
      <c r="B43" s="160"/>
      <c r="C43" s="160" t="s">
        <v>84</v>
      </c>
      <c r="D43" s="160" t="s">
        <v>116</v>
      </c>
      <c r="E43" s="160" t="s">
        <v>114</v>
      </c>
      <c r="F43" s="149">
        <v>0</v>
      </c>
      <c r="G43" s="127"/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162">
        <v>0</v>
      </c>
      <c r="U43" s="127"/>
      <c r="V43" s="142">
        <f t="shared" si="1"/>
        <v>0</v>
      </c>
      <c r="W43" s="142">
        <f t="shared" si="2"/>
        <v>0</v>
      </c>
      <c r="X43" s="142">
        <f t="shared" si="3"/>
        <v>0</v>
      </c>
      <c r="Y43" s="142">
        <f t="shared" si="4"/>
        <v>0</v>
      </c>
      <c r="Z43" s="142">
        <f t="shared" si="5"/>
        <v>0</v>
      </c>
      <c r="AA43" s="142">
        <f t="shared" si="6"/>
        <v>0</v>
      </c>
      <c r="AB43" s="142">
        <f t="shared" si="7"/>
        <v>0</v>
      </c>
      <c r="AC43" s="142">
        <f t="shared" si="8"/>
        <v>0</v>
      </c>
      <c r="AD43" s="142">
        <f t="shared" si="9"/>
        <v>0</v>
      </c>
      <c r="AE43" s="142">
        <f t="shared" si="10"/>
        <v>0</v>
      </c>
      <c r="AF43" s="142">
        <f t="shared" si="11"/>
        <v>0</v>
      </c>
      <c r="AG43" s="142">
        <f t="shared" si="12"/>
        <v>0</v>
      </c>
      <c r="AH43" s="147">
        <f t="shared" si="13"/>
        <v>0</v>
      </c>
      <c r="AI43" s="211">
        <f t="shared" si="14"/>
        <v>0</v>
      </c>
      <c r="AK43" s="142">
        <f t="shared" si="15"/>
        <v>0</v>
      </c>
    </row>
    <row r="44" spans="1:37" x14ac:dyDescent="0.25">
      <c r="A44" s="121">
        <f t="shared" si="0"/>
        <v>38</v>
      </c>
      <c r="B44" s="159" t="s">
        <v>117</v>
      </c>
      <c r="C44" s="159" t="s">
        <v>84</v>
      </c>
      <c r="D44" s="159" t="s">
        <v>118</v>
      </c>
      <c r="E44" s="159" t="s">
        <v>97</v>
      </c>
      <c r="F44" s="150">
        <v>0</v>
      </c>
      <c r="G44" s="129"/>
      <c r="H44" s="163">
        <v>30000</v>
      </c>
      <c r="I44" s="163">
        <v>30000</v>
      </c>
      <c r="J44" s="163">
        <v>30000</v>
      </c>
      <c r="K44" s="163">
        <v>30000</v>
      </c>
      <c r="L44" s="163">
        <v>30000</v>
      </c>
      <c r="M44" s="163">
        <v>30000</v>
      </c>
      <c r="N44" s="163">
        <v>30000</v>
      </c>
      <c r="O44" s="163">
        <v>30000</v>
      </c>
      <c r="P44" s="163">
        <v>30000</v>
      </c>
      <c r="Q44" s="163">
        <v>30000</v>
      </c>
      <c r="R44" s="163">
        <v>30000</v>
      </c>
      <c r="S44" s="163">
        <v>30000</v>
      </c>
      <c r="T44" s="164">
        <v>0</v>
      </c>
      <c r="U44" s="129"/>
      <c r="V44" s="143">
        <f t="shared" si="1"/>
        <v>0</v>
      </c>
      <c r="W44" s="143">
        <f t="shared" si="2"/>
        <v>0</v>
      </c>
      <c r="X44" s="143">
        <f t="shared" si="3"/>
        <v>0</v>
      </c>
      <c r="Y44" s="143">
        <f t="shared" si="4"/>
        <v>0</v>
      </c>
      <c r="Z44" s="143">
        <f t="shared" si="5"/>
        <v>0</v>
      </c>
      <c r="AA44" s="143">
        <f t="shared" si="6"/>
        <v>0</v>
      </c>
      <c r="AB44" s="143">
        <f t="shared" si="7"/>
        <v>0</v>
      </c>
      <c r="AC44" s="143">
        <f t="shared" si="8"/>
        <v>0</v>
      </c>
      <c r="AD44" s="143">
        <f t="shared" si="9"/>
        <v>0</v>
      </c>
      <c r="AE44" s="143">
        <f t="shared" si="10"/>
        <v>0</v>
      </c>
      <c r="AF44" s="143">
        <f t="shared" si="11"/>
        <v>0</v>
      </c>
      <c r="AG44" s="143">
        <f t="shared" si="12"/>
        <v>0</v>
      </c>
      <c r="AH44" s="148">
        <f t="shared" si="13"/>
        <v>0</v>
      </c>
      <c r="AI44" s="212">
        <f t="shared" si="14"/>
        <v>0</v>
      </c>
      <c r="AK44" s="143">
        <f t="shared" si="15"/>
        <v>0</v>
      </c>
    </row>
    <row r="45" spans="1:37" x14ac:dyDescent="0.25">
      <c r="A45" s="121">
        <f t="shared" si="0"/>
        <v>39</v>
      </c>
      <c r="B45" s="159" t="s">
        <v>118</v>
      </c>
      <c r="C45" s="159" t="s">
        <v>84</v>
      </c>
      <c r="D45" s="159" t="s">
        <v>118</v>
      </c>
      <c r="E45" s="159" t="s">
        <v>98</v>
      </c>
      <c r="F45" s="150">
        <v>0</v>
      </c>
      <c r="G45" s="129"/>
      <c r="H45" s="163">
        <v>46769</v>
      </c>
      <c r="I45" s="163">
        <v>53589</v>
      </c>
      <c r="J45" s="163">
        <v>52772</v>
      </c>
      <c r="K45" s="163">
        <v>40559</v>
      </c>
      <c r="L45" s="163">
        <v>40075</v>
      </c>
      <c r="M45" s="163">
        <v>37352</v>
      </c>
      <c r="N45" s="163">
        <v>32930</v>
      </c>
      <c r="O45" s="163">
        <v>25451</v>
      </c>
      <c r="P45" s="163">
        <v>25495</v>
      </c>
      <c r="Q45" s="163">
        <v>24195</v>
      </c>
      <c r="R45" s="163">
        <v>24239</v>
      </c>
      <c r="S45" s="163">
        <v>26972</v>
      </c>
      <c r="T45" s="164">
        <v>0</v>
      </c>
      <c r="U45" s="129"/>
      <c r="V45" s="143">
        <f t="shared" si="1"/>
        <v>0</v>
      </c>
      <c r="W45" s="143">
        <f t="shared" si="2"/>
        <v>0</v>
      </c>
      <c r="X45" s="143">
        <f t="shared" si="3"/>
        <v>0</v>
      </c>
      <c r="Y45" s="143">
        <f t="shared" si="4"/>
        <v>0</v>
      </c>
      <c r="Z45" s="143">
        <f t="shared" si="5"/>
        <v>0</v>
      </c>
      <c r="AA45" s="143">
        <f t="shared" si="6"/>
        <v>0</v>
      </c>
      <c r="AB45" s="143">
        <f t="shared" si="7"/>
        <v>0</v>
      </c>
      <c r="AC45" s="143">
        <f t="shared" si="8"/>
        <v>0</v>
      </c>
      <c r="AD45" s="143">
        <f t="shared" si="9"/>
        <v>0</v>
      </c>
      <c r="AE45" s="143">
        <f t="shared" si="10"/>
        <v>0</v>
      </c>
      <c r="AF45" s="143">
        <f t="shared" si="11"/>
        <v>0</v>
      </c>
      <c r="AG45" s="143">
        <f t="shared" si="12"/>
        <v>0</v>
      </c>
      <c r="AH45" s="148">
        <f t="shared" si="13"/>
        <v>0</v>
      </c>
      <c r="AI45" s="212">
        <f t="shared" si="14"/>
        <v>0</v>
      </c>
      <c r="AK45" s="143">
        <f t="shared" si="15"/>
        <v>0</v>
      </c>
    </row>
    <row r="46" spans="1:37" x14ac:dyDescent="0.25">
      <c r="A46" s="121">
        <f t="shared" si="0"/>
        <v>40</v>
      </c>
      <c r="B46" s="159"/>
      <c r="C46" s="159" t="s">
        <v>84</v>
      </c>
      <c r="D46" s="159" t="s">
        <v>118</v>
      </c>
      <c r="E46" s="159" t="s">
        <v>111</v>
      </c>
      <c r="F46" s="150">
        <v>0</v>
      </c>
      <c r="G46" s="129"/>
      <c r="H46" s="163">
        <v>20000</v>
      </c>
      <c r="I46" s="163">
        <v>20088</v>
      </c>
      <c r="J46" s="163">
        <v>20000</v>
      </c>
      <c r="K46" s="163">
        <v>20000</v>
      </c>
      <c r="L46" s="163">
        <v>20000</v>
      </c>
      <c r="M46" s="163">
        <v>20000</v>
      </c>
      <c r="N46" s="163">
        <v>20000</v>
      </c>
      <c r="O46" s="163">
        <v>20000</v>
      </c>
      <c r="P46" s="163">
        <v>20000</v>
      </c>
      <c r="Q46" s="163">
        <v>20000</v>
      </c>
      <c r="R46" s="163">
        <v>20000</v>
      </c>
      <c r="S46" s="163">
        <v>20000</v>
      </c>
      <c r="T46" s="164">
        <v>0</v>
      </c>
      <c r="U46" s="129"/>
      <c r="V46" s="143">
        <f t="shared" si="1"/>
        <v>0</v>
      </c>
      <c r="W46" s="143">
        <f t="shared" si="2"/>
        <v>0</v>
      </c>
      <c r="X46" s="143">
        <f t="shared" si="3"/>
        <v>0</v>
      </c>
      <c r="Y46" s="143">
        <f t="shared" si="4"/>
        <v>0</v>
      </c>
      <c r="Z46" s="143">
        <f t="shared" si="5"/>
        <v>0</v>
      </c>
      <c r="AA46" s="143">
        <f t="shared" si="6"/>
        <v>0</v>
      </c>
      <c r="AB46" s="143">
        <f t="shared" si="7"/>
        <v>0</v>
      </c>
      <c r="AC46" s="143">
        <f t="shared" si="8"/>
        <v>0</v>
      </c>
      <c r="AD46" s="143">
        <f t="shared" si="9"/>
        <v>0</v>
      </c>
      <c r="AE46" s="143">
        <f t="shared" si="10"/>
        <v>0</v>
      </c>
      <c r="AF46" s="143">
        <f t="shared" si="11"/>
        <v>0</v>
      </c>
      <c r="AG46" s="143">
        <f t="shared" si="12"/>
        <v>0</v>
      </c>
      <c r="AH46" s="148">
        <f t="shared" si="13"/>
        <v>0</v>
      </c>
      <c r="AI46" s="212">
        <f t="shared" si="14"/>
        <v>0</v>
      </c>
      <c r="AK46" s="143">
        <f t="shared" si="15"/>
        <v>0</v>
      </c>
    </row>
    <row r="47" spans="1:37" x14ac:dyDescent="0.25">
      <c r="A47" s="121">
        <f t="shared" si="0"/>
        <v>41</v>
      </c>
      <c r="B47" s="159"/>
      <c r="C47" s="159" t="s">
        <v>84</v>
      </c>
      <c r="D47" s="159" t="s">
        <v>118</v>
      </c>
      <c r="E47" s="159" t="s">
        <v>112</v>
      </c>
      <c r="F47" s="150">
        <v>0</v>
      </c>
      <c r="G47" s="129"/>
      <c r="H47" s="163">
        <v>23214</v>
      </c>
      <c r="I47" s="163">
        <v>26803</v>
      </c>
      <c r="J47" s="163">
        <v>22521</v>
      </c>
      <c r="K47" s="163">
        <v>10403</v>
      </c>
      <c r="L47" s="163">
        <v>12523</v>
      </c>
      <c r="M47" s="163">
        <v>11639</v>
      </c>
      <c r="N47" s="163">
        <v>11132</v>
      </c>
      <c r="O47" s="163">
        <v>4742</v>
      </c>
      <c r="P47" s="163">
        <v>7416</v>
      </c>
      <c r="Q47" s="163">
        <v>8800</v>
      </c>
      <c r="R47" s="163">
        <v>9427</v>
      </c>
      <c r="S47" s="163">
        <v>13866</v>
      </c>
      <c r="T47" s="164">
        <v>0</v>
      </c>
      <c r="U47" s="129"/>
      <c r="V47" s="143">
        <f t="shared" si="1"/>
        <v>0</v>
      </c>
      <c r="W47" s="143">
        <f t="shared" si="2"/>
        <v>0</v>
      </c>
      <c r="X47" s="143">
        <f t="shared" si="3"/>
        <v>0</v>
      </c>
      <c r="Y47" s="143">
        <f t="shared" si="4"/>
        <v>0</v>
      </c>
      <c r="Z47" s="143">
        <f t="shared" si="5"/>
        <v>0</v>
      </c>
      <c r="AA47" s="143">
        <f t="shared" si="6"/>
        <v>0</v>
      </c>
      <c r="AB47" s="143">
        <f t="shared" si="7"/>
        <v>0</v>
      </c>
      <c r="AC47" s="143">
        <f t="shared" si="8"/>
        <v>0</v>
      </c>
      <c r="AD47" s="143">
        <f t="shared" si="9"/>
        <v>0</v>
      </c>
      <c r="AE47" s="143">
        <f t="shared" si="10"/>
        <v>0</v>
      </c>
      <c r="AF47" s="143">
        <f t="shared" si="11"/>
        <v>0</v>
      </c>
      <c r="AG47" s="143">
        <f t="shared" si="12"/>
        <v>0</v>
      </c>
      <c r="AH47" s="148">
        <f t="shared" si="13"/>
        <v>0</v>
      </c>
      <c r="AI47" s="212">
        <f t="shared" si="14"/>
        <v>0</v>
      </c>
      <c r="AK47" s="143">
        <f t="shared" si="15"/>
        <v>0</v>
      </c>
    </row>
    <row r="48" spans="1:37" x14ac:dyDescent="0.25">
      <c r="A48" s="121">
        <f t="shared" si="0"/>
        <v>42</v>
      </c>
      <c r="B48" s="159"/>
      <c r="C48" s="159" t="s">
        <v>84</v>
      </c>
      <c r="D48" s="159" t="s">
        <v>118</v>
      </c>
      <c r="E48" s="159" t="s">
        <v>113</v>
      </c>
      <c r="F48" s="150">
        <v>0</v>
      </c>
      <c r="G48" s="129"/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163">
        <v>0</v>
      </c>
      <c r="T48" s="164">
        <v>0</v>
      </c>
      <c r="U48" s="129"/>
      <c r="V48" s="143">
        <f t="shared" si="1"/>
        <v>0</v>
      </c>
      <c r="W48" s="143">
        <f t="shared" si="2"/>
        <v>0</v>
      </c>
      <c r="X48" s="143">
        <f t="shared" si="3"/>
        <v>0</v>
      </c>
      <c r="Y48" s="143">
        <f t="shared" si="4"/>
        <v>0</v>
      </c>
      <c r="Z48" s="143">
        <f t="shared" si="5"/>
        <v>0</v>
      </c>
      <c r="AA48" s="143">
        <f t="shared" si="6"/>
        <v>0</v>
      </c>
      <c r="AB48" s="143">
        <f t="shared" si="7"/>
        <v>0</v>
      </c>
      <c r="AC48" s="143">
        <f t="shared" si="8"/>
        <v>0</v>
      </c>
      <c r="AD48" s="143">
        <f t="shared" si="9"/>
        <v>0</v>
      </c>
      <c r="AE48" s="143">
        <f t="shared" si="10"/>
        <v>0</v>
      </c>
      <c r="AF48" s="143">
        <f t="shared" si="11"/>
        <v>0</v>
      </c>
      <c r="AG48" s="143">
        <f t="shared" si="12"/>
        <v>0</v>
      </c>
      <c r="AH48" s="148">
        <f t="shared" si="13"/>
        <v>0</v>
      </c>
      <c r="AI48" s="212">
        <f t="shared" si="14"/>
        <v>0</v>
      </c>
      <c r="AK48" s="143">
        <f t="shared" si="15"/>
        <v>0</v>
      </c>
    </row>
    <row r="49" spans="1:37" x14ac:dyDescent="0.25">
      <c r="A49" s="121">
        <f t="shared" si="0"/>
        <v>43</v>
      </c>
      <c r="B49" s="160"/>
      <c r="C49" s="160" t="s">
        <v>84</v>
      </c>
      <c r="D49" s="160" t="s">
        <v>118</v>
      </c>
      <c r="E49" s="160" t="s">
        <v>114</v>
      </c>
      <c r="F49" s="149">
        <v>0</v>
      </c>
      <c r="G49" s="127"/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2">
        <v>0</v>
      </c>
      <c r="U49" s="127"/>
      <c r="V49" s="142">
        <f t="shared" si="1"/>
        <v>0</v>
      </c>
      <c r="W49" s="142">
        <f t="shared" si="2"/>
        <v>0</v>
      </c>
      <c r="X49" s="142">
        <f t="shared" si="3"/>
        <v>0</v>
      </c>
      <c r="Y49" s="142">
        <f t="shared" si="4"/>
        <v>0</v>
      </c>
      <c r="Z49" s="142">
        <f t="shared" si="5"/>
        <v>0</v>
      </c>
      <c r="AA49" s="142">
        <f t="shared" si="6"/>
        <v>0</v>
      </c>
      <c r="AB49" s="142">
        <f t="shared" si="7"/>
        <v>0</v>
      </c>
      <c r="AC49" s="142">
        <f t="shared" si="8"/>
        <v>0</v>
      </c>
      <c r="AD49" s="142">
        <f t="shared" si="9"/>
        <v>0</v>
      </c>
      <c r="AE49" s="142">
        <f t="shared" si="10"/>
        <v>0</v>
      </c>
      <c r="AF49" s="142">
        <f t="shared" si="11"/>
        <v>0</v>
      </c>
      <c r="AG49" s="142">
        <f t="shared" si="12"/>
        <v>0</v>
      </c>
      <c r="AH49" s="147">
        <f t="shared" si="13"/>
        <v>0</v>
      </c>
      <c r="AI49" s="211">
        <f t="shared" si="14"/>
        <v>0</v>
      </c>
      <c r="AK49" s="142">
        <f t="shared" si="15"/>
        <v>0</v>
      </c>
    </row>
    <row r="50" spans="1:37" x14ac:dyDescent="0.25">
      <c r="A50" s="121">
        <f t="shared" si="0"/>
        <v>44</v>
      </c>
      <c r="B50" s="159" t="s">
        <v>119</v>
      </c>
      <c r="C50" s="159" t="s">
        <v>84</v>
      </c>
      <c r="D50" s="159" t="s">
        <v>120</v>
      </c>
      <c r="E50" s="159" t="s">
        <v>97</v>
      </c>
      <c r="F50" s="150">
        <v>0</v>
      </c>
      <c r="G50" s="129"/>
      <c r="H50" s="163">
        <v>74312</v>
      </c>
      <c r="I50" s="163">
        <v>73642</v>
      </c>
      <c r="J50" s="163">
        <v>74396</v>
      </c>
      <c r="K50" s="163">
        <v>69273</v>
      </c>
      <c r="L50" s="163">
        <v>71872</v>
      </c>
      <c r="M50" s="163">
        <v>71612</v>
      </c>
      <c r="N50" s="163">
        <v>68079</v>
      </c>
      <c r="O50" s="163">
        <v>66842</v>
      </c>
      <c r="P50" s="163">
        <v>67425</v>
      </c>
      <c r="Q50" s="163">
        <v>68173</v>
      </c>
      <c r="R50" s="163">
        <v>69525</v>
      </c>
      <c r="S50" s="163">
        <v>70610</v>
      </c>
      <c r="T50" s="164">
        <v>0</v>
      </c>
      <c r="U50" s="129"/>
      <c r="V50" s="143">
        <f t="shared" si="1"/>
        <v>0</v>
      </c>
      <c r="W50" s="143">
        <f t="shared" si="2"/>
        <v>0</v>
      </c>
      <c r="X50" s="143">
        <f t="shared" si="3"/>
        <v>0</v>
      </c>
      <c r="Y50" s="143">
        <f t="shared" si="4"/>
        <v>0</v>
      </c>
      <c r="Z50" s="143">
        <f t="shared" si="5"/>
        <v>0</v>
      </c>
      <c r="AA50" s="143">
        <f t="shared" si="6"/>
        <v>0</v>
      </c>
      <c r="AB50" s="143">
        <f t="shared" si="7"/>
        <v>0</v>
      </c>
      <c r="AC50" s="143">
        <f t="shared" si="8"/>
        <v>0</v>
      </c>
      <c r="AD50" s="143">
        <f t="shared" si="9"/>
        <v>0</v>
      </c>
      <c r="AE50" s="143">
        <f t="shared" si="10"/>
        <v>0</v>
      </c>
      <c r="AF50" s="143">
        <f t="shared" si="11"/>
        <v>0</v>
      </c>
      <c r="AG50" s="143">
        <f t="shared" si="12"/>
        <v>0</v>
      </c>
      <c r="AH50" s="148">
        <f t="shared" si="13"/>
        <v>0</v>
      </c>
      <c r="AI50" s="212">
        <f t="shared" si="14"/>
        <v>0</v>
      </c>
      <c r="AK50" s="143">
        <f t="shared" si="15"/>
        <v>0</v>
      </c>
    </row>
    <row r="51" spans="1:37" x14ac:dyDescent="0.25">
      <c r="A51" s="121">
        <f t="shared" si="0"/>
        <v>45</v>
      </c>
      <c r="B51" s="159" t="s">
        <v>120</v>
      </c>
      <c r="C51" s="159" t="s">
        <v>84</v>
      </c>
      <c r="D51" s="159" t="s">
        <v>120</v>
      </c>
      <c r="E51" s="159" t="s">
        <v>98</v>
      </c>
      <c r="F51" s="150">
        <v>0</v>
      </c>
      <c r="G51" s="129"/>
      <c r="H51" s="163">
        <v>67163</v>
      </c>
      <c r="I51" s="163">
        <v>72027</v>
      </c>
      <c r="J51" s="163">
        <v>76069</v>
      </c>
      <c r="K51" s="163">
        <v>67256</v>
      </c>
      <c r="L51" s="163">
        <v>70126</v>
      </c>
      <c r="M51" s="163">
        <v>71534</v>
      </c>
      <c r="N51" s="163">
        <v>66998</v>
      </c>
      <c r="O51" s="163">
        <v>68236</v>
      </c>
      <c r="P51" s="163">
        <v>68133</v>
      </c>
      <c r="Q51" s="163">
        <v>63727</v>
      </c>
      <c r="R51" s="163">
        <v>67293</v>
      </c>
      <c r="S51" s="163">
        <v>68843</v>
      </c>
      <c r="T51" s="164">
        <v>0</v>
      </c>
      <c r="U51" s="129"/>
      <c r="V51" s="143">
        <f t="shared" si="1"/>
        <v>0</v>
      </c>
      <c r="W51" s="143">
        <f t="shared" si="2"/>
        <v>0</v>
      </c>
      <c r="X51" s="143">
        <f t="shared" si="3"/>
        <v>0</v>
      </c>
      <c r="Y51" s="143">
        <f t="shared" si="4"/>
        <v>0</v>
      </c>
      <c r="Z51" s="143">
        <f t="shared" si="5"/>
        <v>0</v>
      </c>
      <c r="AA51" s="143">
        <f t="shared" si="6"/>
        <v>0</v>
      </c>
      <c r="AB51" s="143">
        <f t="shared" si="7"/>
        <v>0</v>
      </c>
      <c r="AC51" s="143">
        <f t="shared" si="8"/>
        <v>0</v>
      </c>
      <c r="AD51" s="143">
        <f t="shared" si="9"/>
        <v>0</v>
      </c>
      <c r="AE51" s="143">
        <f t="shared" si="10"/>
        <v>0</v>
      </c>
      <c r="AF51" s="143">
        <f t="shared" si="11"/>
        <v>0</v>
      </c>
      <c r="AG51" s="143">
        <f t="shared" si="12"/>
        <v>0</v>
      </c>
      <c r="AH51" s="148">
        <f t="shared" si="13"/>
        <v>0</v>
      </c>
      <c r="AI51" s="212">
        <f t="shared" si="14"/>
        <v>0</v>
      </c>
      <c r="AK51" s="143">
        <f t="shared" si="15"/>
        <v>0</v>
      </c>
    </row>
    <row r="52" spans="1:37" x14ac:dyDescent="0.25">
      <c r="A52" s="121">
        <f t="shared" si="0"/>
        <v>46</v>
      </c>
      <c r="B52" s="159"/>
      <c r="C52" s="159" t="s">
        <v>84</v>
      </c>
      <c r="D52" s="159" t="s">
        <v>120</v>
      </c>
      <c r="E52" s="159" t="s">
        <v>111</v>
      </c>
      <c r="F52" s="150">
        <v>0</v>
      </c>
      <c r="G52" s="129"/>
      <c r="H52" s="163">
        <v>60000</v>
      </c>
      <c r="I52" s="163">
        <v>60000</v>
      </c>
      <c r="J52" s="163">
        <v>60000</v>
      </c>
      <c r="K52" s="163">
        <v>60000</v>
      </c>
      <c r="L52" s="163">
        <v>60000</v>
      </c>
      <c r="M52" s="163">
        <v>60000</v>
      </c>
      <c r="N52" s="163">
        <v>60000</v>
      </c>
      <c r="O52" s="163">
        <v>60000</v>
      </c>
      <c r="P52" s="163">
        <v>60000</v>
      </c>
      <c r="Q52" s="163">
        <v>60000</v>
      </c>
      <c r="R52" s="163">
        <v>60000</v>
      </c>
      <c r="S52" s="163">
        <v>60000</v>
      </c>
      <c r="T52" s="164">
        <v>0</v>
      </c>
      <c r="U52" s="129"/>
      <c r="V52" s="143">
        <f t="shared" si="1"/>
        <v>0</v>
      </c>
      <c r="W52" s="143">
        <f t="shared" si="2"/>
        <v>0</v>
      </c>
      <c r="X52" s="143">
        <f t="shared" si="3"/>
        <v>0</v>
      </c>
      <c r="Y52" s="143">
        <f t="shared" si="4"/>
        <v>0</v>
      </c>
      <c r="Z52" s="143">
        <f t="shared" si="5"/>
        <v>0</v>
      </c>
      <c r="AA52" s="143">
        <f t="shared" si="6"/>
        <v>0</v>
      </c>
      <c r="AB52" s="143">
        <f t="shared" si="7"/>
        <v>0</v>
      </c>
      <c r="AC52" s="143">
        <f t="shared" si="8"/>
        <v>0</v>
      </c>
      <c r="AD52" s="143">
        <f t="shared" si="9"/>
        <v>0</v>
      </c>
      <c r="AE52" s="143">
        <f t="shared" si="10"/>
        <v>0</v>
      </c>
      <c r="AF52" s="143">
        <f t="shared" si="11"/>
        <v>0</v>
      </c>
      <c r="AG52" s="143">
        <f t="shared" si="12"/>
        <v>0</v>
      </c>
      <c r="AH52" s="148">
        <f t="shared" si="13"/>
        <v>0</v>
      </c>
      <c r="AI52" s="212">
        <f t="shared" si="14"/>
        <v>0</v>
      </c>
      <c r="AK52" s="143">
        <f t="shared" si="15"/>
        <v>0</v>
      </c>
    </row>
    <row r="53" spans="1:37" x14ac:dyDescent="0.25">
      <c r="A53" s="121">
        <f t="shared" si="0"/>
        <v>47</v>
      </c>
      <c r="B53" s="159"/>
      <c r="C53" s="159" t="s">
        <v>84</v>
      </c>
      <c r="D53" s="159" t="s">
        <v>120</v>
      </c>
      <c r="E53" s="159" t="s">
        <v>112</v>
      </c>
      <c r="F53" s="150">
        <v>0</v>
      </c>
      <c r="G53" s="129"/>
      <c r="H53" s="163">
        <v>117658</v>
      </c>
      <c r="I53" s="163">
        <v>121397</v>
      </c>
      <c r="J53" s="163">
        <v>124711</v>
      </c>
      <c r="K53" s="163">
        <v>120043</v>
      </c>
      <c r="L53" s="163">
        <v>128191</v>
      </c>
      <c r="M53" s="163">
        <v>119682</v>
      </c>
      <c r="N53" s="163">
        <v>104937</v>
      </c>
      <c r="O53" s="163">
        <v>64650</v>
      </c>
      <c r="P53" s="163">
        <v>64566</v>
      </c>
      <c r="Q53" s="163">
        <v>68927</v>
      </c>
      <c r="R53" s="163">
        <v>77711</v>
      </c>
      <c r="S53" s="163">
        <v>83496</v>
      </c>
      <c r="T53" s="164">
        <v>0</v>
      </c>
      <c r="U53" s="129"/>
      <c r="V53" s="143">
        <f t="shared" si="1"/>
        <v>0</v>
      </c>
      <c r="W53" s="143">
        <f t="shared" si="2"/>
        <v>0</v>
      </c>
      <c r="X53" s="143">
        <f t="shared" si="3"/>
        <v>0</v>
      </c>
      <c r="Y53" s="143">
        <f t="shared" si="4"/>
        <v>0</v>
      </c>
      <c r="Z53" s="143">
        <f t="shared" si="5"/>
        <v>0</v>
      </c>
      <c r="AA53" s="143">
        <f t="shared" si="6"/>
        <v>0</v>
      </c>
      <c r="AB53" s="143">
        <f t="shared" si="7"/>
        <v>0</v>
      </c>
      <c r="AC53" s="143">
        <f t="shared" si="8"/>
        <v>0</v>
      </c>
      <c r="AD53" s="143">
        <f t="shared" si="9"/>
        <v>0</v>
      </c>
      <c r="AE53" s="143">
        <f t="shared" si="10"/>
        <v>0</v>
      </c>
      <c r="AF53" s="143">
        <f t="shared" si="11"/>
        <v>0</v>
      </c>
      <c r="AG53" s="143">
        <f t="shared" si="12"/>
        <v>0</v>
      </c>
      <c r="AH53" s="148">
        <f t="shared" si="13"/>
        <v>0</v>
      </c>
      <c r="AI53" s="212">
        <f t="shared" si="14"/>
        <v>0</v>
      </c>
      <c r="AK53" s="143">
        <f t="shared" si="15"/>
        <v>0</v>
      </c>
    </row>
    <row r="54" spans="1:37" x14ac:dyDescent="0.25">
      <c r="A54" s="121">
        <f t="shared" si="0"/>
        <v>48</v>
      </c>
      <c r="B54" s="159"/>
      <c r="C54" s="159" t="s">
        <v>84</v>
      </c>
      <c r="D54" s="159" t="s">
        <v>120</v>
      </c>
      <c r="E54" s="159" t="s">
        <v>113</v>
      </c>
      <c r="F54" s="150">
        <v>0</v>
      </c>
      <c r="G54" s="129"/>
      <c r="H54" s="163">
        <v>59534</v>
      </c>
      <c r="I54" s="163">
        <v>86438</v>
      </c>
      <c r="J54" s="163">
        <v>92097</v>
      </c>
      <c r="K54" s="163">
        <v>36095</v>
      </c>
      <c r="L54" s="163">
        <v>41212</v>
      </c>
      <c r="M54" s="163">
        <v>16617</v>
      </c>
      <c r="N54" s="163">
        <v>0</v>
      </c>
      <c r="O54" s="163">
        <v>0</v>
      </c>
      <c r="P54" s="163">
        <v>0</v>
      </c>
      <c r="Q54" s="163">
        <v>0</v>
      </c>
      <c r="R54" s="163">
        <v>0</v>
      </c>
      <c r="S54" s="163">
        <v>0</v>
      </c>
      <c r="T54" s="164">
        <v>0</v>
      </c>
      <c r="U54" s="129"/>
      <c r="V54" s="143">
        <f t="shared" si="1"/>
        <v>0</v>
      </c>
      <c r="W54" s="143">
        <f t="shared" si="2"/>
        <v>0</v>
      </c>
      <c r="X54" s="143">
        <f t="shared" si="3"/>
        <v>0</v>
      </c>
      <c r="Y54" s="143">
        <f t="shared" si="4"/>
        <v>0</v>
      </c>
      <c r="Z54" s="143">
        <f t="shared" si="5"/>
        <v>0</v>
      </c>
      <c r="AA54" s="143">
        <f t="shared" si="6"/>
        <v>0</v>
      </c>
      <c r="AB54" s="143">
        <f t="shared" si="7"/>
        <v>0</v>
      </c>
      <c r="AC54" s="143">
        <f t="shared" si="8"/>
        <v>0</v>
      </c>
      <c r="AD54" s="143">
        <f t="shared" si="9"/>
        <v>0</v>
      </c>
      <c r="AE54" s="143">
        <f t="shared" si="10"/>
        <v>0</v>
      </c>
      <c r="AF54" s="143">
        <f t="shared" si="11"/>
        <v>0</v>
      </c>
      <c r="AG54" s="143">
        <f t="shared" si="12"/>
        <v>0</v>
      </c>
      <c r="AH54" s="148">
        <f t="shared" si="13"/>
        <v>0</v>
      </c>
      <c r="AI54" s="212">
        <f t="shared" si="14"/>
        <v>0</v>
      </c>
      <c r="AK54" s="143">
        <f t="shared" si="15"/>
        <v>0</v>
      </c>
    </row>
    <row r="55" spans="1:37" x14ac:dyDescent="0.25">
      <c r="A55" s="121">
        <f t="shared" si="0"/>
        <v>49</v>
      </c>
      <c r="B55" s="160"/>
      <c r="C55" s="160" t="s">
        <v>84</v>
      </c>
      <c r="D55" s="160" t="s">
        <v>120</v>
      </c>
      <c r="E55" s="160" t="s">
        <v>114</v>
      </c>
      <c r="F55" s="149">
        <v>0</v>
      </c>
      <c r="G55" s="127"/>
      <c r="H55" s="166">
        <v>0</v>
      </c>
      <c r="I55" s="166">
        <v>0</v>
      </c>
      <c r="J55" s="161"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162">
        <v>0</v>
      </c>
      <c r="U55" s="127"/>
      <c r="V55" s="145">
        <f t="shared" si="1"/>
        <v>0</v>
      </c>
      <c r="W55" s="145">
        <f t="shared" si="2"/>
        <v>0</v>
      </c>
      <c r="X55" s="145">
        <f t="shared" si="3"/>
        <v>0</v>
      </c>
      <c r="Y55" s="145">
        <f t="shared" si="4"/>
        <v>0</v>
      </c>
      <c r="Z55" s="145">
        <f t="shared" si="5"/>
        <v>0</v>
      </c>
      <c r="AA55" s="145">
        <f t="shared" si="6"/>
        <v>0</v>
      </c>
      <c r="AB55" s="145">
        <f t="shared" si="7"/>
        <v>0</v>
      </c>
      <c r="AC55" s="145">
        <f t="shared" si="8"/>
        <v>0</v>
      </c>
      <c r="AD55" s="145">
        <f t="shared" si="9"/>
        <v>0</v>
      </c>
      <c r="AE55" s="145">
        <f t="shared" si="10"/>
        <v>0</v>
      </c>
      <c r="AF55" s="145">
        <f t="shared" si="11"/>
        <v>0</v>
      </c>
      <c r="AG55" s="145">
        <f t="shared" si="12"/>
        <v>0</v>
      </c>
      <c r="AH55" s="147">
        <f t="shared" si="13"/>
        <v>0</v>
      </c>
      <c r="AI55" s="214">
        <f t="shared" si="14"/>
        <v>0</v>
      </c>
      <c r="AK55" s="145">
        <f t="shared" si="15"/>
        <v>0</v>
      </c>
    </row>
    <row r="56" spans="1:37" x14ac:dyDescent="0.25">
      <c r="A56" s="121">
        <f t="shared" si="0"/>
        <v>50</v>
      </c>
      <c r="B56" s="159" t="s">
        <v>121</v>
      </c>
      <c r="C56" s="159" t="s">
        <v>84</v>
      </c>
      <c r="D56" s="159" t="s">
        <v>122</v>
      </c>
      <c r="E56" s="159" t="s">
        <v>97</v>
      </c>
      <c r="F56" s="150">
        <v>-6.0600000000000003E-3</v>
      </c>
      <c r="G56" s="129"/>
      <c r="H56" s="163">
        <v>20000</v>
      </c>
      <c r="I56" s="163">
        <v>20000</v>
      </c>
      <c r="J56" s="163">
        <v>20000</v>
      </c>
      <c r="K56" s="163">
        <v>20000</v>
      </c>
      <c r="L56" s="163">
        <v>20000</v>
      </c>
      <c r="M56" s="163">
        <v>20000</v>
      </c>
      <c r="N56" s="163">
        <v>20000</v>
      </c>
      <c r="O56" s="163">
        <v>20000</v>
      </c>
      <c r="P56" s="163">
        <v>20000</v>
      </c>
      <c r="Q56" s="163">
        <v>20000</v>
      </c>
      <c r="R56" s="163">
        <v>20000</v>
      </c>
      <c r="S56" s="163">
        <v>20000</v>
      </c>
      <c r="T56" s="164">
        <v>0</v>
      </c>
      <c r="U56" s="129"/>
      <c r="V56" s="143">
        <f t="shared" si="1"/>
        <v>-121.2</v>
      </c>
      <c r="W56" s="143">
        <f t="shared" si="2"/>
        <v>-121.2</v>
      </c>
      <c r="X56" s="143">
        <f t="shared" si="3"/>
        <v>-121.2</v>
      </c>
      <c r="Y56" s="143">
        <f t="shared" si="4"/>
        <v>-121.2</v>
      </c>
      <c r="Z56" s="143">
        <f t="shared" si="5"/>
        <v>-121.2</v>
      </c>
      <c r="AA56" s="143">
        <f t="shared" si="6"/>
        <v>-121.2</v>
      </c>
      <c r="AB56" s="143">
        <f t="shared" si="7"/>
        <v>-121.2</v>
      </c>
      <c r="AC56" s="143">
        <f t="shared" si="8"/>
        <v>-121.2</v>
      </c>
      <c r="AD56" s="143">
        <f t="shared" si="9"/>
        <v>-121.2</v>
      </c>
      <c r="AE56" s="143">
        <f t="shared" si="10"/>
        <v>-121.2</v>
      </c>
      <c r="AF56" s="143">
        <f t="shared" si="11"/>
        <v>-121.2</v>
      </c>
      <c r="AG56" s="143">
        <f t="shared" si="12"/>
        <v>-121.2</v>
      </c>
      <c r="AH56" s="148">
        <f t="shared" si="13"/>
        <v>0</v>
      </c>
      <c r="AI56" s="212">
        <f t="shared" si="14"/>
        <v>-1454.4000000000003</v>
      </c>
      <c r="AK56" s="143">
        <f t="shared" si="15"/>
        <v>-1520.8934621658932</v>
      </c>
    </row>
    <row r="57" spans="1:37" x14ac:dyDescent="0.25">
      <c r="A57" s="121">
        <f t="shared" si="0"/>
        <v>51</v>
      </c>
      <c r="B57" s="159" t="s">
        <v>122</v>
      </c>
      <c r="C57" s="159" t="s">
        <v>84</v>
      </c>
      <c r="D57" s="159" t="s">
        <v>122</v>
      </c>
      <c r="E57" s="159" t="s">
        <v>98</v>
      </c>
      <c r="F57" s="150">
        <v>-5.4200000000000003E-3</v>
      </c>
      <c r="G57" s="129"/>
      <c r="H57" s="163">
        <v>40000</v>
      </c>
      <c r="I57" s="163">
        <v>40000</v>
      </c>
      <c r="J57" s="163">
        <v>40000</v>
      </c>
      <c r="K57" s="163">
        <v>40000</v>
      </c>
      <c r="L57" s="163">
        <v>40000</v>
      </c>
      <c r="M57" s="163">
        <v>40000</v>
      </c>
      <c r="N57" s="163">
        <v>39094</v>
      </c>
      <c r="O57" s="163">
        <v>35907</v>
      </c>
      <c r="P57" s="163">
        <v>35545</v>
      </c>
      <c r="Q57" s="163">
        <v>35289</v>
      </c>
      <c r="R57" s="163">
        <v>38493</v>
      </c>
      <c r="S57" s="163">
        <v>40000</v>
      </c>
      <c r="T57" s="164">
        <v>0</v>
      </c>
      <c r="U57" s="129"/>
      <c r="V57" s="143">
        <f t="shared" si="1"/>
        <v>-216.8</v>
      </c>
      <c r="W57" s="143">
        <f t="shared" si="2"/>
        <v>-216.8</v>
      </c>
      <c r="X57" s="143">
        <f t="shared" si="3"/>
        <v>-216.8</v>
      </c>
      <c r="Y57" s="143">
        <f t="shared" si="4"/>
        <v>-216.8</v>
      </c>
      <c r="Z57" s="143">
        <f t="shared" si="5"/>
        <v>-216.8</v>
      </c>
      <c r="AA57" s="143">
        <f t="shared" si="6"/>
        <v>-216.8</v>
      </c>
      <c r="AB57" s="143">
        <f t="shared" si="7"/>
        <v>-211.89</v>
      </c>
      <c r="AC57" s="143">
        <f t="shared" si="8"/>
        <v>-194.62</v>
      </c>
      <c r="AD57" s="143">
        <f t="shared" si="9"/>
        <v>-192.65</v>
      </c>
      <c r="AE57" s="143">
        <f t="shared" si="10"/>
        <v>-191.27</v>
      </c>
      <c r="AF57" s="143">
        <f t="shared" si="11"/>
        <v>-208.63</v>
      </c>
      <c r="AG57" s="143">
        <f t="shared" si="12"/>
        <v>-216.8</v>
      </c>
      <c r="AH57" s="148">
        <f t="shared" si="13"/>
        <v>0</v>
      </c>
      <c r="AI57" s="212">
        <f t="shared" si="14"/>
        <v>-2516.6600000000003</v>
      </c>
      <c r="AK57" s="143">
        <f t="shared" si="15"/>
        <v>-2631.7187434642574</v>
      </c>
    </row>
    <row r="58" spans="1:37" x14ac:dyDescent="0.25">
      <c r="A58" s="121">
        <f t="shared" si="0"/>
        <v>52</v>
      </c>
      <c r="B58" s="159"/>
      <c r="C58" s="159" t="s">
        <v>84</v>
      </c>
      <c r="D58" s="159" t="s">
        <v>122</v>
      </c>
      <c r="E58" s="159" t="s">
        <v>111</v>
      </c>
      <c r="F58" s="150">
        <v>-4.1599999999999996E-3</v>
      </c>
      <c r="G58" s="129"/>
      <c r="H58" s="163">
        <v>23683</v>
      </c>
      <c r="I58" s="163">
        <v>26338</v>
      </c>
      <c r="J58" s="163">
        <v>25275</v>
      </c>
      <c r="K58" s="163">
        <v>20506</v>
      </c>
      <c r="L58" s="163">
        <v>22832</v>
      </c>
      <c r="M58" s="163">
        <v>21420</v>
      </c>
      <c r="N58" s="163">
        <v>12494</v>
      </c>
      <c r="O58" s="163">
        <v>5100</v>
      </c>
      <c r="P58" s="163">
        <v>2226</v>
      </c>
      <c r="Q58" s="163">
        <v>4887</v>
      </c>
      <c r="R58" s="163">
        <v>10129</v>
      </c>
      <c r="S58" s="163">
        <v>14995</v>
      </c>
      <c r="T58" s="164">
        <v>0</v>
      </c>
      <c r="U58" s="129"/>
      <c r="V58" s="143">
        <f t="shared" si="1"/>
        <v>-98.52</v>
      </c>
      <c r="W58" s="143">
        <f t="shared" si="2"/>
        <v>-109.57</v>
      </c>
      <c r="X58" s="143">
        <f t="shared" si="3"/>
        <v>-105.14</v>
      </c>
      <c r="Y58" s="143">
        <f t="shared" si="4"/>
        <v>-85.3</v>
      </c>
      <c r="Z58" s="143">
        <f t="shared" si="5"/>
        <v>-94.98</v>
      </c>
      <c r="AA58" s="143">
        <f t="shared" si="6"/>
        <v>-89.11</v>
      </c>
      <c r="AB58" s="143">
        <f t="shared" si="7"/>
        <v>-51.98</v>
      </c>
      <c r="AC58" s="143">
        <f t="shared" si="8"/>
        <v>-21.22</v>
      </c>
      <c r="AD58" s="143">
        <f t="shared" si="9"/>
        <v>-9.26</v>
      </c>
      <c r="AE58" s="143">
        <f t="shared" si="10"/>
        <v>-20.329999999999998</v>
      </c>
      <c r="AF58" s="143">
        <f t="shared" si="11"/>
        <v>-42.14</v>
      </c>
      <c r="AG58" s="143">
        <f t="shared" si="12"/>
        <v>-62.38</v>
      </c>
      <c r="AH58" s="148">
        <f t="shared" si="13"/>
        <v>0</v>
      </c>
      <c r="AI58" s="212">
        <f t="shared" si="14"/>
        <v>-789.93000000000006</v>
      </c>
      <c r="AK58" s="143">
        <f t="shared" si="15"/>
        <v>-826.04467310829466</v>
      </c>
    </row>
    <row r="59" spans="1:37" x14ac:dyDescent="0.25">
      <c r="A59" s="121">
        <f t="shared" si="0"/>
        <v>53</v>
      </c>
      <c r="B59" s="159"/>
      <c r="C59" s="159" t="s">
        <v>84</v>
      </c>
      <c r="D59" s="159" t="s">
        <v>122</v>
      </c>
      <c r="E59" s="159" t="s">
        <v>112</v>
      </c>
      <c r="F59" s="150">
        <v>-3.3300000000000001E-3</v>
      </c>
      <c r="G59" s="129"/>
      <c r="H59" s="163">
        <v>7420</v>
      </c>
      <c r="I59" s="163">
        <v>9389</v>
      </c>
      <c r="J59" s="163">
        <v>12820</v>
      </c>
      <c r="K59" s="163">
        <v>0</v>
      </c>
      <c r="L59" s="163">
        <v>983</v>
      </c>
      <c r="M59" s="163">
        <v>2907</v>
      </c>
      <c r="N59" s="163">
        <v>0</v>
      </c>
      <c r="O59" s="163">
        <v>0</v>
      </c>
      <c r="P59" s="163">
        <v>0</v>
      </c>
      <c r="Q59" s="163">
        <v>0</v>
      </c>
      <c r="R59" s="163">
        <v>0</v>
      </c>
      <c r="S59" s="163">
        <v>0</v>
      </c>
      <c r="T59" s="164">
        <v>0</v>
      </c>
      <c r="U59" s="129"/>
      <c r="V59" s="143">
        <f t="shared" si="1"/>
        <v>-24.71</v>
      </c>
      <c r="W59" s="143">
        <f t="shared" si="2"/>
        <v>-31.27</v>
      </c>
      <c r="X59" s="143">
        <f t="shared" si="3"/>
        <v>-42.69</v>
      </c>
      <c r="Y59" s="143">
        <f t="shared" si="4"/>
        <v>0</v>
      </c>
      <c r="Z59" s="143">
        <f t="shared" si="5"/>
        <v>-3.27</v>
      </c>
      <c r="AA59" s="143">
        <f t="shared" si="6"/>
        <v>-9.68</v>
      </c>
      <c r="AB59" s="143">
        <f t="shared" si="7"/>
        <v>0</v>
      </c>
      <c r="AC59" s="143">
        <f t="shared" si="8"/>
        <v>0</v>
      </c>
      <c r="AD59" s="143">
        <f t="shared" si="9"/>
        <v>0</v>
      </c>
      <c r="AE59" s="143">
        <f t="shared" si="10"/>
        <v>0</v>
      </c>
      <c r="AF59" s="143">
        <f t="shared" si="11"/>
        <v>0</v>
      </c>
      <c r="AG59" s="143">
        <f t="shared" si="12"/>
        <v>0</v>
      </c>
      <c r="AH59" s="148">
        <f t="shared" si="13"/>
        <v>0</v>
      </c>
      <c r="AI59" s="212">
        <f t="shared" si="14"/>
        <v>-111.62</v>
      </c>
      <c r="AK59" s="143">
        <f t="shared" si="15"/>
        <v>-116.72313548333125</v>
      </c>
    </row>
    <row r="60" spans="1:37" x14ac:dyDescent="0.25">
      <c r="A60" s="121">
        <f t="shared" si="0"/>
        <v>54</v>
      </c>
      <c r="B60" s="159"/>
      <c r="C60" s="159" t="s">
        <v>84</v>
      </c>
      <c r="D60" s="159" t="s">
        <v>122</v>
      </c>
      <c r="E60" s="159" t="s">
        <v>113</v>
      </c>
      <c r="F60" s="150">
        <v>-2.2200000000000002E-3</v>
      </c>
      <c r="G60" s="129"/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4">
        <v>0</v>
      </c>
      <c r="U60" s="129"/>
      <c r="V60" s="143">
        <f t="shared" si="1"/>
        <v>0</v>
      </c>
      <c r="W60" s="143">
        <f t="shared" si="2"/>
        <v>0</v>
      </c>
      <c r="X60" s="143">
        <f t="shared" si="3"/>
        <v>0</v>
      </c>
      <c r="Y60" s="143">
        <f t="shared" si="4"/>
        <v>0</v>
      </c>
      <c r="Z60" s="143">
        <f t="shared" si="5"/>
        <v>0</v>
      </c>
      <c r="AA60" s="143">
        <f t="shared" si="6"/>
        <v>0</v>
      </c>
      <c r="AB60" s="143">
        <f t="shared" si="7"/>
        <v>0</v>
      </c>
      <c r="AC60" s="143">
        <f t="shared" si="8"/>
        <v>0</v>
      </c>
      <c r="AD60" s="143">
        <f t="shared" si="9"/>
        <v>0</v>
      </c>
      <c r="AE60" s="143">
        <f t="shared" si="10"/>
        <v>0</v>
      </c>
      <c r="AF60" s="143">
        <f t="shared" si="11"/>
        <v>0</v>
      </c>
      <c r="AG60" s="143">
        <f t="shared" si="12"/>
        <v>0</v>
      </c>
      <c r="AH60" s="148">
        <f t="shared" si="13"/>
        <v>0</v>
      </c>
      <c r="AI60" s="212">
        <f t="shared" si="14"/>
        <v>0</v>
      </c>
      <c r="AK60" s="143">
        <f t="shared" si="15"/>
        <v>0</v>
      </c>
    </row>
    <row r="61" spans="1:37" x14ac:dyDescent="0.25">
      <c r="A61" s="121">
        <f t="shared" si="0"/>
        <v>55</v>
      </c>
      <c r="B61" s="160"/>
      <c r="C61" s="160" t="s">
        <v>84</v>
      </c>
      <c r="D61" s="160" t="s">
        <v>122</v>
      </c>
      <c r="E61" s="160" t="s">
        <v>114</v>
      </c>
      <c r="F61" s="149">
        <v>-8.3000000000000001E-4</v>
      </c>
      <c r="G61" s="127"/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2">
        <v>0</v>
      </c>
      <c r="U61" s="127"/>
      <c r="V61" s="142">
        <f t="shared" si="1"/>
        <v>0</v>
      </c>
      <c r="W61" s="142">
        <f t="shared" si="2"/>
        <v>0</v>
      </c>
      <c r="X61" s="142">
        <f t="shared" si="3"/>
        <v>0</v>
      </c>
      <c r="Y61" s="142">
        <f t="shared" si="4"/>
        <v>0</v>
      </c>
      <c r="Z61" s="142">
        <f t="shared" si="5"/>
        <v>0</v>
      </c>
      <c r="AA61" s="142">
        <f t="shared" si="6"/>
        <v>0</v>
      </c>
      <c r="AB61" s="142">
        <f t="shared" si="7"/>
        <v>0</v>
      </c>
      <c r="AC61" s="142">
        <f t="shared" si="8"/>
        <v>0</v>
      </c>
      <c r="AD61" s="142">
        <f t="shared" si="9"/>
        <v>0</v>
      </c>
      <c r="AE61" s="142">
        <f t="shared" si="10"/>
        <v>0</v>
      </c>
      <c r="AF61" s="142">
        <f t="shared" si="11"/>
        <v>0</v>
      </c>
      <c r="AG61" s="142">
        <f t="shared" si="12"/>
        <v>0</v>
      </c>
      <c r="AH61" s="147">
        <f t="shared" si="13"/>
        <v>0</v>
      </c>
      <c r="AI61" s="211">
        <f t="shared" si="14"/>
        <v>0</v>
      </c>
      <c r="AK61" s="142">
        <f t="shared" si="15"/>
        <v>0</v>
      </c>
    </row>
    <row r="62" spans="1:37" x14ac:dyDescent="0.25">
      <c r="A62" s="121">
        <f t="shared" si="0"/>
        <v>56</v>
      </c>
      <c r="B62" s="159" t="s">
        <v>123</v>
      </c>
      <c r="C62" s="159" t="s">
        <v>84</v>
      </c>
      <c r="D62" s="159" t="s">
        <v>124</v>
      </c>
      <c r="E62" s="159" t="s">
        <v>97</v>
      </c>
      <c r="F62" s="150">
        <v>0</v>
      </c>
      <c r="G62" s="129"/>
      <c r="H62" s="163">
        <v>18690</v>
      </c>
      <c r="I62" s="163">
        <v>17838</v>
      </c>
      <c r="J62" s="163">
        <v>17113</v>
      </c>
      <c r="K62" s="163">
        <v>14979</v>
      </c>
      <c r="L62" s="163">
        <v>10107</v>
      </c>
      <c r="M62" s="163">
        <v>10128</v>
      </c>
      <c r="N62" s="163">
        <v>10000</v>
      </c>
      <c r="O62" s="163">
        <v>10000</v>
      </c>
      <c r="P62" s="163">
        <v>10569</v>
      </c>
      <c r="Q62" s="163">
        <v>10000</v>
      </c>
      <c r="R62" s="163">
        <v>10138</v>
      </c>
      <c r="S62" s="163">
        <v>10000</v>
      </c>
      <c r="T62" s="164">
        <v>0</v>
      </c>
      <c r="U62" s="129"/>
      <c r="V62" s="143">
        <f t="shared" si="1"/>
        <v>0</v>
      </c>
      <c r="W62" s="143">
        <f t="shared" si="2"/>
        <v>0</v>
      </c>
      <c r="X62" s="143">
        <f t="shared" si="3"/>
        <v>0</v>
      </c>
      <c r="Y62" s="143">
        <f t="shared" si="4"/>
        <v>0</v>
      </c>
      <c r="Z62" s="143">
        <f t="shared" si="5"/>
        <v>0</v>
      </c>
      <c r="AA62" s="143">
        <f t="shared" si="6"/>
        <v>0</v>
      </c>
      <c r="AB62" s="143">
        <f t="shared" si="7"/>
        <v>0</v>
      </c>
      <c r="AC62" s="143">
        <f t="shared" si="8"/>
        <v>0</v>
      </c>
      <c r="AD62" s="143">
        <f t="shared" si="9"/>
        <v>0</v>
      </c>
      <c r="AE62" s="143">
        <f t="shared" si="10"/>
        <v>0</v>
      </c>
      <c r="AF62" s="143">
        <f t="shared" si="11"/>
        <v>0</v>
      </c>
      <c r="AG62" s="143">
        <f t="shared" si="12"/>
        <v>0</v>
      </c>
      <c r="AH62" s="148">
        <f t="shared" si="13"/>
        <v>0</v>
      </c>
      <c r="AI62" s="212">
        <f t="shared" si="14"/>
        <v>0</v>
      </c>
      <c r="AK62" s="143">
        <f t="shared" si="15"/>
        <v>0</v>
      </c>
    </row>
    <row r="63" spans="1:37" x14ac:dyDescent="0.25">
      <c r="A63" s="121">
        <f t="shared" si="0"/>
        <v>57</v>
      </c>
      <c r="B63" s="159" t="s">
        <v>124</v>
      </c>
      <c r="C63" s="159" t="s">
        <v>84</v>
      </c>
      <c r="D63" s="159" t="s">
        <v>124</v>
      </c>
      <c r="E63" s="159" t="s">
        <v>98</v>
      </c>
      <c r="F63" s="150">
        <v>0</v>
      </c>
      <c r="G63" s="129"/>
      <c r="H63" s="163">
        <v>7471</v>
      </c>
      <c r="I63" s="163">
        <v>4903</v>
      </c>
      <c r="J63" s="163">
        <v>8532</v>
      </c>
      <c r="K63" s="163">
        <v>11275</v>
      </c>
      <c r="L63" s="163">
        <v>15609</v>
      </c>
      <c r="M63" s="163">
        <v>15027</v>
      </c>
      <c r="N63" s="163">
        <v>13589</v>
      </c>
      <c r="O63" s="163">
        <v>10245</v>
      </c>
      <c r="P63" s="163">
        <v>2507</v>
      </c>
      <c r="Q63" s="163">
        <v>1897</v>
      </c>
      <c r="R63" s="163">
        <v>5680</v>
      </c>
      <c r="S63" s="163">
        <v>10696</v>
      </c>
      <c r="T63" s="164">
        <v>0</v>
      </c>
      <c r="U63" s="129"/>
      <c r="V63" s="143">
        <f t="shared" si="1"/>
        <v>0</v>
      </c>
      <c r="W63" s="143">
        <f t="shared" si="2"/>
        <v>0</v>
      </c>
      <c r="X63" s="143">
        <f t="shared" si="3"/>
        <v>0</v>
      </c>
      <c r="Y63" s="143">
        <f t="shared" si="4"/>
        <v>0</v>
      </c>
      <c r="Z63" s="143">
        <f t="shared" si="5"/>
        <v>0</v>
      </c>
      <c r="AA63" s="143">
        <f t="shared" si="6"/>
        <v>0</v>
      </c>
      <c r="AB63" s="143">
        <f t="shared" si="7"/>
        <v>0</v>
      </c>
      <c r="AC63" s="143">
        <f t="shared" si="8"/>
        <v>0</v>
      </c>
      <c r="AD63" s="143">
        <f t="shared" si="9"/>
        <v>0</v>
      </c>
      <c r="AE63" s="143">
        <f t="shared" si="10"/>
        <v>0</v>
      </c>
      <c r="AF63" s="143">
        <f t="shared" si="11"/>
        <v>0</v>
      </c>
      <c r="AG63" s="143">
        <f t="shared" si="12"/>
        <v>0</v>
      </c>
      <c r="AH63" s="148">
        <f t="shared" si="13"/>
        <v>0</v>
      </c>
      <c r="AI63" s="212">
        <f t="shared" si="14"/>
        <v>0</v>
      </c>
      <c r="AK63" s="143">
        <f t="shared" si="15"/>
        <v>0</v>
      </c>
    </row>
    <row r="64" spans="1:37" x14ac:dyDescent="0.25">
      <c r="A64" s="121">
        <f t="shared" si="0"/>
        <v>58</v>
      </c>
      <c r="B64" s="159"/>
      <c r="C64" s="159" t="s">
        <v>84</v>
      </c>
      <c r="D64" s="159" t="s">
        <v>124</v>
      </c>
      <c r="E64" s="159" t="s">
        <v>111</v>
      </c>
      <c r="F64" s="150">
        <v>0</v>
      </c>
      <c r="G64" s="129"/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v>0</v>
      </c>
      <c r="N64" s="163">
        <v>0</v>
      </c>
      <c r="O64" s="163">
        <v>0</v>
      </c>
      <c r="P64" s="163">
        <v>0</v>
      </c>
      <c r="Q64" s="163">
        <v>0</v>
      </c>
      <c r="R64" s="163">
        <v>0</v>
      </c>
      <c r="S64" s="163">
        <v>0</v>
      </c>
      <c r="T64" s="164">
        <v>0</v>
      </c>
      <c r="U64" s="129"/>
      <c r="V64" s="143">
        <f t="shared" si="1"/>
        <v>0</v>
      </c>
      <c r="W64" s="143">
        <f t="shared" si="2"/>
        <v>0</v>
      </c>
      <c r="X64" s="143">
        <f t="shared" si="3"/>
        <v>0</v>
      </c>
      <c r="Y64" s="143">
        <f t="shared" si="4"/>
        <v>0</v>
      </c>
      <c r="Z64" s="143">
        <f t="shared" si="5"/>
        <v>0</v>
      </c>
      <c r="AA64" s="143">
        <f t="shared" si="6"/>
        <v>0</v>
      </c>
      <c r="AB64" s="143">
        <f t="shared" si="7"/>
        <v>0</v>
      </c>
      <c r="AC64" s="143">
        <f t="shared" si="8"/>
        <v>0</v>
      </c>
      <c r="AD64" s="143">
        <f t="shared" si="9"/>
        <v>0</v>
      </c>
      <c r="AE64" s="143">
        <f t="shared" si="10"/>
        <v>0</v>
      </c>
      <c r="AF64" s="143">
        <f t="shared" si="11"/>
        <v>0</v>
      </c>
      <c r="AG64" s="143">
        <f t="shared" si="12"/>
        <v>0</v>
      </c>
      <c r="AH64" s="148">
        <f t="shared" si="13"/>
        <v>0</v>
      </c>
      <c r="AI64" s="212">
        <f t="shared" si="14"/>
        <v>0</v>
      </c>
      <c r="AK64" s="143">
        <f t="shared" si="15"/>
        <v>0</v>
      </c>
    </row>
    <row r="65" spans="1:37" x14ac:dyDescent="0.25">
      <c r="A65" s="121">
        <f t="shared" si="0"/>
        <v>59</v>
      </c>
      <c r="B65" s="159"/>
      <c r="C65" s="159" t="s">
        <v>84</v>
      </c>
      <c r="D65" s="159" t="s">
        <v>124</v>
      </c>
      <c r="E65" s="159" t="s">
        <v>112</v>
      </c>
      <c r="F65" s="150">
        <v>0</v>
      </c>
      <c r="G65" s="129"/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v>0</v>
      </c>
      <c r="P65" s="163">
        <v>0</v>
      </c>
      <c r="Q65" s="163">
        <v>0</v>
      </c>
      <c r="R65" s="163">
        <v>0</v>
      </c>
      <c r="S65" s="163">
        <v>0</v>
      </c>
      <c r="T65" s="164">
        <v>0</v>
      </c>
      <c r="U65" s="129"/>
      <c r="V65" s="143">
        <f t="shared" si="1"/>
        <v>0</v>
      </c>
      <c r="W65" s="143">
        <f t="shared" si="2"/>
        <v>0</v>
      </c>
      <c r="X65" s="143">
        <f t="shared" si="3"/>
        <v>0</v>
      </c>
      <c r="Y65" s="143">
        <f t="shared" si="4"/>
        <v>0</v>
      </c>
      <c r="Z65" s="143">
        <f t="shared" si="5"/>
        <v>0</v>
      </c>
      <c r="AA65" s="143">
        <f t="shared" si="6"/>
        <v>0</v>
      </c>
      <c r="AB65" s="143">
        <f t="shared" si="7"/>
        <v>0</v>
      </c>
      <c r="AC65" s="143">
        <f t="shared" si="8"/>
        <v>0</v>
      </c>
      <c r="AD65" s="143">
        <f t="shared" si="9"/>
        <v>0</v>
      </c>
      <c r="AE65" s="143">
        <f t="shared" si="10"/>
        <v>0</v>
      </c>
      <c r="AF65" s="143">
        <f t="shared" si="11"/>
        <v>0</v>
      </c>
      <c r="AG65" s="143">
        <f t="shared" si="12"/>
        <v>0</v>
      </c>
      <c r="AH65" s="148">
        <f t="shared" si="13"/>
        <v>0</v>
      </c>
      <c r="AI65" s="212">
        <f t="shared" si="14"/>
        <v>0</v>
      </c>
      <c r="AK65" s="143">
        <f t="shared" si="15"/>
        <v>0</v>
      </c>
    </row>
    <row r="66" spans="1:37" x14ac:dyDescent="0.25">
      <c r="A66" s="121">
        <f t="shared" si="0"/>
        <v>60</v>
      </c>
      <c r="B66" s="159"/>
      <c r="C66" s="159" t="s">
        <v>84</v>
      </c>
      <c r="D66" s="159" t="s">
        <v>124</v>
      </c>
      <c r="E66" s="159" t="s">
        <v>113</v>
      </c>
      <c r="F66" s="150">
        <v>0</v>
      </c>
      <c r="G66" s="129"/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v>0</v>
      </c>
      <c r="N66" s="163">
        <v>0</v>
      </c>
      <c r="O66" s="163">
        <v>0</v>
      </c>
      <c r="P66" s="163">
        <v>0</v>
      </c>
      <c r="Q66" s="163">
        <v>0</v>
      </c>
      <c r="R66" s="163">
        <v>0</v>
      </c>
      <c r="S66" s="163">
        <v>0</v>
      </c>
      <c r="T66" s="164">
        <v>0</v>
      </c>
      <c r="U66" s="129"/>
      <c r="V66" s="143">
        <f t="shared" si="1"/>
        <v>0</v>
      </c>
      <c r="W66" s="143">
        <f t="shared" si="2"/>
        <v>0</v>
      </c>
      <c r="X66" s="143">
        <f t="shared" si="3"/>
        <v>0</v>
      </c>
      <c r="Y66" s="143">
        <f t="shared" si="4"/>
        <v>0</v>
      </c>
      <c r="Z66" s="143">
        <f t="shared" si="5"/>
        <v>0</v>
      </c>
      <c r="AA66" s="143">
        <f t="shared" si="6"/>
        <v>0</v>
      </c>
      <c r="AB66" s="143">
        <f t="shared" si="7"/>
        <v>0</v>
      </c>
      <c r="AC66" s="143">
        <f t="shared" si="8"/>
        <v>0</v>
      </c>
      <c r="AD66" s="143">
        <f t="shared" si="9"/>
        <v>0</v>
      </c>
      <c r="AE66" s="143">
        <f t="shared" si="10"/>
        <v>0</v>
      </c>
      <c r="AF66" s="143">
        <f t="shared" si="11"/>
        <v>0</v>
      </c>
      <c r="AG66" s="143">
        <f t="shared" si="12"/>
        <v>0</v>
      </c>
      <c r="AH66" s="148">
        <f t="shared" si="13"/>
        <v>0</v>
      </c>
      <c r="AI66" s="212">
        <f t="shared" si="14"/>
        <v>0</v>
      </c>
      <c r="AK66" s="143">
        <f t="shared" si="15"/>
        <v>0</v>
      </c>
    </row>
    <row r="67" spans="1:37" x14ac:dyDescent="0.25">
      <c r="A67" s="121">
        <f t="shared" si="0"/>
        <v>61</v>
      </c>
      <c r="B67" s="160"/>
      <c r="C67" s="160" t="s">
        <v>84</v>
      </c>
      <c r="D67" s="160" t="s">
        <v>124</v>
      </c>
      <c r="E67" s="160" t="s">
        <v>114</v>
      </c>
      <c r="F67" s="149">
        <v>0</v>
      </c>
      <c r="G67" s="127"/>
      <c r="H67" s="166">
        <v>0</v>
      </c>
      <c r="I67" s="166">
        <v>0</v>
      </c>
      <c r="J67" s="161">
        <v>0</v>
      </c>
      <c r="K67" s="161">
        <v>0</v>
      </c>
      <c r="L67" s="161">
        <v>0</v>
      </c>
      <c r="M67" s="161">
        <v>0</v>
      </c>
      <c r="N67" s="161">
        <v>0</v>
      </c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2">
        <v>0</v>
      </c>
      <c r="U67" s="127"/>
      <c r="V67" s="145">
        <f t="shared" si="1"/>
        <v>0</v>
      </c>
      <c r="W67" s="145">
        <f t="shared" si="2"/>
        <v>0</v>
      </c>
      <c r="X67" s="145">
        <f t="shared" si="3"/>
        <v>0</v>
      </c>
      <c r="Y67" s="145">
        <f t="shared" si="4"/>
        <v>0</v>
      </c>
      <c r="Z67" s="145">
        <f t="shared" si="5"/>
        <v>0</v>
      </c>
      <c r="AA67" s="145">
        <f t="shared" si="6"/>
        <v>0</v>
      </c>
      <c r="AB67" s="145">
        <f t="shared" si="7"/>
        <v>0</v>
      </c>
      <c r="AC67" s="145">
        <f t="shared" si="8"/>
        <v>0</v>
      </c>
      <c r="AD67" s="145">
        <f t="shared" si="9"/>
        <v>0</v>
      </c>
      <c r="AE67" s="145">
        <f t="shared" si="10"/>
        <v>0</v>
      </c>
      <c r="AF67" s="145">
        <f t="shared" si="11"/>
        <v>0</v>
      </c>
      <c r="AG67" s="145">
        <f t="shared" si="12"/>
        <v>0</v>
      </c>
      <c r="AH67" s="147">
        <f t="shared" si="13"/>
        <v>0</v>
      </c>
      <c r="AI67" s="214">
        <f t="shared" si="14"/>
        <v>0</v>
      </c>
      <c r="AK67" s="145">
        <f t="shared" si="15"/>
        <v>0</v>
      </c>
    </row>
    <row r="68" spans="1:37" x14ac:dyDescent="0.25">
      <c r="A68" s="121">
        <f t="shared" si="0"/>
        <v>62</v>
      </c>
      <c r="B68" s="159" t="s">
        <v>125</v>
      </c>
      <c r="C68" s="159" t="s">
        <v>84</v>
      </c>
      <c r="D68" s="159" t="s">
        <v>126</v>
      </c>
      <c r="E68" s="159" t="s">
        <v>97</v>
      </c>
      <c r="F68" s="150">
        <v>0</v>
      </c>
      <c r="G68" s="129"/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3">
        <v>0</v>
      </c>
      <c r="Q68" s="163">
        <v>0</v>
      </c>
      <c r="R68" s="163">
        <v>0</v>
      </c>
      <c r="S68" s="163">
        <v>0</v>
      </c>
      <c r="T68" s="164">
        <v>0</v>
      </c>
      <c r="U68" s="129"/>
      <c r="V68" s="143">
        <f t="shared" si="1"/>
        <v>0</v>
      </c>
      <c r="W68" s="143">
        <f t="shared" si="2"/>
        <v>0</v>
      </c>
      <c r="X68" s="143">
        <f t="shared" si="3"/>
        <v>0</v>
      </c>
      <c r="Y68" s="143">
        <f t="shared" si="4"/>
        <v>0</v>
      </c>
      <c r="Z68" s="143">
        <f t="shared" si="5"/>
        <v>0</v>
      </c>
      <c r="AA68" s="143">
        <f t="shared" si="6"/>
        <v>0</v>
      </c>
      <c r="AB68" s="143">
        <f t="shared" si="7"/>
        <v>0</v>
      </c>
      <c r="AC68" s="143">
        <f t="shared" si="8"/>
        <v>0</v>
      </c>
      <c r="AD68" s="143">
        <f t="shared" si="9"/>
        <v>0</v>
      </c>
      <c r="AE68" s="143">
        <f t="shared" si="10"/>
        <v>0</v>
      </c>
      <c r="AF68" s="143">
        <f t="shared" si="11"/>
        <v>0</v>
      </c>
      <c r="AG68" s="143">
        <f t="shared" si="12"/>
        <v>0</v>
      </c>
      <c r="AH68" s="148">
        <f t="shared" si="13"/>
        <v>0</v>
      </c>
      <c r="AI68" s="212">
        <f t="shared" si="14"/>
        <v>0</v>
      </c>
      <c r="AK68" s="143">
        <f t="shared" si="15"/>
        <v>0</v>
      </c>
    </row>
    <row r="69" spans="1:37" x14ac:dyDescent="0.25">
      <c r="A69" s="121">
        <f t="shared" si="0"/>
        <v>63</v>
      </c>
      <c r="B69" s="159" t="s">
        <v>126</v>
      </c>
      <c r="C69" s="159" t="s">
        <v>84</v>
      </c>
      <c r="D69" s="159" t="s">
        <v>126</v>
      </c>
      <c r="E69" s="159" t="s">
        <v>98</v>
      </c>
      <c r="F69" s="150">
        <v>0</v>
      </c>
      <c r="G69" s="129"/>
      <c r="H69" s="163">
        <v>0</v>
      </c>
      <c r="I69" s="163">
        <v>0</v>
      </c>
      <c r="J69" s="163">
        <v>0</v>
      </c>
      <c r="K69" s="163">
        <v>0</v>
      </c>
      <c r="L69" s="163">
        <v>0</v>
      </c>
      <c r="M69" s="163">
        <v>0</v>
      </c>
      <c r="N69" s="163">
        <v>0</v>
      </c>
      <c r="O69" s="163">
        <v>0</v>
      </c>
      <c r="P69" s="163">
        <v>0</v>
      </c>
      <c r="Q69" s="163">
        <v>0</v>
      </c>
      <c r="R69" s="163">
        <v>0</v>
      </c>
      <c r="S69" s="163">
        <v>0</v>
      </c>
      <c r="T69" s="164">
        <v>0</v>
      </c>
      <c r="U69" s="129"/>
      <c r="V69" s="143">
        <f t="shared" si="1"/>
        <v>0</v>
      </c>
      <c r="W69" s="143">
        <f t="shared" si="2"/>
        <v>0</v>
      </c>
      <c r="X69" s="143">
        <f t="shared" si="3"/>
        <v>0</v>
      </c>
      <c r="Y69" s="143">
        <f t="shared" si="4"/>
        <v>0</v>
      </c>
      <c r="Z69" s="143">
        <f t="shared" si="5"/>
        <v>0</v>
      </c>
      <c r="AA69" s="143">
        <f t="shared" si="6"/>
        <v>0</v>
      </c>
      <c r="AB69" s="143">
        <f t="shared" si="7"/>
        <v>0</v>
      </c>
      <c r="AC69" s="143">
        <f t="shared" si="8"/>
        <v>0</v>
      </c>
      <c r="AD69" s="143">
        <f t="shared" si="9"/>
        <v>0</v>
      </c>
      <c r="AE69" s="143">
        <f t="shared" si="10"/>
        <v>0</v>
      </c>
      <c r="AF69" s="143">
        <f t="shared" si="11"/>
        <v>0</v>
      </c>
      <c r="AG69" s="143">
        <f t="shared" si="12"/>
        <v>0</v>
      </c>
      <c r="AH69" s="148">
        <f t="shared" si="13"/>
        <v>0</v>
      </c>
      <c r="AI69" s="212">
        <f t="shared" si="14"/>
        <v>0</v>
      </c>
      <c r="AK69" s="143">
        <f t="shared" si="15"/>
        <v>0</v>
      </c>
    </row>
    <row r="70" spans="1:37" x14ac:dyDescent="0.25">
      <c r="A70" s="121">
        <f t="shared" si="0"/>
        <v>64</v>
      </c>
      <c r="B70" s="159"/>
      <c r="C70" s="159" t="s">
        <v>84</v>
      </c>
      <c r="D70" s="159" t="s">
        <v>126</v>
      </c>
      <c r="E70" s="159" t="s">
        <v>111</v>
      </c>
      <c r="F70" s="150">
        <v>0</v>
      </c>
      <c r="G70" s="129"/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v>0</v>
      </c>
      <c r="P70" s="163">
        <v>0</v>
      </c>
      <c r="Q70" s="163">
        <v>0</v>
      </c>
      <c r="R70" s="163">
        <v>0</v>
      </c>
      <c r="S70" s="163">
        <v>0</v>
      </c>
      <c r="T70" s="164">
        <v>0</v>
      </c>
      <c r="U70" s="129"/>
      <c r="V70" s="143">
        <f t="shared" si="1"/>
        <v>0</v>
      </c>
      <c r="W70" s="143">
        <f t="shared" si="2"/>
        <v>0</v>
      </c>
      <c r="X70" s="143">
        <f t="shared" si="3"/>
        <v>0</v>
      </c>
      <c r="Y70" s="143">
        <f t="shared" si="4"/>
        <v>0</v>
      </c>
      <c r="Z70" s="143">
        <f t="shared" si="5"/>
        <v>0</v>
      </c>
      <c r="AA70" s="143">
        <f t="shared" si="6"/>
        <v>0</v>
      </c>
      <c r="AB70" s="143">
        <f t="shared" si="7"/>
        <v>0</v>
      </c>
      <c r="AC70" s="143">
        <f t="shared" si="8"/>
        <v>0</v>
      </c>
      <c r="AD70" s="143">
        <f t="shared" si="9"/>
        <v>0</v>
      </c>
      <c r="AE70" s="143">
        <f t="shared" si="10"/>
        <v>0</v>
      </c>
      <c r="AF70" s="143">
        <f t="shared" si="11"/>
        <v>0</v>
      </c>
      <c r="AG70" s="143">
        <f t="shared" si="12"/>
        <v>0</v>
      </c>
      <c r="AH70" s="148">
        <f t="shared" si="13"/>
        <v>0</v>
      </c>
      <c r="AI70" s="212">
        <f t="shared" si="14"/>
        <v>0</v>
      </c>
      <c r="AK70" s="143">
        <f t="shared" si="15"/>
        <v>0</v>
      </c>
    </row>
    <row r="71" spans="1:37" x14ac:dyDescent="0.25">
      <c r="A71" s="121">
        <f t="shared" si="0"/>
        <v>65</v>
      </c>
      <c r="B71" s="159"/>
      <c r="C71" s="159" t="s">
        <v>84</v>
      </c>
      <c r="D71" s="159" t="s">
        <v>126</v>
      </c>
      <c r="E71" s="159" t="s">
        <v>112</v>
      </c>
      <c r="F71" s="150">
        <v>0</v>
      </c>
      <c r="G71" s="129"/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3">
        <v>0</v>
      </c>
      <c r="Q71" s="163">
        <v>0</v>
      </c>
      <c r="R71" s="163">
        <v>0</v>
      </c>
      <c r="S71" s="163">
        <v>0</v>
      </c>
      <c r="T71" s="164">
        <v>0</v>
      </c>
      <c r="U71" s="129"/>
      <c r="V71" s="143">
        <f t="shared" si="1"/>
        <v>0</v>
      </c>
      <c r="W71" s="143">
        <f t="shared" si="2"/>
        <v>0</v>
      </c>
      <c r="X71" s="143">
        <f t="shared" si="3"/>
        <v>0</v>
      </c>
      <c r="Y71" s="143">
        <f t="shared" si="4"/>
        <v>0</v>
      </c>
      <c r="Z71" s="143">
        <f t="shared" si="5"/>
        <v>0</v>
      </c>
      <c r="AA71" s="143">
        <f t="shared" si="6"/>
        <v>0</v>
      </c>
      <c r="AB71" s="143">
        <f t="shared" si="7"/>
        <v>0</v>
      </c>
      <c r="AC71" s="143">
        <f t="shared" si="8"/>
        <v>0</v>
      </c>
      <c r="AD71" s="143">
        <f t="shared" si="9"/>
        <v>0</v>
      </c>
      <c r="AE71" s="143">
        <f t="shared" si="10"/>
        <v>0</v>
      </c>
      <c r="AF71" s="143">
        <f t="shared" si="11"/>
        <v>0</v>
      </c>
      <c r="AG71" s="143">
        <f t="shared" si="12"/>
        <v>0</v>
      </c>
      <c r="AH71" s="148">
        <f t="shared" si="13"/>
        <v>0</v>
      </c>
      <c r="AI71" s="212">
        <f t="shared" si="14"/>
        <v>0</v>
      </c>
      <c r="AK71" s="143">
        <f t="shared" si="15"/>
        <v>0</v>
      </c>
    </row>
    <row r="72" spans="1:37" x14ac:dyDescent="0.25">
      <c r="A72" s="121">
        <f t="shared" ref="A72:A95" si="16">+A71+1</f>
        <v>66</v>
      </c>
      <c r="B72" s="159"/>
      <c r="C72" s="159" t="s">
        <v>84</v>
      </c>
      <c r="D72" s="159" t="s">
        <v>126</v>
      </c>
      <c r="E72" s="159" t="s">
        <v>113</v>
      </c>
      <c r="F72" s="150">
        <v>0</v>
      </c>
      <c r="G72" s="129"/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3">
        <v>0</v>
      </c>
      <c r="T72" s="164">
        <v>0</v>
      </c>
      <c r="U72" s="129"/>
      <c r="V72" s="143">
        <f t="shared" si="1"/>
        <v>0</v>
      </c>
      <c r="W72" s="143">
        <f t="shared" si="2"/>
        <v>0</v>
      </c>
      <c r="X72" s="143">
        <f t="shared" si="3"/>
        <v>0</v>
      </c>
      <c r="Y72" s="143">
        <f t="shared" si="4"/>
        <v>0</v>
      </c>
      <c r="Z72" s="143">
        <f t="shared" si="5"/>
        <v>0</v>
      </c>
      <c r="AA72" s="143">
        <f t="shared" si="6"/>
        <v>0</v>
      </c>
      <c r="AB72" s="143">
        <f t="shared" si="7"/>
        <v>0</v>
      </c>
      <c r="AC72" s="143">
        <f t="shared" si="8"/>
        <v>0</v>
      </c>
      <c r="AD72" s="143">
        <f t="shared" si="9"/>
        <v>0</v>
      </c>
      <c r="AE72" s="143">
        <f t="shared" si="10"/>
        <v>0</v>
      </c>
      <c r="AF72" s="143">
        <f t="shared" si="11"/>
        <v>0</v>
      </c>
      <c r="AG72" s="143">
        <f t="shared" si="12"/>
        <v>0</v>
      </c>
      <c r="AH72" s="148">
        <f t="shared" si="13"/>
        <v>0</v>
      </c>
      <c r="AI72" s="212">
        <f t="shared" si="14"/>
        <v>0</v>
      </c>
      <c r="AK72" s="143">
        <f t="shared" si="15"/>
        <v>0</v>
      </c>
    </row>
    <row r="73" spans="1:37" x14ac:dyDescent="0.25">
      <c r="A73" s="121">
        <f t="shared" si="16"/>
        <v>67</v>
      </c>
      <c r="B73" s="160"/>
      <c r="C73" s="160" t="s">
        <v>84</v>
      </c>
      <c r="D73" s="160" t="s">
        <v>126</v>
      </c>
      <c r="E73" s="160" t="s">
        <v>114</v>
      </c>
      <c r="F73" s="149">
        <v>0</v>
      </c>
      <c r="G73" s="127"/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>
        <v>0</v>
      </c>
      <c r="N73" s="161">
        <v>0</v>
      </c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2">
        <v>0</v>
      </c>
      <c r="U73" s="127"/>
      <c r="V73" s="142">
        <f t="shared" si="1"/>
        <v>0</v>
      </c>
      <c r="W73" s="142">
        <f t="shared" si="2"/>
        <v>0</v>
      </c>
      <c r="X73" s="142">
        <f t="shared" si="3"/>
        <v>0</v>
      </c>
      <c r="Y73" s="142">
        <f t="shared" si="4"/>
        <v>0</v>
      </c>
      <c r="Z73" s="142">
        <f t="shared" si="5"/>
        <v>0</v>
      </c>
      <c r="AA73" s="142">
        <f t="shared" si="6"/>
        <v>0</v>
      </c>
      <c r="AB73" s="142">
        <f t="shared" si="7"/>
        <v>0</v>
      </c>
      <c r="AC73" s="142">
        <f t="shared" si="8"/>
        <v>0</v>
      </c>
      <c r="AD73" s="142">
        <f t="shared" si="9"/>
        <v>0</v>
      </c>
      <c r="AE73" s="142">
        <f t="shared" si="10"/>
        <v>0</v>
      </c>
      <c r="AF73" s="142">
        <f t="shared" si="11"/>
        <v>0</v>
      </c>
      <c r="AG73" s="142">
        <f t="shared" si="12"/>
        <v>0</v>
      </c>
      <c r="AH73" s="147">
        <f t="shared" si="13"/>
        <v>0</v>
      </c>
      <c r="AI73" s="211">
        <f t="shared" si="14"/>
        <v>0</v>
      </c>
      <c r="AK73" s="142">
        <f t="shared" si="15"/>
        <v>0</v>
      </c>
    </row>
    <row r="74" spans="1:37" x14ac:dyDescent="0.25">
      <c r="A74" s="121">
        <f t="shared" si="16"/>
        <v>68</v>
      </c>
      <c r="B74" s="159" t="s">
        <v>127</v>
      </c>
      <c r="C74" s="159" t="s">
        <v>84</v>
      </c>
      <c r="D74" s="159" t="s">
        <v>128</v>
      </c>
      <c r="E74" s="159" t="s">
        <v>97</v>
      </c>
      <c r="F74" s="150">
        <v>0</v>
      </c>
      <c r="G74" s="129"/>
      <c r="H74" s="167">
        <v>79289</v>
      </c>
      <c r="I74" s="167">
        <v>77340</v>
      </c>
      <c r="J74" s="163">
        <v>68671</v>
      </c>
      <c r="K74" s="163">
        <v>76239</v>
      </c>
      <c r="L74" s="163">
        <v>82763</v>
      </c>
      <c r="M74" s="163">
        <v>77374</v>
      </c>
      <c r="N74" s="163">
        <v>74785</v>
      </c>
      <c r="O74" s="163">
        <v>76427</v>
      </c>
      <c r="P74" s="163">
        <v>74103</v>
      </c>
      <c r="Q74" s="163">
        <v>73883</v>
      </c>
      <c r="R74" s="163">
        <v>74385</v>
      </c>
      <c r="S74" s="163">
        <v>74296</v>
      </c>
      <c r="T74" s="164">
        <v>0</v>
      </c>
      <c r="U74" s="129"/>
      <c r="V74" s="146">
        <f t="shared" si="1"/>
        <v>0</v>
      </c>
      <c r="W74" s="146">
        <f t="shared" si="2"/>
        <v>0</v>
      </c>
      <c r="X74" s="146">
        <f t="shared" si="3"/>
        <v>0</v>
      </c>
      <c r="Y74" s="146">
        <f t="shared" si="4"/>
        <v>0</v>
      </c>
      <c r="Z74" s="146">
        <f t="shared" si="5"/>
        <v>0</v>
      </c>
      <c r="AA74" s="146">
        <f t="shared" si="6"/>
        <v>0</v>
      </c>
      <c r="AB74" s="146">
        <f t="shared" si="7"/>
        <v>0</v>
      </c>
      <c r="AC74" s="146">
        <f t="shared" si="8"/>
        <v>0</v>
      </c>
      <c r="AD74" s="146">
        <f t="shared" si="9"/>
        <v>0</v>
      </c>
      <c r="AE74" s="146">
        <f t="shared" si="10"/>
        <v>0</v>
      </c>
      <c r="AF74" s="146">
        <f t="shared" si="11"/>
        <v>0</v>
      </c>
      <c r="AG74" s="146">
        <f t="shared" si="12"/>
        <v>0</v>
      </c>
      <c r="AH74" s="151">
        <f t="shared" si="13"/>
        <v>0</v>
      </c>
      <c r="AI74" s="215">
        <f t="shared" si="14"/>
        <v>0</v>
      </c>
      <c r="AK74" s="146">
        <f t="shared" si="15"/>
        <v>0</v>
      </c>
    </row>
    <row r="75" spans="1:37" x14ac:dyDescent="0.25">
      <c r="A75" s="121">
        <f t="shared" si="16"/>
        <v>69</v>
      </c>
      <c r="B75" s="159" t="s">
        <v>128</v>
      </c>
      <c r="C75" s="159" t="s">
        <v>84</v>
      </c>
      <c r="D75" s="159" t="s">
        <v>128</v>
      </c>
      <c r="E75" s="159" t="s">
        <v>98</v>
      </c>
      <c r="F75" s="150">
        <v>0</v>
      </c>
      <c r="G75" s="129"/>
      <c r="H75" s="167">
        <v>134252</v>
      </c>
      <c r="I75" s="167">
        <v>129636</v>
      </c>
      <c r="J75" s="163">
        <v>123408</v>
      </c>
      <c r="K75" s="163">
        <v>134574</v>
      </c>
      <c r="L75" s="163">
        <v>121797</v>
      </c>
      <c r="M75" s="163">
        <v>109113</v>
      </c>
      <c r="N75" s="163">
        <v>154402</v>
      </c>
      <c r="O75" s="163">
        <v>125411</v>
      </c>
      <c r="P75" s="163">
        <v>164492</v>
      </c>
      <c r="Q75" s="163">
        <v>169116</v>
      </c>
      <c r="R75" s="163">
        <v>144635</v>
      </c>
      <c r="S75" s="163">
        <v>153755</v>
      </c>
      <c r="T75" s="164">
        <v>0</v>
      </c>
      <c r="U75" s="129"/>
      <c r="V75" s="146">
        <f t="shared" si="1"/>
        <v>0</v>
      </c>
      <c r="W75" s="146">
        <f t="shared" si="2"/>
        <v>0</v>
      </c>
      <c r="X75" s="146">
        <f t="shared" si="3"/>
        <v>0</v>
      </c>
      <c r="Y75" s="146">
        <f t="shared" si="4"/>
        <v>0</v>
      </c>
      <c r="Z75" s="146">
        <f t="shared" si="5"/>
        <v>0</v>
      </c>
      <c r="AA75" s="146">
        <f t="shared" si="6"/>
        <v>0</v>
      </c>
      <c r="AB75" s="146">
        <f t="shared" si="7"/>
        <v>0</v>
      </c>
      <c r="AC75" s="146">
        <f t="shared" si="8"/>
        <v>0</v>
      </c>
      <c r="AD75" s="146">
        <f t="shared" si="9"/>
        <v>0</v>
      </c>
      <c r="AE75" s="146">
        <f t="shared" si="10"/>
        <v>0</v>
      </c>
      <c r="AF75" s="146">
        <f t="shared" si="11"/>
        <v>0</v>
      </c>
      <c r="AG75" s="146">
        <f t="shared" si="12"/>
        <v>0</v>
      </c>
      <c r="AH75" s="151">
        <f t="shared" si="13"/>
        <v>0</v>
      </c>
      <c r="AI75" s="215">
        <f t="shared" si="14"/>
        <v>0</v>
      </c>
      <c r="AK75" s="146">
        <f t="shared" si="15"/>
        <v>0</v>
      </c>
    </row>
    <row r="76" spans="1:37" x14ac:dyDescent="0.25">
      <c r="A76" s="121">
        <f t="shared" si="16"/>
        <v>70</v>
      </c>
      <c r="B76" s="159"/>
      <c r="C76" s="159" t="s">
        <v>84</v>
      </c>
      <c r="D76" s="159" t="s">
        <v>128</v>
      </c>
      <c r="E76" s="159" t="s">
        <v>111</v>
      </c>
      <c r="F76" s="150">
        <v>0</v>
      </c>
      <c r="G76" s="129"/>
      <c r="H76" s="167">
        <v>112807</v>
      </c>
      <c r="I76" s="167">
        <v>85730</v>
      </c>
      <c r="J76" s="163">
        <v>101716</v>
      </c>
      <c r="K76" s="163">
        <v>96168</v>
      </c>
      <c r="L76" s="163">
        <v>85365</v>
      </c>
      <c r="M76" s="163">
        <v>99197</v>
      </c>
      <c r="N76" s="163">
        <v>89430</v>
      </c>
      <c r="O76" s="163">
        <v>97241</v>
      </c>
      <c r="P76" s="163">
        <v>112852</v>
      </c>
      <c r="Q76" s="163">
        <v>122143</v>
      </c>
      <c r="R76" s="163">
        <v>120000</v>
      </c>
      <c r="S76" s="163">
        <v>130119</v>
      </c>
      <c r="T76" s="164">
        <v>0</v>
      </c>
      <c r="U76" s="129"/>
      <c r="V76" s="146">
        <f t="shared" si="1"/>
        <v>0</v>
      </c>
      <c r="W76" s="146">
        <f t="shared" si="2"/>
        <v>0</v>
      </c>
      <c r="X76" s="146">
        <f t="shared" si="3"/>
        <v>0</v>
      </c>
      <c r="Y76" s="146">
        <f t="shared" si="4"/>
        <v>0</v>
      </c>
      <c r="Z76" s="146">
        <f t="shared" si="5"/>
        <v>0</v>
      </c>
      <c r="AA76" s="146">
        <f t="shared" si="6"/>
        <v>0</v>
      </c>
      <c r="AB76" s="146">
        <f t="shared" si="7"/>
        <v>0</v>
      </c>
      <c r="AC76" s="146">
        <f t="shared" si="8"/>
        <v>0</v>
      </c>
      <c r="AD76" s="146">
        <f t="shared" si="9"/>
        <v>0</v>
      </c>
      <c r="AE76" s="146">
        <f t="shared" si="10"/>
        <v>0</v>
      </c>
      <c r="AF76" s="146">
        <f t="shared" si="11"/>
        <v>0</v>
      </c>
      <c r="AG76" s="146">
        <f t="shared" si="12"/>
        <v>0</v>
      </c>
      <c r="AH76" s="151">
        <f t="shared" si="13"/>
        <v>0</v>
      </c>
      <c r="AI76" s="215">
        <f t="shared" si="14"/>
        <v>0</v>
      </c>
      <c r="AK76" s="146">
        <f t="shared" si="15"/>
        <v>0</v>
      </c>
    </row>
    <row r="77" spans="1:37" x14ac:dyDescent="0.25">
      <c r="A77" s="121">
        <f t="shared" si="16"/>
        <v>71</v>
      </c>
      <c r="B77" s="159"/>
      <c r="C77" s="159" t="s">
        <v>84</v>
      </c>
      <c r="D77" s="159" t="s">
        <v>128</v>
      </c>
      <c r="E77" s="159" t="s">
        <v>112</v>
      </c>
      <c r="F77" s="150">
        <v>0</v>
      </c>
      <c r="G77" s="129"/>
      <c r="H77" s="167">
        <v>312801</v>
      </c>
      <c r="I77" s="167">
        <v>317405</v>
      </c>
      <c r="J77" s="163">
        <v>327435</v>
      </c>
      <c r="K77" s="163">
        <v>345450</v>
      </c>
      <c r="L77" s="163">
        <v>272506</v>
      </c>
      <c r="M77" s="163">
        <v>261621</v>
      </c>
      <c r="N77" s="163">
        <v>251243</v>
      </c>
      <c r="O77" s="163">
        <v>304993</v>
      </c>
      <c r="P77" s="163">
        <v>348611</v>
      </c>
      <c r="Q77" s="163">
        <v>397358</v>
      </c>
      <c r="R77" s="163">
        <v>455237</v>
      </c>
      <c r="S77" s="163">
        <v>395740</v>
      </c>
      <c r="T77" s="164">
        <v>0</v>
      </c>
      <c r="U77" s="129"/>
      <c r="V77" s="146">
        <f t="shared" si="1"/>
        <v>0</v>
      </c>
      <c r="W77" s="146">
        <f t="shared" si="2"/>
        <v>0</v>
      </c>
      <c r="X77" s="146">
        <f t="shared" si="3"/>
        <v>0</v>
      </c>
      <c r="Y77" s="146">
        <f t="shared" si="4"/>
        <v>0</v>
      </c>
      <c r="Z77" s="146">
        <f t="shared" si="5"/>
        <v>0</v>
      </c>
      <c r="AA77" s="146">
        <f t="shared" si="6"/>
        <v>0</v>
      </c>
      <c r="AB77" s="146">
        <f t="shared" si="7"/>
        <v>0</v>
      </c>
      <c r="AC77" s="146">
        <f t="shared" si="8"/>
        <v>0</v>
      </c>
      <c r="AD77" s="146">
        <f t="shared" si="9"/>
        <v>0</v>
      </c>
      <c r="AE77" s="146">
        <f t="shared" si="10"/>
        <v>0</v>
      </c>
      <c r="AF77" s="146">
        <f t="shared" si="11"/>
        <v>0</v>
      </c>
      <c r="AG77" s="146">
        <f t="shared" si="12"/>
        <v>0</v>
      </c>
      <c r="AH77" s="151">
        <f t="shared" si="13"/>
        <v>0</v>
      </c>
      <c r="AI77" s="215">
        <f t="shared" si="14"/>
        <v>0</v>
      </c>
      <c r="AK77" s="146">
        <f t="shared" si="15"/>
        <v>0</v>
      </c>
    </row>
    <row r="78" spans="1:37" x14ac:dyDescent="0.25">
      <c r="A78" s="121">
        <f t="shared" si="16"/>
        <v>72</v>
      </c>
      <c r="B78" s="159"/>
      <c r="C78" s="159" t="s">
        <v>84</v>
      </c>
      <c r="D78" s="159" t="s">
        <v>128</v>
      </c>
      <c r="E78" s="159" t="s">
        <v>113</v>
      </c>
      <c r="F78" s="150">
        <v>0</v>
      </c>
      <c r="G78" s="129"/>
      <c r="H78" s="167">
        <v>192748</v>
      </c>
      <c r="I78" s="167">
        <v>277877</v>
      </c>
      <c r="J78" s="163">
        <v>276363</v>
      </c>
      <c r="K78" s="163">
        <v>107844</v>
      </c>
      <c r="L78" s="163">
        <v>171428</v>
      </c>
      <c r="M78" s="163">
        <v>187198</v>
      </c>
      <c r="N78" s="163">
        <v>146353</v>
      </c>
      <c r="O78" s="163">
        <v>150578</v>
      </c>
      <c r="P78" s="163">
        <v>117079</v>
      </c>
      <c r="Q78" s="163">
        <v>129720</v>
      </c>
      <c r="R78" s="163">
        <v>318207</v>
      </c>
      <c r="S78" s="163">
        <v>312583</v>
      </c>
      <c r="T78" s="164">
        <v>0</v>
      </c>
      <c r="U78" s="129"/>
      <c r="V78" s="146">
        <f t="shared" si="1"/>
        <v>0</v>
      </c>
      <c r="W78" s="146">
        <f t="shared" si="2"/>
        <v>0</v>
      </c>
      <c r="X78" s="146">
        <f t="shared" si="3"/>
        <v>0</v>
      </c>
      <c r="Y78" s="146">
        <f t="shared" si="4"/>
        <v>0</v>
      </c>
      <c r="Z78" s="146">
        <f t="shared" si="5"/>
        <v>0</v>
      </c>
      <c r="AA78" s="146">
        <f t="shared" si="6"/>
        <v>0</v>
      </c>
      <c r="AB78" s="146">
        <f t="shared" si="7"/>
        <v>0</v>
      </c>
      <c r="AC78" s="146">
        <f t="shared" si="8"/>
        <v>0</v>
      </c>
      <c r="AD78" s="146">
        <f t="shared" si="9"/>
        <v>0</v>
      </c>
      <c r="AE78" s="146">
        <f t="shared" si="10"/>
        <v>0</v>
      </c>
      <c r="AF78" s="146">
        <f t="shared" si="11"/>
        <v>0</v>
      </c>
      <c r="AG78" s="146">
        <f t="shared" si="12"/>
        <v>0</v>
      </c>
      <c r="AH78" s="151">
        <f t="shared" si="13"/>
        <v>0</v>
      </c>
      <c r="AI78" s="215">
        <f t="shared" si="14"/>
        <v>0</v>
      </c>
      <c r="AK78" s="146">
        <f t="shared" si="15"/>
        <v>0</v>
      </c>
    </row>
    <row r="79" spans="1:37" x14ac:dyDescent="0.25">
      <c r="A79" s="121">
        <f t="shared" si="16"/>
        <v>73</v>
      </c>
      <c r="B79" s="160"/>
      <c r="C79" s="160" t="s">
        <v>84</v>
      </c>
      <c r="D79" s="160" t="s">
        <v>128</v>
      </c>
      <c r="E79" s="160" t="s">
        <v>114</v>
      </c>
      <c r="F79" s="149">
        <v>0</v>
      </c>
      <c r="G79" s="127"/>
      <c r="H79" s="166">
        <v>0</v>
      </c>
      <c r="I79" s="166">
        <v>0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0</v>
      </c>
      <c r="Q79" s="161">
        <v>0</v>
      </c>
      <c r="R79" s="161">
        <v>0</v>
      </c>
      <c r="S79" s="161">
        <v>0</v>
      </c>
      <c r="T79" s="162">
        <v>0</v>
      </c>
      <c r="U79" s="127"/>
      <c r="V79" s="145">
        <f t="shared" ref="V79" si="17">ROUND($F79*$H79,2)</f>
        <v>0</v>
      </c>
      <c r="W79" s="145">
        <f t="shared" ref="W79" si="18">ROUND($F79*$I79,2)</f>
        <v>0</v>
      </c>
      <c r="X79" s="145">
        <f t="shared" ref="X79" si="19">ROUND($F79*$J79,2)</f>
        <v>0</v>
      </c>
      <c r="Y79" s="145">
        <f t="shared" ref="Y79" si="20">ROUND($F79*$K79,2)</f>
        <v>0</v>
      </c>
      <c r="Z79" s="145">
        <f t="shared" ref="Z79" si="21">ROUND($F79*$L79,2)</f>
        <v>0</v>
      </c>
      <c r="AA79" s="145">
        <f t="shared" ref="AA79" si="22">ROUND($F79*$M79,2)</f>
        <v>0</v>
      </c>
      <c r="AB79" s="145">
        <f t="shared" ref="AB79" si="23">ROUND($F79*$N79,2)</f>
        <v>0</v>
      </c>
      <c r="AC79" s="145">
        <f t="shared" ref="AC79" si="24">ROUND($F79*$O79,2)</f>
        <v>0</v>
      </c>
      <c r="AD79" s="145">
        <f t="shared" ref="AD79" si="25">ROUND($F79*$P79,2)</f>
        <v>0</v>
      </c>
      <c r="AE79" s="145">
        <f t="shared" ref="AE79" si="26">ROUND($F79*$Q79,2)</f>
        <v>0</v>
      </c>
      <c r="AF79" s="145">
        <f t="shared" ref="AF79" si="27">ROUND($F79*$R79,2)</f>
        <v>0</v>
      </c>
      <c r="AG79" s="145">
        <f t="shared" ref="AG79" si="28">ROUND($F79*$S79,2)</f>
        <v>0</v>
      </c>
      <c r="AH79" s="147">
        <f t="shared" ref="AH79" si="29">ROUND($F79*$T79,2)</f>
        <v>0</v>
      </c>
      <c r="AI79" s="214">
        <f t="shared" ref="AI79" si="30">+SUM(V79:AH79)</f>
        <v>0</v>
      </c>
      <c r="AK79" s="145">
        <f t="shared" ref="AK79" si="31">AI79/(1-0.04372)</f>
        <v>0</v>
      </c>
    </row>
    <row r="80" spans="1:37" s="133" customFormat="1" x14ac:dyDescent="0.25">
      <c r="A80" s="121">
        <f t="shared" si="16"/>
        <v>74</v>
      </c>
      <c r="B80" s="120" t="s">
        <v>148</v>
      </c>
      <c r="C80" s="120"/>
      <c r="D80" s="120"/>
      <c r="E80" s="120"/>
      <c r="F80" s="152"/>
      <c r="G80" s="153"/>
      <c r="H80" s="168">
        <f>SUM(H14:H79)</f>
        <v>4019430.0999999996</v>
      </c>
      <c r="I80" s="168">
        <f t="shared" ref="I80:T80" si="32">SUM(I14:I79)</f>
        <v>11470076.199999997</v>
      </c>
      <c r="J80" s="168">
        <f t="shared" si="32"/>
        <v>12417851.9</v>
      </c>
      <c r="K80" s="168">
        <f t="shared" si="32"/>
        <v>9355951.299999997</v>
      </c>
      <c r="L80" s="168">
        <f t="shared" si="32"/>
        <v>7702356.8999999994</v>
      </c>
      <c r="M80" s="168">
        <f t="shared" si="32"/>
        <v>6493253.8000000007</v>
      </c>
      <c r="N80" s="168">
        <f t="shared" si="32"/>
        <v>5098603.0999999996</v>
      </c>
      <c r="O80" s="168">
        <f t="shared" si="32"/>
        <v>3839205.3000000003</v>
      </c>
      <c r="P80" s="168">
        <f t="shared" si="32"/>
        <v>3228812.2</v>
      </c>
      <c r="Q80" s="168">
        <f t="shared" si="32"/>
        <v>3198058.2</v>
      </c>
      <c r="R80" s="168">
        <f t="shared" si="32"/>
        <v>3732710.4000000004</v>
      </c>
      <c r="S80" s="168">
        <f t="shared" si="32"/>
        <v>4128231.1999999997</v>
      </c>
      <c r="T80" s="168">
        <f t="shared" si="32"/>
        <v>2291744</v>
      </c>
      <c r="U80" s="153"/>
      <c r="V80" s="154">
        <f>SUM(V14:V79)</f>
        <v>-44747.109999999993</v>
      </c>
      <c r="W80" s="154">
        <f>SUM(W14:W79)</f>
        <v>-186406.68</v>
      </c>
      <c r="X80" s="154">
        <f>SUM(X14:X79)</f>
        <v>-204635.55000000002</v>
      </c>
      <c r="Y80" s="154">
        <f>SUM(Y14:Y79)</f>
        <v>-151044.48000000001</v>
      </c>
      <c r="Z80" s="154">
        <f>SUM(Z14:Z79)</f>
        <v>-119119.45999999999</v>
      </c>
      <c r="AA80" s="154">
        <f t="shared" ref="AA80:AI80" si="33">SUM(AA14:AA79)</f>
        <v>-96553.360000000015</v>
      </c>
      <c r="AB80" s="154">
        <f t="shared" si="33"/>
        <v>-71938.079999999987</v>
      </c>
      <c r="AC80" s="154">
        <f t="shared" si="33"/>
        <v>-47915.560000000005</v>
      </c>
      <c r="AD80" s="154">
        <f t="shared" si="33"/>
        <v>-35409.11</v>
      </c>
      <c r="AE80" s="154">
        <f t="shared" si="33"/>
        <v>-33221.939999999995</v>
      </c>
      <c r="AF80" s="154">
        <f t="shared" si="33"/>
        <v>-38599.76999999999</v>
      </c>
      <c r="AG80" s="154">
        <f t="shared" si="33"/>
        <v>-46330.459999999985</v>
      </c>
      <c r="AH80" s="155">
        <f t="shared" si="33"/>
        <v>-43749.979999999996</v>
      </c>
      <c r="AI80" s="154">
        <f t="shared" si="33"/>
        <v>-1119671.5399999996</v>
      </c>
      <c r="AK80" s="154">
        <f t="shared" ref="AK80" si="34">SUM(AK14:AK79)</f>
        <v>-1170861.6095704185</v>
      </c>
    </row>
    <row r="81" spans="1:37" x14ac:dyDescent="0.25">
      <c r="A81" s="121">
        <f t="shared" si="16"/>
        <v>75</v>
      </c>
      <c r="F81" s="141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</row>
    <row r="82" spans="1:37" x14ac:dyDescent="0.25">
      <c r="A82" s="121">
        <f t="shared" si="16"/>
        <v>76</v>
      </c>
      <c r="F82" s="141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AK82" s="206"/>
    </row>
    <row r="83" spans="1:37" x14ac:dyDescent="0.25">
      <c r="A83" s="121">
        <f t="shared" si="16"/>
        <v>77</v>
      </c>
      <c r="B83" s="120" t="s">
        <v>231</v>
      </c>
      <c r="F83" s="141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37" x14ac:dyDescent="0.25">
      <c r="A84" s="121">
        <f t="shared" si="16"/>
        <v>78</v>
      </c>
      <c r="B84" s="157" t="s">
        <v>232</v>
      </c>
      <c r="C84" s="207"/>
      <c r="D84" s="207"/>
      <c r="E84" s="207"/>
      <c r="F84" s="208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10">
        <f t="shared" ref="V84:AG84" si="35">+V14</f>
        <v>-185.52</v>
      </c>
      <c r="W84" s="210">
        <f t="shared" si="35"/>
        <v>-837.93</v>
      </c>
      <c r="X84" s="210">
        <f t="shared" si="35"/>
        <v>-935.51</v>
      </c>
      <c r="Y84" s="210">
        <f t="shared" si="35"/>
        <v>-697.98</v>
      </c>
      <c r="Z84" s="210">
        <f t="shared" si="35"/>
        <v>-540.12</v>
      </c>
      <c r="AA84" s="210">
        <f t="shared" si="35"/>
        <v>-472.34</v>
      </c>
      <c r="AB84" s="210">
        <f t="shared" si="35"/>
        <v>-377.47</v>
      </c>
      <c r="AC84" s="210">
        <f t="shared" si="35"/>
        <v>-267.38</v>
      </c>
      <c r="AD84" s="210">
        <f t="shared" si="35"/>
        <v>-203.45</v>
      </c>
      <c r="AE84" s="210">
        <f t="shared" si="35"/>
        <v>-180.84</v>
      </c>
      <c r="AF84" s="210">
        <f t="shared" si="35"/>
        <v>-207.76</v>
      </c>
      <c r="AG84" s="210">
        <f t="shared" si="35"/>
        <v>-238.88</v>
      </c>
      <c r="AH84" s="210">
        <f>+SUM(AH14)</f>
        <v>-231.18</v>
      </c>
      <c r="AI84" s="216">
        <f t="shared" ref="AI84:AI89" si="36">+AI14</f>
        <v>-5376.3600000000006</v>
      </c>
      <c r="AK84" s="210">
        <f t="shared" ref="AK84:AK89" si="37">+AK14</f>
        <v>-5622.160873384365</v>
      </c>
    </row>
    <row r="85" spans="1:37" x14ac:dyDescent="0.25">
      <c r="A85" s="121">
        <f t="shared" si="16"/>
        <v>79</v>
      </c>
      <c r="B85" s="157" t="s">
        <v>233</v>
      </c>
      <c r="C85" s="207"/>
      <c r="D85" s="207"/>
      <c r="E85" s="207"/>
      <c r="F85" s="208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10">
        <f t="shared" ref="V85:AG85" si="38">+V15</f>
        <v>-63.17</v>
      </c>
      <c r="W85" s="210">
        <f t="shared" si="38"/>
        <v>-249.32</v>
      </c>
      <c r="X85" s="210">
        <f t="shared" si="38"/>
        <v>-269.77</v>
      </c>
      <c r="Y85" s="210">
        <f t="shared" si="38"/>
        <v>-209.48</v>
      </c>
      <c r="Z85" s="210">
        <f t="shared" si="38"/>
        <v>-132.24</v>
      </c>
      <c r="AA85" s="210">
        <f t="shared" si="38"/>
        <v>496.1</v>
      </c>
      <c r="AB85" s="210">
        <f t="shared" si="38"/>
        <v>-34.75</v>
      </c>
      <c r="AC85" s="210">
        <f t="shared" si="38"/>
        <v>-17.98</v>
      </c>
      <c r="AD85" s="210">
        <f t="shared" si="38"/>
        <v>-26.37</v>
      </c>
      <c r="AE85" s="210">
        <f t="shared" si="38"/>
        <v>-17.579999999999998</v>
      </c>
      <c r="AF85" s="210">
        <f t="shared" si="38"/>
        <v>-22.8</v>
      </c>
      <c r="AG85" s="210">
        <f t="shared" si="38"/>
        <v>-32.83</v>
      </c>
      <c r="AH85" s="210">
        <f t="shared" ref="AH85:AH89" si="39">+SUM(AH15)</f>
        <v>-11.67</v>
      </c>
      <c r="AI85" s="216">
        <f t="shared" si="36"/>
        <v>-591.86</v>
      </c>
      <c r="AK85" s="210">
        <f t="shared" si="37"/>
        <v>-618.91914502028692</v>
      </c>
    </row>
    <row r="86" spans="1:37" x14ac:dyDescent="0.25">
      <c r="A86" s="121">
        <f t="shared" si="16"/>
        <v>80</v>
      </c>
      <c r="B86" s="157">
        <v>2</v>
      </c>
      <c r="C86" s="207"/>
      <c r="D86" s="207"/>
      <c r="E86" s="207"/>
      <c r="F86" s="208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10">
        <f t="shared" ref="V86:AG86" si="40">+V16</f>
        <v>-32964.06</v>
      </c>
      <c r="W86" s="210">
        <f t="shared" si="40"/>
        <v>-137159.99</v>
      </c>
      <c r="X86" s="210">
        <f t="shared" si="40"/>
        <v>-150973.66</v>
      </c>
      <c r="Y86" s="210">
        <f t="shared" si="40"/>
        <v>-109682.4</v>
      </c>
      <c r="Z86" s="210">
        <f t="shared" si="40"/>
        <v>-86621.03</v>
      </c>
      <c r="AA86" s="210">
        <f t="shared" si="40"/>
        <v>-69659.710000000006</v>
      </c>
      <c r="AB86" s="210">
        <f t="shared" si="40"/>
        <v>-50830.92</v>
      </c>
      <c r="AC86" s="210">
        <f t="shared" si="40"/>
        <v>-32178.52</v>
      </c>
      <c r="AD86" s="210">
        <f t="shared" si="40"/>
        <v>-23202.73</v>
      </c>
      <c r="AE86" s="210">
        <f t="shared" si="40"/>
        <v>-21510.99</v>
      </c>
      <c r="AF86" s="210">
        <f t="shared" si="40"/>
        <v>-25096.98</v>
      </c>
      <c r="AG86" s="210">
        <f t="shared" si="40"/>
        <v>-30948.61</v>
      </c>
      <c r="AH86" s="210">
        <f t="shared" si="39"/>
        <v>-31778.86</v>
      </c>
      <c r="AI86" s="216">
        <f t="shared" si="36"/>
        <v>-802608.46</v>
      </c>
      <c r="AK86" s="210">
        <f t="shared" si="37"/>
        <v>-839302.77742920478</v>
      </c>
    </row>
    <row r="87" spans="1:37" x14ac:dyDescent="0.25">
      <c r="A87" s="121">
        <f t="shared" si="16"/>
        <v>81</v>
      </c>
      <c r="B87" s="158" t="s">
        <v>234</v>
      </c>
      <c r="C87" s="207"/>
      <c r="D87" s="207"/>
      <c r="E87" s="207"/>
      <c r="F87" s="208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10">
        <f t="shared" ref="V87:AG87" si="41">+V17</f>
        <v>-8059.99</v>
      </c>
      <c r="W87" s="210">
        <f t="shared" si="41"/>
        <v>-40179.839999999997</v>
      </c>
      <c r="X87" s="210">
        <f t="shared" si="41"/>
        <v>-43834.59</v>
      </c>
      <c r="Y87" s="210">
        <f t="shared" si="41"/>
        <v>-33691.089999999997</v>
      </c>
      <c r="Z87" s="210">
        <f t="shared" si="41"/>
        <v>-25616.45</v>
      </c>
      <c r="AA87" s="210">
        <f t="shared" si="41"/>
        <v>-21391.05</v>
      </c>
      <c r="AB87" s="210">
        <f t="shared" si="41"/>
        <v>-16334.14</v>
      </c>
      <c r="AC87" s="210">
        <f t="shared" si="41"/>
        <v>-12190.16</v>
      </c>
      <c r="AD87" s="210">
        <f t="shared" si="41"/>
        <v>-9347.44</v>
      </c>
      <c r="AE87" s="210">
        <f t="shared" si="41"/>
        <v>-8909.89</v>
      </c>
      <c r="AF87" s="210">
        <f t="shared" si="41"/>
        <v>-10040.68</v>
      </c>
      <c r="AG87" s="210">
        <f t="shared" si="41"/>
        <v>-11324.3</v>
      </c>
      <c r="AH87" s="210">
        <f t="shared" si="39"/>
        <v>-9774.27</v>
      </c>
      <c r="AI87" s="216">
        <f t="shared" si="36"/>
        <v>-250693.88999999993</v>
      </c>
      <c r="AK87" s="210">
        <f t="shared" si="37"/>
        <v>-262155.32061739231</v>
      </c>
    </row>
    <row r="88" spans="1:37" x14ac:dyDescent="0.25">
      <c r="A88" s="121">
        <f t="shared" si="16"/>
        <v>82</v>
      </c>
      <c r="B88" s="158" t="s">
        <v>235</v>
      </c>
      <c r="C88" s="207"/>
      <c r="D88" s="207"/>
      <c r="E88" s="207"/>
      <c r="F88" s="208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10">
        <f t="shared" ref="V88:AG88" si="42">+V18</f>
        <v>0</v>
      </c>
      <c r="W88" s="210">
        <f t="shared" si="42"/>
        <v>0</v>
      </c>
      <c r="X88" s="210">
        <f t="shared" si="42"/>
        <v>0</v>
      </c>
      <c r="Y88" s="210">
        <f t="shared" si="42"/>
        <v>0</v>
      </c>
      <c r="Z88" s="210">
        <f t="shared" si="42"/>
        <v>0</v>
      </c>
      <c r="AA88" s="210">
        <f t="shared" si="42"/>
        <v>0</v>
      </c>
      <c r="AB88" s="210">
        <f t="shared" si="42"/>
        <v>0</v>
      </c>
      <c r="AC88" s="210">
        <f t="shared" si="42"/>
        <v>0</v>
      </c>
      <c r="AD88" s="210">
        <f t="shared" si="42"/>
        <v>0</v>
      </c>
      <c r="AE88" s="210">
        <f t="shared" si="42"/>
        <v>0</v>
      </c>
      <c r="AF88" s="210">
        <f t="shared" si="42"/>
        <v>0</v>
      </c>
      <c r="AG88" s="210">
        <f t="shared" si="42"/>
        <v>0</v>
      </c>
      <c r="AH88" s="210">
        <f t="shared" si="39"/>
        <v>0</v>
      </c>
      <c r="AI88" s="216">
        <f t="shared" si="36"/>
        <v>0</v>
      </c>
      <c r="AK88" s="210">
        <f t="shared" si="37"/>
        <v>0</v>
      </c>
    </row>
    <row r="89" spans="1:37" x14ac:dyDescent="0.25">
      <c r="A89" s="121">
        <f t="shared" si="16"/>
        <v>83</v>
      </c>
      <c r="B89" s="157">
        <v>27</v>
      </c>
      <c r="C89" s="207"/>
      <c r="D89" s="207"/>
      <c r="E89" s="207"/>
      <c r="F89" s="208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10">
        <f t="shared" ref="V89:AG89" si="43">+V19</f>
        <v>-171.23</v>
      </c>
      <c r="W89" s="210">
        <f t="shared" si="43"/>
        <v>-670.85</v>
      </c>
      <c r="X89" s="210">
        <f t="shared" si="43"/>
        <v>-739.46</v>
      </c>
      <c r="Y89" s="210">
        <f t="shared" si="43"/>
        <v>-502.9</v>
      </c>
      <c r="Z89" s="210">
        <f t="shared" si="43"/>
        <v>-395.84</v>
      </c>
      <c r="AA89" s="210">
        <f t="shared" si="43"/>
        <v>-348.44</v>
      </c>
      <c r="AB89" s="210">
        <f t="shared" si="43"/>
        <v>-231.2</v>
      </c>
      <c r="AC89" s="210">
        <f t="shared" si="43"/>
        <v>-102.49</v>
      </c>
      <c r="AD89" s="210">
        <f t="shared" si="43"/>
        <v>-23.16</v>
      </c>
      <c r="AE89" s="210">
        <f t="shared" si="43"/>
        <v>-14.78</v>
      </c>
      <c r="AF89" s="210">
        <f t="shared" si="43"/>
        <v>-31.02</v>
      </c>
      <c r="AG89" s="210">
        <f t="shared" si="43"/>
        <v>-122.87</v>
      </c>
      <c r="AH89" s="210">
        <f t="shared" si="39"/>
        <v>-136.25</v>
      </c>
      <c r="AI89" s="216">
        <f t="shared" si="36"/>
        <v>-3490.49</v>
      </c>
      <c r="AK89" s="210">
        <f t="shared" si="37"/>
        <v>-3650.0711088802441</v>
      </c>
    </row>
    <row r="90" spans="1:37" x14ac:dyDescent="0.25">
      <c r="A90" s="121">
        <f t="shared" si="16"/>
        <v>84</v>
      </c>
      <c r="B90" s="157" t="s">
        <v>95</v>
      </c>
      <c r="C90" s="207"/>
      <c r="D90" s="207"/>
      <c r="E90" s="207"/>
      <c r="F90" s="208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10">
        <f t="shared" ref="V90:AI90" si="44">+SUM(V20:V21)</f>
        <v>-2134.61</v>
      </c>
      <c r="W90" s="210">
        <f t="shared" si="44"/>
        <v>-6023.5599999999995</v>
      </c>
      <c r="X90" s="210">
        <f t="shared" si="44"/>
        <v>-6592.66</v>
      </c>
      <c r="Y90" s="210">
        <f t="shared" si="44"/>
        <v>-5286.71</v>
      </c>
      <c r="Z90" s="210">
        <f t="shared" si="44"/>
        <v>-4634.24</v>
      </c>
      <c r="AA90" s="210">
        <f t="shared" si="44"/>
        <v>-4156.3500000000004</v>
      </c>
      <c r="AB90" s="210">
        <f t="shared" si="44"/>
        <v>-3409.66</v>
      </c>
      <c r="AC90" s="210">
        <f t="shared" si="44"/>
        <v>-2586.1999999999998</v>
      </c>
      <c r="AD90" s="210">
        <f t="shared" si="44"/>
        <v>-2070.8199999999997</v>
      </c>
      <c r="AE90" s="210">
        <f t="shared" si="44"/>
        <v>-2015.44</v>
      </c>
      <c r="AF90" s="210">
        <f t="shared" si="44"/>
        <v>-2525.2600000000002</v>
      </c>
      <c r="AG90" s="210">
        <f t="shared" si="44"/>
        <v>-2873.08</v>
      </c>
      <c r="AH90" s="210">
        <f t="shared" si="44"/>
        <v>-1817.75</v>
      </c>
      <c r="AI90" s="216">
        <f t="shared" si="44"/>
        <v>-46126.34</v>
      </c>
      <c r="AK90" s="210">
        <f>+SUM(AK20:AK21)</f>
        <v>-48235.182164219681</v>
      </c>
    </row>
    <row r="91" spans="1:37" x14ac:dyDescent="0.25">
      <c r="A91" s="121">
        <f t="shared" si="16"/>
        <v>85</v>
      </c>
      <c r="B91" s="157" t="s">
        <v>99</v>
      </c>
      <c r="C91" s="207"/>
      <c r="D91" s="207"/>
      <c r="E91" s="207"/>
      <c r="F91" s="208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10">
        <f t="shared" ref="V91:AI91" si="45">+SUM(V22:V23)</f>
        <v>0</v>
      </c>
      <c r="W91" s="210">
        <f t="shared" si="45"/>
        <v>0</v>
      </c>
      <c r="X91" s="210">
        <f t="shared" si="45"/>
        <v>0</v>
      </c>
      <c r="Y91" s="210">
        <f t="shared" si="45"/>
        <v>0</v>
      </c>
      <c r="Z91" s="210">
        <f t="shared" si="45"/>
        <v>0</v>
      </c>
      <c r="AA91" s="210">
        <f t="shared" si="45"/>
        <v>0</v>
      </c>
      <c r="AB91" s="210">
        <f t="shared" si="45"/>
        <v>0</v>
      </c>
      <c r="AC91" s="210">
        <f t="shared" si="45"/>
        <v>0</v>
      </c>
      <c r="AD91" s="210">
        <f t="shared" si="45"/>
        <v>0</v>
      </c>
      <c r="AE91" s="210">
        <f t="shared" si="45"/>
        <v>0</v>
      </c>
      <c r="AF91" s="210">
        <f t="shared" si="45"/>
        <v>0</v>
      </c>
      <c r="AG91" s="210">
        <f t="shared" si="45"/>
        <v>0</v>
      </c>
      <c r="AH91" s="210">
        <f t="shared" si="45"/>
        <v>0</v>
      </c>
      <c r="AI91" s="216">
        <f t="shared" si="45"/>
        <v>0</v>
      </c>
      <c r="AK91" s="210">
        <f>+SUM(AK22:AK23)</f>
        <v>0</v>
      </c>
    </row>
    <row r="92" spans="1:37" x14ac:dyDescent="0.25">
      <c r="A92" s="121">
        <f t="shared" si="16"/>
        <v>86</v>
      </c>
      <c r="B92" s="157" t="s">
        <v>103</v>
      </c>
      <c r="C92" s="207"/>
      <c r="D92" s="207"/>
      <c r="E92" s="207"/>
      <c r="F92" s="208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10">
        <f t="shared" ref="V92:AI92" si="46">+SUM(V26:V27)</f>
        <v>0</v>
      </c>
      <c r="W92" s="210">
        <f t="shared" si="46"/>
        <v>0</v>
      </c>
      <c r="X92" s="210">
        <f t="shared" si="46"/>
        <v>0</v>
      </c>
      <c r="Y92" s="210">
        <f t="shared" si="46"/>
        <v>0</v>
      </c>
      <c r="Z92" s="210">
        <f t="shared" si="46"/>
        <v>0</v>
      </c>
      <c r="AA92" s="210">
        <f t="shared" si="46"/>
        <v>0</v>
      </c>
      <c r="AB92" s="210">
        <f t="shared" si="46"/>
        <v>0</v>
      </c>
      <c r="AC92" s="210">
        <f t="shared" si="46"/>
        <v>0</v>
      </c>
      <c r="AD92" s="210">
        <f t="shared" si="46"/>
        <v>0</v>
      </c>
      <c r="AE92" s="210">
        <f t="shared" si="46"/>
        <v>0</v>
      </c>
      <c r="AF92" s="210">
        <f t="shared" si="46"/>
        <v>0</v>
      </c>
      <c r="AG92" s="210">
        <f t="shared" si="46"/>
        <v>0</v>
      </c>
      <c r="AH92" s="210">
        <f t="shared" si="46"/>
        <v>0</v>
      </c>
      <c r="AI92" s="216">
        <f t="shared" si="46"/>
        <v>0</v>
      </c>
      <c r="AK92" s="210">
        <f>+SUM(AK26:AK27)</f>
        <v>0</v>
      </c>
    </row>
    <row r="93" spans="1:37" x14ac:dyDescent="0.25">
      <c r="A93" s="121">
        <f t="shared" si="16"/>
        <v>87</v>
      </c>
      <c r="B93" s="157" t="s">
        <v>109</v>
      </c>
      <c r="C93" s="207"/>
      <c r="D93" s="207"/>
      <c r="E93" s="207"/>
      <c r="F93" s="208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10">
        <f t="shared" ref="V93:AI93" si="47">+SUM(V32:V37)</f>
        <v>-707.3</v>
      </c>
      <c r="W93" s="210">
        <f t="shared" si="47"/>
        <v>-806.35</v>
      </c>
      <c r="X93" s="210">
        <f t="shared" si="47"/>
        <v>-804.07</v>
      </c>
      <c r="Y93" s="210">
        <f t="shared" si="47"/>
        <v>-550.62</v>
      </c>
      <c r="Z93" s="210">
        <f t="shared" si="47"/>
        <v>-743.29000000000008</v>
      </c>
      <c r="AA93" s="210">
        <f t="shared" si="47"/>
        <v>-584.78</v>
      </c>
      <c r="AB93" s="210">
        <f t="shared" si="47"/>
        <v>-334.87</v>
      </c>
      <c r="AC93" s="210">
        <f t="shared" si="47"/>
        <v>-235.79</v>
      </c>
      <c r="AD93" s="210">
        <f t="shared" si="47"/>
        <v>-212.03</v>
      </c>
      <c r="AE93" s="210">
        <f t="shared" si="47"/>
        <v>-239.62</v>
      </c>
      <c r="AF93" s="210">
        <f t="shared" si="47"/>
        <v>-303.29999999999995</v>
      </c>
      <c r="AG93" s="210">
        <f t="shared" si="47"/>
        <v>-389.51</v>
      </c>
      <c r="AH93" s="210">
        <f t="shared" si="47"/>
        <v>0</v>
      </c>
      <c r="AI93" s="216">
        <f t="shared" si="47"/>
        <v>-5911.53</v>
      </c>
      <c r="AK93" s="210">
        <f>+SUM(AK32:AK37)</f>
        <v>-6181.7982180951185</v>
      </c>
    </row>
    <row r="94" spans="1:37" x14ac:dyDescent="0.25">
      <c r="A94" s="121">
        <f t="shared" si="16"/>
        <v>88</v>
      </c>
      <c r="B94" s="157" t="s">
        <v>121</v>
      </c>
      <c r="C94" s="207"/>
      <c r="D94" s="207"/>
      <c r="E94" s="207"/>
      <c r="F94" s="208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10">
        <f t="shared" ref="V94:AI94" si="48">+SUM(V56:V61)</f>
        <v>-461.22999999999996</v>
      </c>
      <c r="W94" s="210">
        <f t="shared" si="48"/>
        <v>-478.84</v>
      </c>
      <c r="X94" s="210">
        <f t="shared" si="48"/>
        <v>-485.83</v>
      </c>
      <c r="Y94" s="210">
        <f t="shared" si="48"/>
        <v>-423.3</v>
      </c>
      <c r="Z94" s="210">
        <f t="shared" si="48"/>
        <v>-436.25</v>
      </c>
      <c r="AA94" s="210">
        <f t="shared" si="48"/>
        <v>-436.79</v>
      </c>
      <c r="AB94" s="210">
        <f t="shared" si="48"/>
        <v>-385.07</v>
      </c>
      <c r="AC94" s="210">
        <f t="shared" si="48"/>
        <v>-337.03999999999996</v>
      </c>
      <c r="AD94" s="210">
        <f t="shared" si="48"/>
        <v>-323.11</v>
      </c>
      <c r="AE94" s="210">
        <f t="shared" si="48"/>
        <v>-332.8</v>
      </c>
      <c r="AF94" s="210">
        <f t="shared" si="48"/>
        <v>-371.96999999999997</v>
      </c>
      <c r="AG94" s="210">
        <f t="shared" si="48"/>
        <v>-400.38</v>
      </c>
      <c r="AH94" s="210">
        <f t="shared" si="48"/>
        <v>0</v>
      </c>
      <c r="AI94" s="216">
        <f t="shared" si="48"/>
        <v>-4872.6100000000006</v>
      </c>
      <c r="AK94" s="210">
        <f>+SUM(AK56:AK61)</f>
        <v>-5095.380014221776</v>
      </c>
    </row>
    <row r="95" spans="1:37" x14ac:dyDescent="0.25">
      <c r="A95" s="121">
        <f t="shared" si="16"/>
        <v>89</v>
      </c>
      <c r="B95" s="120" t="s">
        <v>148</v>
      </c>
      <c r="F95" s="141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54">
        <f>SUM(V84:V94)</f>
        <v>-44747.110000000008</v>
      </c>
      <c r="W95" s="154">
        <f t="shared" ref="W95:AI95" si="49">SUM(W84:W94)</f>
        <v>-186406.68</v>
      </c>
      <c r="X95" s="154">
        <f t="shared" si="49"/>
        <v>-204635.55</v>
      </c>
      <c r="Y95" s="154">
        <f t="shared" si="49"/>
        <v>-151044.47999999998</v>
      </c>
      <c r="Z95" s="154">
        <f t="shared" si="49"/>
        <v>-119119.45999999999</v>
      </c>
      <c r="AA95" s="154">
        <f t="shared" si="49"/>
        <v>-96553.360000000015</v>
      </c>
      <c r="AB95" s="154">
        <f t="shared" si="49"/>
        <v>-71938.080000000002</v>
      </c>
      <c r="AC95" s="154">
        <f t="shared" si="49"/>
        <v>-47915.56</v>
      </c>
      <c r="AD95" s="154">
        <f t="shared" si="49"/>
        <v>-35409.11</v>
      </c>
      <c r="AE95" s="154">
        <f t="shared" si="49"/>
        <v>-33221.94</v>
      </c>
      <c r="AF95" s="154">
        <f t="shared" si="49"/>
        <v>-38599.770000000004</v>
      </c>
      <c r="AG95" s="154">
        <f t="shared" si="49"/>
        <v>-46330.46</v>
      </c>
      <c r="AH95" s="154">
        <f t="shared" si="49"/>
        <v>-43749.979999999996</v>
      </c>
      <c r="AI95" s="154">
        <f t="shared" si="49"/>
        <v>-1119671.54</v>
      </c>
      <c r="AK95" s="206">
        <f t="shared" ref="AK95" si="50">SUM(AK84:AK94)</f>
        <v>-1170861.6095704187</v>
      </c>
    </row>
    <row r="96" spans="1:37" x14ac:dyDescent="0.25">
      <c r="F96" s="141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</row>
    <row r="97" spans="6:21" x14ac:dyDescent="0.25">
      <c r="F97" s="141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</row>
    <row r="98" spans="6:21" x14ac:dyDescent="0.25">
      <c r="F98" s="141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</row>
    <row r="99" spans="6:21" x14ac:dyDescent="0.25">
      <c r="F99" s="141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</row>
    <row r="100" spans="6:21" x14ac:dyDescent="0.25">
      <c r="F100" s="141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</row>
    <row r="101" spans="6:21" x14ac:dyDescent="0.25">
      <c r="F101" s="141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</row>
    <row r="102" spans="6:21" x14ac:dyDescent="0.25">
      <c r="F102" s="141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</row>
    <row r="103" spans="6:21" x14ac:dyDescent="0.25">
      <c r="F103" s="141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</row>
    <row r="104" spans="6:21" x14ac:dyDescent="0.25">
      <c r="F104" s="141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</row>
    <row r="105" spans="6:21" x14ac:dyDescent="0.25">
      <c r="F105" s="141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</row>
    <row r="106" spans="6:21" x14ac:dyDescent="0.25">
      <c r="F106" s="141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</row>
    <row r="107" spans="6:21" x14ac:dyDescent="0.25">
      <c r="F107" s="141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</row>
    <row r="108" spans="6:21" x14ac:dyDescent="0.25">
      <c r="F108" s="141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</row>
    <row r="109" spans="6:21" x14ac:dyDescent="0.25">
      <c r="F109" s="141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</row>
    <row r="110" spans="6:21" x14ac:dyDescent="0.25">
      <c r="F110" s="141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</row>
    <row r="111" spans="6:21" x14ac:dyDescent="0.25">
      <c r="F111" s="141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</row>
    <row r="112" spans="6:21" x14ac:dyDescent="0.25">
      <c r="F112" s="141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</row>
    <row r="113" spans="6:21" x14ac:dyDescent="0.25">
      <c r="F113" s="141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</row>
    <row r="114" spans="6:21" x14ac:dyDescent="0.25">
      <c r="F114" s="141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</row>
    <row r="115" spans="6:21" x14ac:dyDescent="0.25">
      <c r="F115" s="141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</row>
    <row r="116" spans="6:21" x14ac:dyDescent="0.25">
      <c r="F116" s="141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</row>
    <row r="117" spans="6:21" x14ac:dyDescent="0.25">
      <c r="F117" s="141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</row>
    <row r="118" spans="6:21" x14ac:dyDescent="0.25">
      <c r="F118" s="141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</row>
    <row r="119" spans="6:21" x14ac:dyDescent="0.25">
      <c r="F119" s="141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</row>
    <row r="120" spans="6:21" x14ac:dyDescent="0.25">
      <c r="F120" s="141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</row>
    <row r="121" spans="6:21" x14ac:dyDescent="0.25">
      <c r="F121" s="141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6:21" x14ac:dyDescent="0.25">
      <c r="F122" s="14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6:21" x14ac:dyDescent="0.25">
      <c r="F123" s="141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6:21" x14ac:dyDescent="0.25">
      <c r="F124" s="141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  <row r="125" spans="6:21" x14ac:dyDescent="0.25">
      <c r="F125" s="141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</row>
    <row r="126" spans="6:21" x14ac:dyDescent="0.25">
      <c r="F126" s="141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</row>
    <row r="127" spans="6:21" x14ac:dyDescent="0.25">
      <c r="F127" s="141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</row>
    <row r="128" spans="6:21" x14ac:dyDescent="0.25">
      <c r="F128" s="141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</row>
    <row r="129" spans="6:21" x14ac:dyDescent="0.25">
      <c r="F129" s="141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</row>
    <row r="130" spans="6:21" x14ac:dyDescent="0.25">
      <c r="F130" s="141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</row>
    <row r="131" spans="6:21" x14ac:dyDescent="0.25">
      <c r="F131" s="141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</row>
    <row r="132" spans="6:21" x14ac:dyDescent="0.25">
      <c r="F132" s="141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</row>
    <row r="133" spans="6:21" x14ac:dyDescent="0.25">
      <c r="F133" s="141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</row>
    <row r="134" spans="6:21" x14ac:dyDescent="0.25">
      <c r="F134" s="141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</row>
    <row r="135" spans="6:21" x14ac:dyDescent="0.25">
      <c r="F135" s="141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</row>
    <row r="136" spans="6:21" x14ac:dyDescent="0.25">
      <c r="F136" s="141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6:21" x14ac:dyDescent="0.25">
      <c r="F137" s="141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</row>
    <row r="138" spans="6:21" x14ac:dyDescent="0.25">
      <c r="F138" s="141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</row>
    <row r="139" spans="6:21" x14ac:dyDescent="0.25">
      <c r="F139" s="141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</row>
    <row r="140" spans="6:21" x14ac:dyDescent="0.25">
      <c r="F140" s="141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</row>
    <row r="141" spans="6:21" x14ac:dyDescent="0.25">
      <c r="F141" s="141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</row>
    <row r="142" spans="6:21" x14ac:dyDescent="0.25">
      <c r="F142" s="141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</row>
    <row r="143" spans="6:21" x14ac:dyDescent="0.25">
      <c r="F143" s="141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</row>
    <row r="144" spans="6:21" x14ac:dyDescent="0.25">
      <c r="F144" s="141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</row>
    <row r="145" spans="6:21" x14ac:dyDescent="0.25">
      <c r="F145" s="141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</row>
    <row r="146" spans="6:21" x14ac:dyDescent="0.25">
      <c r="F146" s="141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</row>
    <row r="147" spans="6:21" x14ac:dyDescent="0.25">
      <c r="F147" s="141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</row>
    <row r="148" spans="6:21" x14ac:dyDescent="0.25">
      <c r="F148" s="141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</row>
    <row r="149" spans="6:21" x14ac:dyDescent="0.25">
      <c r="F149" s="141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</row>
    <row r="150" spans="6:21" x14ac:dyDescent="0.25">
      <c r="F150" s="141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</row>
    <row r="151" spans="6:21" x14ac:dyDescent="0.25">
      <c r="F151" s="141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</row>
    <row r="152" spans="6:21" x14ac:dyDescent="0.25">
      <c r="F152" s="141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</row>
    <row r="153" spans="6:21" x14ac:dyDescent="0.25">
      <c r="F153" s="141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</row>
    <row r="154" spans="6:21" x14ac:dyDescent="0.25">
      <c r="F154" s="141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</row>
    <row r="155" spans="6:21" x14ac:dyDescent="0.25">
      <c r="F155" s="141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</row>
    <row r="156" spans="6:21" x14ac:dyDescent="0.25">
      <c r="F156" s="141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</row>
  </sheetData>
  <mergeCells count="4">
    <mergeCell ref="H10:T10"/>
    <mergeCell ref="V10:AH10"/>
    <mergeCell ref="H11:T11"/>
    <mergeCell ref="V11:AH11"/>
  </mergeCells>
  <printOptions horizontalCentered="1" verticalCentered="1"/>
  <pageMargins left="0" right="0" top="0" bottom="0" header="0" footer="0.5"/>
  <pageSetup scale="55" orientation="portrait" r:id="rId1"/>
  <headerFooter alignWithMargins="0"/>
  <colBreaks count="2" manualBreakCount="2">
    <brk id="6" max="150" man="1"/>
    <brk id="2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6"/>
  <sheetViews>
    <sheetView workbookViewId="0">
      <selection activeCell="H101" sqref="H101"/>
    </sheetView>
  </sheetViews>
  <sheetFormatPr defaultColWidth="8.88671875" defaultRowHeight="13.2" x14ac:dyDescent="0.25"/>
  <cols>
    <col min="1" max="1" width="4.33203125" style="112" customWidth="1"/>
    <col min="2" max="2" width="17.44140625" style="114" customWidth="1"/>
    <col min="3" max="4" width="8" style="114" customWidth="1"/>
    <col min="5" max="5" width="9.109375" style="114" customWidth="1"/>
    <col min="6" max="6" width="14.109375" style="139" customWidth="1"/>
    <col min="7" max="7" width="3.88671875" style="112" customWidth="1"/>
    <col min="8" max="20" width="16.109375" style="112" customWidth="1"/>
    <col min="21" max="21" width="3.88671875" style="112" customWidth="1"/>
    <col min="22" max="32" width="16.109375" style="112" customWidth="1"/>
    <col min="33" max="33" width="19" style="112" customWidth="1"/>
    <col min="34" max="34" width="16.109375" style="112" customWidth="1"/>
    <col min="35" max="35" width="18.44140625" style="112" customWidth="1"/>
    <col min="36" max="36" width="11" style="112" customWidth="1"/>
    <col min="37" max="37" width="18.6640625" style="112" customWidth="1"/>
    <col min="38" max="46" width="11" style="112" customWidth="1"/>
    <col min="47" max="16384" width="8.88671875" style="112"/>
  </cols>
  <sheetData>
    <row r="1" spans="1:37" ht="13.8" x14ac:dyDescent="0.25">
      <c r="B1" s="113" t="s">
        <v>77</v>
      </c>
    </row>
    <row r="2" spans="1:37" ht="13.8" x14ac:dyDescent="0.25">
      <c r="B2" s="113" t="s">
        <v>78</v>
      </c>
    </row>
    <row r="3" spans="1:37" ht="13.8" x14ac:dyDescent="0.25">
      <c r="B3" s="217" t="s">
        <v>292</v>
      </c>
    </row>
    <row r="4" spans="1:37" ht="13.8" x14ac:dyDescent="0.25">
      <c r="B4" s="113" t="s">
        <v>131</v>
      </c>
    </row>
    <row r="5" spans="1:37" x14ac:dyDescent="0.25">
      <c r="B5" s="116"/>
    </row>
    <row r="7" spans="1:37" x14ac:dyDescent="0.25">
      <c r="A7" s="117">
        <v>1</v>
      </c>
      <c r="B7" s="156" t="s">
        <v>80</v>
      </c>
      <c r="C7" s="118"/>
      <c r="D7" s="118"/>
      <c r="F7" s="119"/>
    </row>
    <row r="8" spans="1:37" x14ac:dyDescent="0.25">
      <c r="A8" s="117">
        <f t="shared" ref="A8:A71" si="0">+A7+1</f>
        <v>2</v>
      </c>
      <c r="B8" s="120"/>
      <c r="C8" s="120"/>
      <c r="D8" s="120"/>
      <c r="F8" s="119"/>
    </row>
    <row r="9" spans="1:37" x14ac:dyDescent="0.25">
      <c r="A9" s="121">
        <f t="shared" si="0"/>
        <v>3</v>
      </c>
      <c r="B9" s="122"/>
      <c r="C9" s="122"/>
      <c r="D9" s="122"/>
      <c r="E9" s="122"/>
      <c r="F9" s="140"/>
    </row>
    <row r="10" spans="1:37" s="123" customFormat="1" ht="13.8" thickBot="1" x14ac:dyDescent="0.3">
      <c r="A10" s="121">
        <f t="shared" si="0"/>
        <v>4</v>
      </c>
      <c r="B10" s="122"/>
      <c r="C10" s="122"/>
      <c r="D10" s="122"/>
      <c r="E10" s="122"/>
      <c r="F10" s="140"/>
      <c r="H10" s="308" t="s">
        <v>132</v>
      </c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V10" s="308" t="s">
        <v>44</v>
      </c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</row>
    <row r="11" spans="1:37" s="123" customFormat="1" ht="13.8" thickBot="1" x14ac:dyDescent="0.3">
      <c r="A11" s="121">
        <f t="shared" si="0"/>
        <v>5</v>
      </c>
      <c r="B11" s="122"/>
      <c r="C11" s="122"/>
      <c r="D11" s="122"/>
      <c r="E11" s="122"/>
      <c r="F11" s="135" t="s">
        <v>147</v>
      </c>
      <c r="H11" s="309" t="s">
        <v>145</v>
      </c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V11" s="309" t="s">
        <v>145</v>
      </c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K11" s="124"/>
    </row>
    <row r="12" spans="1:37" s="123" customFormat="1" ht="15" customHeight="1" x14ac:dyDescent="0.25">
      <c r="A12" s="121">
        <f t="shared" si="0"/>
        <v>6</v>
      </c>
      <c r="B12" s="136" t="s">
        <v>130</v>
      </c>
      <c r="C12" s="134" t="s">
        <v>81</v>
      </c>
      <c r="D12" s="134" t="s">
        <v>18</v>
      </c>
      <c r="E12" s="136" t="s">
        <v>82</v>
      </c>
      <c r="F12" s="136" t="s">
        <v>129</v>
      </c>
      <c r="G12" s="126"/>
      <c r="H12" s="126" t="s">
        <v>293</v>
      </c>
      <c r="I12" s="137" t="s">
        <v>294</v>
      </c>
      <c r="J12" s="138" t="s">
        <v>295</v>
      </c>
      <c r="K12" s="137" t="s">
        <v>296</v>
      </c>
      <c r="L12" s="137" t="s">
        <v>297</v>
      </c>
      <c r="M12" s="137" t="s">
        <v>298</v>
      </c>
      <c r="N12" s="137" t="s">
        <v>299</v>
      </c>
      <c r="O12" s="137" t="s">
        <v>300</v>
      </c>
      <c r="P12" s="137" t="s">
        <v>301</v>
      </c>
      <c r="Q12" s="137" t="s">
        <v>302</v>
      </c>
      <c r="R12" s="137" t="s">
        <v>303</v>
      </c>
      <c r="S12" s="137" t="s">
        <v>304</v>
      </c>
      <c r="T12" s="137" t="s">
        <v>305</v>
      </c>
      <c r="U12" s="126"/>
      <c r="V12" s="126" t="s">
        <v>293</v>
      </c>
      <c r="W12" s="137" t="s">
        <v>294</v>
      </c>
      <c r="X12" s="138" t="s">
        <v>295</v>
      </c>
      <c r="Y12" s="137" t="s">
        <v>296</v>
      </c>
      <c r="Z12" s="137" t="s">
        <v>297</v>
      </c>
      <c r="AA12" s="137" t="s">
        <v>298</v>
      </c>
      <c r="AB12" s="137" t="s">
        <v>299</v>
      </c>
      <c r="AC12" s="137" t="s">
        <v>300</v>
      </c>
      <c r="AD12" s="137" t="s">
        <v>301</v>
      </c>
      <c r="AE12" s="137" t="s">
        <v>302</v>
      </c>
      <c r="AF12" s="137" t="s">
        <v>303</v>
      </c>
      <c r="AG12" s="137" t="s">
        <v>304</v>
      </c>
      <c r="AH12" s="137" t="s">
        <v>305</v>
      </c>
      <c r="AI12" s="124" t="s">
        <v>307</v>
      </c>
      <c r="AK12" s="124" t="s">
        <v>308</v>
      </c>
    </row>
    <row r="13" spans="1:37" s="123" customFormat="1" ht="15" customHeight="1" x14ac:dyDescent="0.25">
      <c r="A13" s="121">
        <f t="shared" si="0"/>
        <v>7</v>
      </c>
      <c r="B13" s="125"/>
      <c r="C13" s="125"/>
      <c r="D13" s="125"/>
      <c r="E13" s="125"/>
      <c r="F13" s="125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spans="1:37" x14ac:dyDescent="0.25">
      <c r="A14" s="121">
        <f t="shared" si="0"/>
        <v>8</v>
      </c>
      <c r="B14" s="157" t="s">
        <v>83</v>
      </c>
      <c r="C14" s="157" t="s">
        <v>84</v>
      </c>
      <c r="D14" s="157" t="s">
        <v>85</v>
      </c>
      <c r="E14" s="157"/>
      <c r="F14" s="149">
        <v>-3.5879625599999999E-2</v>
      </c>
      <c r="G14" s="127"/>
      <c r="H14" s="161">
        <v>5404.6</v>
      </c>
      <c r="I14" s="161">
        <v>29516.3</v>
      </c>
      <c r="J14" s="161">
        <v>32603.4</v>
      </c>
      <c r="K14" s="161">
        <v>29992.400000000001</v>
      </c>
      <c r="L14" s="161">
        <v>22075.7</v>
      </c>
      <c r="M14" s="161">
        <v>15370.6</v>
      </c>
      <c r="N14" s="161">
        <v>10722.7</v>
      </c>
      <c r="O14" s="161">
        <v>7393.2</v>
      </c>
      <c r="P14" s="161">
        <v>7224.2</v>
      </c>
      <c r="Q14" s="161">
        <v>5640.1</v>
      </c>
      <c r="R14" s="161">
        <v>5557.5</v>
      </c>
      <c r="S14" s="161">
        <v>6047.6</v>
      </c>
      <c r="T14" s="162">
        <v>6620.9</v>
      </c>
      <c r="U14" s="127"/>
      <c r="V14" s="142">
        <f>ROUND($F14*$H14,2)</f>
        <v>-193.92</v>
      </c>
      <c r="W14" s="142">
        <f>ROUND($F14*$I14,2)</f>
        <v>-1059.03</v>
      </c>
      <c r="X14" s="142">
        <f>ROUND($F14*$J14,2)</f>
        <v>-1169.8</v>
      </c>
      <c r="Y14" s="142">
        <f>ROUND($F14*$K14,2)</f>
        <v>-1076.1199999999999</v>
      </c>
      <c r="Z14" s="142">
        <f>ROUND($F14*$L14,2)</f>
        <v>-792.07</v>
      </c>
      <c r="AA14" s="142">
        <f>ROUND($F14*$M14,2)</f>
        <v>-551.49</v>
      </c>
      <c r="AB14" s="142">
        <f>ROUND($F14*$N14,2)</f>
        <v>-384.73</v>
      </c>
      <c r="AC14" s="142">
        <f>ROUND($F14*$O14,2)</f>
        <v>-265.27</v>
      </c>
      <c r="AD14" s="142">
        <f>ROUND($F14*$P14,2)</f>
        <v>-259.2</v>
      </c>
      <c r="AE14" s="142">
        <f>ROUND($F14*$Q14,2)</f>
        <v>-202.36</v>
      </c>
      <c r="AF14" s="142">
        <f>ROUND($F14*$R14,2)</f>
        <v>-199.4</v>
      </c>
      <c r="AG14" s="142">
        <f>ROUND($F14*$S14,2)</f>
        <v>-216.99</v>
      </c>
      <c r="AH14" s="142">
        <f>ROUND($F14*$T14,2)</f>
        <v>-237.56</v>
      </c>
      <c r="AI14" s="211">
        <f>+SUM(V14:AH14)</f>
        <v>-6607.94</v>
      </c>
      <c r="AK14" s="142">
        <f>AI14/(1-0.04372)</f>
        <v>-6910.0472664909857</v>
      </c>
    </row>
    <row r="15" spans="1:37" x14ac:dyDescent="0.25">
      <c r="A15" s="121">
        <f t="shared" si="0"/>
        <v>9</v>
      </c>
      <c r="B15" s="158" t="s">
        <v>86</v>
      </c>
      <c r="C15" s="158" t="s">
        <v>84</v>
      </c>
      <c r="D15" s="158" t="s">
        <v>87</v>
      </c>
      <c r="E15" s="158"/>
      <c r="F15" s="149">
        <v>-2.8315450800000003E-2</v>
      </c>
      <c r="G15" s="127"/>
      <c r="H15" s="161">
        <v>2301.6999999999998</v>
      </c>
      <c r="I15" s="161">
        <v>7913.7</v>
      </c>
      <c r="J15" s="161">
        <v>9118</v>
      </c>
      <c r="K15" s="161">
        <v>8765.4</v>
      </c>
      <c r="L15" s="161">
        <v>6480.6</v>
      </c>
      <c r="M15" s="161">
        <v>5194.8</v>
      </c>
      <c r="N15" s="161">
        <v>3171.9</v>
      </c>
      <c r="O15" s="161">
        <v>2288.1</v>
      </c>
      <c r="P15" s="161">
        <v>2197.6</v>
      </c>
      <c r="Q15" s="161">
        <v>1812.2</v>
      </c>
      <c r="R15" s="161">
        <v>2311.8000000000002</v>
      </c>
      <c r="S15" s="161">
        <v>2067.9</v>
      </c>
      <c r="T15" s="162">
        <v>1499.5</v>
      </c>
      <c r="U15" s="127"/>
      <c r="V15" s="142">
        <f t="shared" ref="V15:V78" si="1">ROUND($F15*$H15,2)</f>
        <v>-65.17</v>
      </c>
      <c r="W15" s="142">
        <f t="shared" ref="W15:W78" si="2">ROUND($F15*$I15,2)</f>
        <v>-224.08</v>
      </c>
      <c r="X15" s="142">
        <f t="shared" ref="X15:X78" si="3">ROUND($F15*$J15,2)</f>
        <v>-258.18</v>
      </c>
      <c r="Y15" s="142">
        <f t="shared" ref="Y15:Y78" si="4">ROUND($F15*$K15,2)</f>
        <v>-248.2</v>
      </c>
      <c r="Z15" s="142">
        <f t="shared" ref="Z15:Z78" si="5">ROUND($F15*$L15,2)</f>
        <v>-183.5</v>
      </c>
      <c r="AA15" s="142">
        <f t="shared" ref="AA15:AA78" si="6">ROUND($F15*$M15,2)</f>
        <v>-147.09</v>
      </c>
      <c r="AB15" s="142">
        <f t="shared" ref="AB15:AB78" si="7">ROUND($F15*$N15,2)</f>
        <v>-89.81</v>
      </c>
      <c r="AC15" s="142">
        <f t="shared" ref="AC15:AC78" si="8">ROUND($F15*$O15,2)</f>
        <v>-64.790000000000006</v>
      </c>
      <c r="AD15" s="142">
        <f t="shared" ref="AD15:AD78" si="9">ROUND($F15*$P15,2)</f>
        <v>-62.23</v>
      </c>
      <c r="AE15" s="142">
        <f t="shared" ref="AE15:AE78" si="10">ROUND($F15*$Q15,2)</f>
        <v>-51.31</v>
      </c>
      <c r="AF15" s="142">
        <f t="shared" ref="AF15:AF78" si="11">ROUND($F15*$R15,2)</f>
        <v>-65.459999999999994</v>
      </c>
      <c r="AG15" s="142">
        <f t="shared" ref="AG15:AG78" si="12">ROUND($F15*$S15,2)</f>
        <v>-58.55</v>
      </c>
      <c r="AH15" s="147">
        <f t="shared" ref="AH15:AH78" si="13">ROUND($F15*$T15,2)</f>
        <v>-42.46</v>
      </c>
      <c r="AI15" s="211">
        <f t="shared" ref="AI15:AI78" si="14">+SUM(V15:AH15)</f>
        <v>-1560.83</v>
      </c>
      <c r="AK15" s="142">
        <f t="shared" ref="AK15:AK78" si="15">AI15/(1-0.04372)</f>
        <v>-1632.1893169364621</v>
      </c>
    </row>
    <row r="16" spans="1:37" x14ac:dyDescent="0.25">
      <c r="A16" s="121">
        <f t="shared" si="0"/>
        <v>10</v>
      </c>
      <c r="B16" s="158" t="s">
        <v>88</v>
      </c>
      <c r="C16" s="158" t="s">
        <v>84</v>
      </c>
      <c r="D16" s="158" t="s">
        <v>89</v>
      </c>
      <c r="E16" s="158"/>
      <c r="F16" s="149">
        <v>-2.16884304E-2</v>
      </c>
      <c r="G16" s="127"/>
      <c r="H16" s="161">
        <v>1482160.9</v>
      </c>
      <c r="I16" s="161">
        <v>7961186</v>
      </c>
      <c r="J16" s="161">
        <v>8471489.6999999993</v>
      </c>
      <c r="K16" s="161">
        <v>7857637.2999999998</v>
      </c>
      <c r="L16" s="161">
        <v>5555583.5999999996</v>
      </c>
      <c r="M16" s="161">
        <v>3801090.9</v>
      </c>
      <c r="N16" s="161">
        <v>2477214.7999999998</v>
      </c>
      <c r="O16" s="161">
        <v>1559594.2</v>
      </c>
      <c r="P16" s="161">
        <v>1362146.6</v>
      </c>
      <c r="Q16" s="161">
        <v>1072804.7</v>
      </c>
      <c r="R16" s="161">
        <v>1107330.8999999999</v>
      </c>
      <c r="S16" s="161">
        <v>1310340.3</v>
      </c>
      <c r="T16" s="162">
        <v>1663307.4</v>
      </c>
      <c r="U16" s="127"/>
      <c r="V16" s="142">
        <f t="shared" si="1"/>
        <v>-32145.74</v>
      </c>
      <c r="W16" s="142">
        <f t="shared" si="2"/>
        <v>-172665.63</v>
      </c>
      <c r="X16" s="142">
        <f t="shared" si="3"/>
        <v>-183733.31</v>
      </c>
      <c r="Y16" s="142">
        <f t="shared" si="4"/>
        <v>-170419.82</v>
      </c>
      <c r="Z16" s="142">
        <f t="shared" si="5"/>
        <v>-120491.89</v>
      </c>
      <c r="AA16" s="142">
        <f t="shared" si="6"/>
        <v>-82439.7</v>
      </c>
      <c r="AB16" s="142">
        <f t="shared" si="7"/>
        <v>-53726.9</v>
      </c>
      <c r="AC16" s="142">
        <f t="shared" si="8"/>
        <v>-33825.15</v>
      </c>
      <c r="AD16" s="142">
        <f t="shared" si="9"/>
        <v>-29542.82</v>
      </c>
      <c r="AE16" s="142">
        <f t="shared" si="10"/>
        <v>-23267.45</v>
      </c>
      <c r="AF16" s="142">
        <f t="shared" si="11"/>
        <v>-24016.27</v>
      </c>
      <c r="AG16" s="142">
        <f t="shared" si="12"/>
        <v>-28419.22</v>
      </c>
      <c r="AH16" s="147">
        <f t="shared" si="13"/>
        <v>-36074.53</v>
      </c>
      <c r="AI16" s="211">
        <f t="shared" si="14"/>
        <v>-990768.42999999993</v>
      </c>
      <c r="AK16" s="142">
        <f t="shared" si="15"/>
        <v>-1036065.200568871</v>
      </c>
    </row>
    <row r="17" spans="1:37" x14ac:dyDescent="0.25">
      <c r="A17" s="121">
        <f t="shared" si="0"/>
        <v>11</v>
      </c>
      <c r="B17" s="158" t="s">
        <v>90</v>
      </c>
      <c r="C17" s="158" t="s">
        <v>84</v>
      </c>
      <c r="D17" s="158" t="s">
        <v>91</v>
      </c>
      <c r="E17" s="158"/>
      <c r="F17" s="149">
        <v>-1.9182976800000001E-2</v>
      </c>
      <c r="G17" s="127"/>
      <c r="H17" s="161">
        <v>408604</v>
      </c>
      <c r="I17" s="161">
        <v>2439604.7999999998</v>
      </c>
      <c r="J17" s="161">
        <v>2924219.2</v>
      </c>
      <c r="K17" s="161">
        <v>2624019.4</v>
      </c>
      <c r="L17" s="161">
        <v>1914319.4</v>
      </c>
      <c r="M17" s="161">
        <v>1349822.3</v>
      </c>
      <c r="N17" s="161">
        <v>886673</v>
      </c>
      <c r="O17" s="161">
        <v>665004.9</v>
      </c>
      <c r="P17" s="161">
        <v>581230.69999999995</v>
      </c>
      <c r="Q17" s="161">
        <v>485282</v>
      </c>
      <c r="R17" s="161">
        <v>511190.8</v>
      </c>
      <c r="S17" s="161">
        <v>564970.69999999995</v>
      </c>
      <c r="T17" s="162">
        <v>569161.6</v>
      </c>
      <c r="U17" s="127"/>
      <c r="V17" s="142">
        <f t="shared" si="1"/>
        <v>-7838.24</v>
      </c>
      <c r="W17" s="142">
        <f t="shared" si="2"/>
        <v>-46798.879999999997</v>
      </c>
      <c r="X17" s="142">
        <f t="shared" si="3"/>
        <v>-56095.23</v>
      </c>
      <c r="Y17" s="142">
        <f t="shared" si="4"/>
        <v>-50336.5</v>
      </c>
      <c r="Z17" s="142">
        <f t="shared" si="5"/>
        <v>-36722.339999999997</v>
      </c>
      <c r="AA17" s="142">
        <f t="shared" si="6"/>
        <v>-25893.61</v>
      </c>
      <c r="AB17" s="142">
        <f t="shared" si="7"/>
        <v>-17009.03</v>
      </c>
      <c r="AC17" s="142">
        <f t="shared" si="8"/>
        <v>-12756.77</v>
      </c>
      <c r="AD17" s="142">
        <f t="shared" si="9"/>
        <v>-11149.74</v>
      </c>
      <c r="AE17" s="142">
        <f t="shared" si="10"/>
        <v>-9309.15</v>
      </c>
      <c r="AF17" s="142">
        <f t="shared" si="11"/>
        <v>-9806.16</v>
      </c>
      <c r="AG17" s="142">
        <f t="shared" si="12"/>
        <v>-10837.82</v>
      </c>
      <c r="AH17" s="147">
        <f t="shared" si="13"/>
        <v>-10918.21</v>
      </c>
      <c r="AI17" s="211">
        <f t="shared" si="14"/>
        <v>-305471.68</v>
      </c>
      <c r="AK17" s="142">
        <f t="shared" si="15"/>
        <v>-319437.48692851467</v>
      </c>
    </row>
    <row r="18" spans="1:37" x14ac:dyDescent="0.25">
      <c r="A18" s="121">
        <f t="shared" si="0"/>
        <v>12</v>
      </c>
      <c r="B18" s="158" t="s">
        <v>92</v>
      </c>
      <c r="C18" s="158" t="s">
        <v>84</v>
      </c>
      <c r="D18" s="158" t="s">
        <v>93</v>
      </c>
      <c r="E18" s="158"/>
      <c r="F18" s="149">
        <v>0</v>
      </c>
      <c r="G18" s="127"/>
      <c r="H18" s="161">
        <v>13952.4</v>
      </c>
      <c r="I18" s="161">
        <v>54897.9</v>
      </c>
      <c r="J18" s="161">
        <v>65658.899999999994</v>
      </c>
      <c r="K18" s="161">
        <v>64731.3</v>
      </c>
      <c r="L18" s="161">
        <v>57156.4</v>
      </c>
      <c r="M18" s="161">
        <v>52216.800000000003</v>
      </c>
      <c r="N18" s="161">
        <v>45134.9</v>
      </c>
      <c r="O18" s="161">
        <v>37476.9</v>
      </c>
      <c r="P18" s="161">
        <v>34826.400000000001</v>
      </c>
      <c r="Q18" s="161">
        <v>27993.8</v>
      </c>
      <c r="R18" s="161">
        <v>23034.2</v>
      </c>
      <c r="S18" s="161">
        <v>25272.1</v>
      </c>
      <c r="T18" s="162">
        <v>18567.8</v>
      </c>
      <c r="U18" s="127"/>
      <c r="V18" s="142">
        <f t="shared" si="1"/>
        <v>0</v>
      </c>
      <c r="W18" s="142">
        <f t="shared" si="2"/>
        <v>0</v>
      </c>
      <c r="X18" s="142">
        <f t="shared" si="3"/>
        <v>0</v>
      </c>
      <c r="Y18" s="142">
        <f t="shared" si="4"/>
        <v>0</v>
      </c>
      <c r="Z18" s="142">
        <f t="shared" si="5"/>
        <v>0</v>
      </c>
      <c r="AA18" s="142">
        <f t="shared" si="6"/>
        <v>0</v>
      </c>
      <c r="AB18" s="142">
        <f t="shared" si="7"/>
        <v>0</v>
      </c>
      <c r="AC18" s="142">
        <f t="shared" si="8"/>
        <v>0</v>
      </c>
      <c r="AD18" s="142">
        <f t="shared" si="9"/>
        <v>0</v>
      </c>
      <c r="AE18" s="142">
        <f t="shared" si="10"/>
        <v>0</v>
      </c>
      <c r="AF18" s="142">
        <f t="shared" si="11"/>
        <v>0</v>
      </c>
      <c r="AG18" s="142">
        <f t="shared" si="12"/>
        <v>0</v>
      </c>
      <c r="AH18" s="147">
        <f t="shared" si="13"/>
        <v>0</v>
      </c>
      <c r="AI18" s="211">
        <f t="shared" si="14"/>
        <v>0</v>
      </c>
      <c r="AK18" s="142">
        <f t="shared" si="15"/>
        <v>0</v>
      </c>
    </row>
    <row r="19" spans="1:37" x14ac:dyDescent="0.25">
      <c r="A19" s="121">
        <f t="shared" si="0"/>
        <v>13</v>
      </c>
      <c r="B19" s="157">
        <v>27</v>
      </c>
      <c r="C19" s="157" t="s">
        <v>84</v>
      </c>
      <c r="D19" s="157" t="s">
        <v>94</v>
      </c>
      <c r="E19" s="157"/>
      <c r="F19" s="149">
        <v>-1.6926156000000001E-2</v>
      </c>
      <c r="G19" s="127"/>
      <c r="H19" s="161">
        <v>9497.7999999999993</v>
      </c>
      <c r="I19" s="161">
        <v>52860.5</v>
      </c>
      <c r="J19" s="161">
        <v>57578.1</v>
      </c>
      <c r="K19" s="161">
        <v>48626.3</v>
      </c>
      <c r="L19" s="161">
        <v>37492.5</v>
      </c>
      <c r="M19" s="161">
        <v>24059.7</v>
      </c>
      <c r="N19" s="161">
        <v>14121.3</v>
      </c>
      <c r="O19" s="161">
        <v>6620</v>
      </c>
      <c r="P19" s="161">
        <v>4125.8</v>
      </c>
      <c r="Q19" s="161">
        <v>1958</v>
      </c>
      <c r="R19" s="161">
        <v>1596.7</v>
      </c>
      <c r="S19" s="161">
        <v>4322</v>
      </c>
      <c r="T19" s="162">
        <v>9590.7000000000007</v>
      </c>
      <c r="U19" s="127"/>
      <c r="V19" s="142">
        <f t="shared" si="1"/>
        <v>-160.76</v>
      </c>
      <c r="W19" s="142">
        <f t="shared" si="2"/>
        <v>-894.73</v>
      </c>
      <c r="X19" s="142">
        <f t="shared" si="3"/>
        <v>-974.58</v>
      </c>
      <c r="Y19" s="142">
        <f t="shared" si="4"/>
        <v>-823.06</v>
      </c>
      <c r="Z19" s="142">
        <f t="shared" si="5"/>
        <v>-634.6</v>
      </c>
      <c r="AA19" s="142">
        <f t="shared" si="6"/>
        <v>-407.24</v>
      </c>
      <c r="AB19" s="142">
        <f t="shared" si="7"/>
        <v>-239.02</v>
      </c>
      <c r="AC19" s="142">
        <f t="shared" si="8"/>
        <v>-112.05</v>
      </c>
      <c r="AD19" s="142">
        <f t="shared" si="9"/>
        <v>-69.83</v>
      </c>
      <c r="AE19" s="142">
        <f t="shared" si="10"/>
        <v>-33.14</v>
      </c>
      <c r="AF19" s="142">
        <f t="shared" si="11"/>
        <v>-27.03</v>
      </c>
      <c r="AG19" s="142">
        <f t="shared" si="12"/>
        <v>-73.150000000000006</v>
      </c>
      <c r="AH19" s="147">
        <f t="shared" si="13"/>
        <v>-162.33000000000001</v>
      </c>
      <c r="AI19" s="211">
        <f t="shared" si="14"/>
        <v>-4611.5200000000004</v>
      </c>
      <c r="AK19" s="142">
        <f t="shared" si="15"/>
        <v>-4822.3532856485554</v>
      </c>
    </row>
    <row r="20" spans="1:37" x14ac:dyDescent="0.25">
      <c r="A20" s="121">
        <f t="shared" si="0"/>
        <v>14</v>
      </c>
      <c r="B20" s="159" t="s">
        <v>95</v>
      </c>
      <c r="C20" s="159" t="s">
        <v>84</v>
      </c>
      <c r="D20" s="159" t="s">
        <v>96</v>
      </c>
      <c r="E20" s="159" t="s">
        <v>97</v>
      </c>
      <c r="F20" s="150">
        <v>-1.5061410000000001E-2</v>
      </c>
      <c r="G20" s="129"/>
      <c r="H20" s="163">
        <v>73612.100000000006</v>
      </c>
      <c r="I20" s="163">
        <v>168968.4</v>
      </c>
      <c r="J20" s="163">
        <v>202993.9</v>
      </c>
      <c r="K20" s="163">
        <v>194138.9</v>
      </c>
      <c r="L20" s="163">
        <v>185332.1</v>
      </c>
      <c r="M20" s="163">
        <v>184210.4</v>
      </c>
      <c r="N20" s="163">
        <v>171402</v>
      </c>
      <c r="O20" s="163">
        <v>152549.20000000001</v>
      </c>
      <c r="P20" s="163">
        <v>138551.1</v>
      </c>
      <c r="Q20" s="163">
        <v>122733.3</v>
      </c>
      <c r="R20" s="163">
        <v>131448.1</v>
      </c>
      <c r="S20" s="163">
        <v>157878.5</v>
      </c>
      <c r="T20" s="164">
        <v>90187.8</v>
      </c>
      <c r="U20" s="129"/>
      <c r="V20" s="143">
        <f t="shared" si="1"/>
        <v>-1108.7</v>
      </c>
      <c r="W20" s="143">
        <f t="shared" si="2"/>
        <v>-2544.9</v>
      </c>
      <c r="X20" s="143">
        <f t="shared" si="3"/>
        <v>-3057.37</v>
      </c>
      <c r="Y20" s="143">
        <f t="shared" si="4"/>
        <v>-2924.01</v>
      </c>
      <c r="Z20" s="143">
        <f t="shared" si="5"/>
        <v>-2791.36</v>
      </c>
      <c r="AA20" s="143">
        <f t="shared" si="6"/>
        <v>-2774.47</v>
      </c>
      <c r="AB20" s="143">
        <f t="shared" si="7"/>
        <v>-2581.56</v>
      </c>
      <c r="AC20" s="143">
        <f t="shared" si="8"/>
        <v>-2297.61</v>
      </c>
      <c r="AD20" s="143">
        <f t="shared" si="9"/>
        <v>-2086.77</v>
      </c>
      <c r="AE20" s="143">
        <f t="shared" si="10"/>
        <v>-1848.54</v>
      </c>
      <c r="AF20" s="143">
        <f t="shared" si="11"/>
        <v>-1979.79</v>
      </c>
      <c r="AG20" s="143">
        <f t="shared" si="12"/>
        <v>-2377.87</v>
      </c>
      <c r="AH20" s="148">
        <f t="shared" si="13"/>
        <v>-1358.36</v>
      </c>
      <c r="AI20" s="212">
        <f t="shared" si="14"/>
        <v>-29731.31</v>
      </c>
      <c r="AK20" s="143">
        <f t="shared" si="15"/>
        <v>-31090.59062199356</v>
      </c>
    </row>
    <row r="21" spans="1:37" x14ac:dyDescent="0.25">
      <c r="A21" s="121">
        <f t="shared" si="0"/>
        <v>15</v>
      </c>
      <c r="B21" s="160" t="s">
        <v>96</v>
      </c>
      <c r="C21" s="160" t="s">
        <v>84</v>
      </c>
      <c r="D21" s="160" t="s">
        <v>96</v>
      </c>
      <c r="E21" s="160" t="s">
        <v>98</v>
      </c>
      <c r="F21" s="149">
        <v>-1.32636036E-2</v>
      </c>
      <c r="G21" s="127"/>
      <c r="H21" s="161">
        <v>89049.5</v>
      </c>
      <c r="I21" s="161">
        <v>325035.3</v>
      </c>
      <c r="J21" s="161">
        <v>446733.9</v>
      </c>
      <c r="K21" s="161">
        <v>388936.5</v>
      </c>
      <c r="L21" s="161">
        <v>247372.7</v>
      </c>
      <c r="M21" s="161">
        <v>156967.70000000001</v>
      </c>
      <c r="N21" s="161">
        <v>79742.600000000006</v>
      </c>
      <c r="O21" s="161">
        <v>50742.3</v>
      </c>
      <c r="P21" s="161">
        <v>41018.699999999997</v>
      </c>
      <c r="Q21" s="161">
        <v>30695</v>
      </c>
      <c r="R21" s="161">
        <v>35484.800000000003</v>
      </c>
      <c r="S21" s="161">
        <v>57360.9</v>
      </c>
      <c r="T21" s="162">
        <v>41070.9</v>
      </c>
      <c r="U21" s="127"/>
      <c r="V21" s="142">
        <f t="shared" si="1"/>
        <v>-1181.1199999999999</v>
      </c>
      <c r="W21" s="142">
        <f t="shared" si="2"/>
        <v>-4311.1400000000003</v>
      </c>
      <c r="X21" s="142">
        <f t="shared" si="3"/>
        <v>-5925.3</v>
      </c>
      <c r="Y21" s="142">
        <f t="shared" si="4"/>
        <v>-5158.7</v>
      </c>
      <c r="Z21" s="142">
        <f t="shared" si="5"/>
        <v>-3281.05</v>
      </c>
      <c r="AA21" s="142">
        <f t="shared" si="6"/>
        <v>-2081.96</v>
      </c>
      <c r="AB21" s="142">
        <f t="shared" si="7"/>
        <v>-1057.67</v>
      </c>
      <c r="AC21" s="142">
        <f t="shared" si="8"/>
        <v>-673.03</v>
      </c>
      <c r="AD21" s="142">
        <f t="shared" si="9"/>
        <v>-544.05999999999995</v>
      </c>
      <c r="AE21" s="142">
        <f t="shared" si="10"/>
        <v>-407.13</v>
      </c>
      <c r="AF21" s="142">
        <f t="shared" si="11"/>
        <v>-470.66</v>
      </c>
      <c r="AG21" s="142">
        <f t="shared" si="12"/>
        <v>-760.81</v>
      </c>
      <c r="AH21" s="147">
        <f t="shared" si="13"/>
        <v>-544.75</v>
      </c>
      <c r="AI21" s="211">
        <f t="shared" si="14"/>
        <v>-26397.380000000005</v>
      </c>
      <c r="AK21" s="142">
        <f t="shared" si="15"/>
        <v>-27604.237252687501</v>
      </c>
    </row>
    <row r="22" spans="1:37" x14ac:dyDescent="0.25">
      <c r="A22" s="121">
        <f t="shared" si="0"/>
        <v>16</v>
      </c>
      <c r="B22" s="159" t="s">
        <v>99</v>
      </c>
      <c r="C22" s="159" t="s">
        <v>84</v>
      </c>
      <c r="D22" s="159" t="s">
        <v>100</v>
      </c>
      <c r="E22" s="159" t="s">
        <v>97</v>
      </c>
      <c r="F22" s="150">
        <v>-1.4258134800000001E-2</v>
      </c>
      <c r="G22" s="129"/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4">
        <v>0</v>
      </c>
      <c r="U22" s="129"/>
      <c r="V22" s="143">
        <f t="shared" si="1"/>
        <v>0</v>
      </c>
      <c r="W22" s="143">
        <f t="shared" si="2"/>
        <v>0</v>
      </c>
      <c r="X22" s="143">
        <f t="shared" si="3"/>
        <v>0</v>
      </c>
      <c r="Y22" s="143">
        <f t="shared" si="4"/>
        <v>0</v>
      </c>
      <c r="Z22" s="143">
        <f t="shared" si="5"/>
        <v>0</v>
      </c>
      <c r="AA22" s="143">
        <f t="shared" si="6"/>
        <v>0</v>
      </c>
      <c r="AB22" s="143">
        <f t="shared" si="7"/>
        <v>0</v>
      </c>
      <c r="AC22" s="143">
        <f t="shared" si="8"/>
        <v>0</v>
      </c>
      <c r="AD22" s="143">
        <f t="shared" si="9"/>
        <v>0</v>
      </c>
      <c r="AE22" s="143">
        <f t="shared" si="10"/>
        <v>0</v>
      </c>
      <c r="AF22" s="143">
        <f t="shared" si="11"/>
        <v>0</v>
      </c>
      <c r="AG22" s="143">
        <f t="shared" si="12"/>
        <v>0</v>
      </c>
      <c r="AH22" s="148">
        <f t="shared" si="13"/>
        <v>0</v>
      </c>
      <c r="AI22" s="212">
        <f t="shared" si="14"/>
        <v>0</v>
      </c>
      <c r="AK22" s="143">
        <f t="shared" si="15"/>
        <v>0</v>
      </c>
    </row>
    <row r="23" spans="1:37" x14ac:dyDescent="0.25">
      <c r="A23" s="121">
        <f t="shared" si="0"/>
        <v>17</v>
      </c>
      <c r="B23" s="160" t="s">
        <v>100</v>
      </c>
      <c r="C23" s="160" t="s">
        <v>84</v>
      </c>
      <c r="D23" s="160" t="s">
        <v>100</v>
      </c>
      <c r="E23" s="160" t="s">
        <v>98</v>
      </c>
      <c r="F23" s="149">
        <v>-1.25559564E-2</v>
      </c>
      <c r="G23" s="127"/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2">
        <v>0</v>
      </c>
      <c r="U23" s="127"/>
      <c r="V23" s="142">
        <f t="shared" si="1"/>
        <v>0</v>
      </c>
      <c r="W23" s="142">
        <f t="shared" si="2"/>
        <v>0</v>
      </c>
      <c r="X23" s="142">
        <f t="shared" si="3"/>
        <v>0</v>
      </c>
      <c r="Y23" s="142">
        <f t="shared" si="4"/>
        <v>0</v>
      </c>
      <c r="Z23" s="142">
        <f t="shared" si="5"/>
        <v>0</v>
      </c>
      <c r="AA23" s="142">
        <f t="shared" si="6"/>
        <v>0</v>
      </c>
      <c r="AB23" s="142">
        <f t="shared" si="7"/>
        <v>0</v>
      </c>
      <c r="AC23" s="142">
        <f t="shared" si="8"/>
        <v>0</v>
      </c>
      <c r="AD23" s="142">
        <f t="shared" si="9"/>
        <v>0</v>
      </c>
      <c r="AE23" s="142">
        <f t="shared" si="10"/>
        <v>0</v>
      </c>
      <c r="AF23" s="142">
        <f t="shared" si="11"/>
        <v>0</v>
      </c>
      <c r="AG23" s="142">
        <f t="shared" si="12"/>
        <v>0</v>
      </c>
      <c r="AH23" s="147">
        <f t="shared" si="13"/>
        <v>0</v>
      </c>
      <c r="AI23" s="211">
        <f t="shared" si="14"/>
        <v>0</v>
      </c>
      <c r="AK23" s="142">
        <f t="shared" si="15"/>
        <v>0</v>
      </c>
    </row>
    <row r="24" spans="1:37" x14ac:dyDescent="0.25">
      <c r="A24" s="121">
        <f t="shared" si="0"/>
        <v>18</v>
      </c>
      <c r="B24" s="159" t="s">
        <v>101</v>
      </c>
      <c r="C24" s="159" t="s">
        <v>84</v>
      </c>
      <c r="D24" s="159" t="s">
        <v>102</v>
      </c>
      <c r="E24" s="159" t="s">
        <v>97</v>
      </c>
      <c r="F24" s="150">
        <v>0</v>
      </c>
      <c r="G24" s="129"/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3989</v>
      </c>
      <c r="Q24" s="163">
        <v>4000</v>
      </c>
      <c r="R24" s="163">
        <v>4000</v>
      </c>
      <c r="S24" s="163">
        <v>4000</v>
      </c>
      <c r="T24" s="164">
        <v>0</v>
      </c>
      <c r="U24" s="129"/>
      <c r="V24" s="143">
        <f t="shared" si="1"/>
        <v>0</v>
      </c>
      <c r="W24" s="143">
        <f t="shared" si="2"/>
        <v>0</v>
      </c>
      <c r="X24" s="143">
        <f t="shared" si="3"/>
        <v>0</v>
      </c>
      <c r="Y24" s="143">
        <f t="shared" si="4"/>
        <v>0</v>
      </c>
      <c r="Z24" s="143">
        <f t="shared" si="5"/>
        <v>0</v>
      </c>
      <c r="AA24" s="143">
        <f t="shared" si="6"/>
        <v>0</v>
      </c>
      <c r="AB24" s="143">
        <f t="shared" si="7"/>
        <v>0</v>
      </c>
      <c r="AC24" s="143">
        <f t="shared" si="8"/>
        <v>0</v>
      </c>
      <c r="AD24" s="143">
        <f t="shared" si="9"/>
        <v>0</v>
      </c>
      <c r="AE24" s="143">
        <f t="shared" si="10"/>
        <v>0</v>
      </c>
      <c r="AF24" s="143">
        <f t="shared" si="11"/>
        <v>0</v>
      </c>
      <c r="AG24" s="143">
        <f t="shared" si="12"/>
        <v>0</v>
      </c>
      <c r="AH24" s="148">
        <f t="shared" si="13"/>
        <v>0</v>
      </c>
      <c r="AI24" s="212">
        <f t="shared" si="14"/>
        <v>0</v>
      </c>
      <c r="AK24" s="143">
        <f t="shared" si="15"/>
        <v>0</v>
      </c>
    </row>
    <row r="25" spans="1:37" x14ac:dyDescent="0.25">
      <c r="A25" s="121">
        <f t="shared" si="0"/>
        <v>19</v>
      </c>
      <c r="B25" s="160" t="s">
        <v>102</v>
      </c>
      <c r="C25" s="160" t="s">
        <v>84</v>
      </c>
      <c r="D25" s="160" t="s">
        <v>102</v>
      </c>
      <c r="E25" s="160" t="s">
        <v>98</v>
      </c>
      <c r="F25" s="149">
        <v>0</v>
      </c>
      <c r="G25" s="127"/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1450</v>
      </c>
      <c r="Q25" s="161">
        <v>1040</v>
      </c>
      <c r="R25" s="161">
        <v>1281</v>
      </c>
      <c r="S25" s="161">
        <v>3625</v>
      </c>
      <c r="T25" s="162">
        <v>0</v>
      </c>
      <c r="U25" s="127"/>
      <c r="V25" s="142">
        <f t="shared" si="1"/>
        <v>0</v>
      </c>
      <c r="W25" s="142">
        <f t="shared" si="2"/>
        <v>0</v>
      </c>
      <c r="X25" s="142">
        <f t="shared" si="3"/>
        <v>0</v>
      </c>
      <c r="Y25" s="142">
        <f t="shared" si="4"/>
        <v>0</v>
      </c>
      <c r="Z25" s="142">
        <f t="shared" si="5"/>
        <v>0</v>
      </c>
      <c r="AA25" s="142">
        <f t="shared" si="6"/>
        <v>0</v>
      </c>
      <c r="AB25" s="142">
        <f t="shared" si="7"/>
        <v>0</v>
      </c>
      <c r="AC25" s="142">
        <f t="shared" si="8"/>
        <v>0</v>
      </c>
      <c r="AD25" s="142">
        <f t="shared" si="9"/>
        <v>0</v>
      </c>
      <c r="AE25" s="142">
        <f t="shared" si="10"/>
        <v>0</v>
      </c>
      <c r="AF25" s="142">
        <f t="shared" si="11"/>
        <v>0</v>
      </c>
      <c r="AG25" s="142">
        <f t="shared" si="12"/>
        <v>0</v>
      </c>
      <c r="AH25" s="147">
        <f t="shared" si="13"/>
        <v>0</v>
      </c>
      <c r="AI25" s="211">
        <f t="shared" si="14"/>
        <v>0</v>
      </c>
      <c r="AK25" s="142">
        <f t="shared" si="15"/>
        <v>0</v>
      </c>
    </row>
    <row r="26" spans="1:37" x14ac:dyDescent="0.25">
      <c r="A26" s="121">
        <f t="shared" si="0"/>
        <v>20</v>
      </c>
      <c r="B26" s="159" t="s">
        <v>103</v>
      </c>
      <c r="C26" s="159" t="s">
        <v>84</v>
      </c>
      <c r="D26" s="159" t="s">
        <v>104</v>
      </c>
      <c r="E26" s="159" t="s">
        <v>97</v>
      </c>
      <c r="F26" s="150">
        <v>0</v>
      </c>
      <c r="G26" s="129"/>
      <c r="H26" s="165">
        <v>4000</v>
      </c>
      <c r="I26" s="165">
        <v>4000</v>
      </c>
      <c r="J26" s="163">
        <v>4000</v>
      </c>
      <c r="K26" s="163">
        <v>4000</v>
      </c>
      <c r="L26" s="163">
        <v>4000</v>
      </c>
      <c r="M26" s="163">
        <v>4000</v>
      </c>
      <c r="N26" s="163">
        <v>4000</v>
      </c>
      <c r="O26" s="163">
        <v>4000</v>
      </c>
      <c r="P26" s="163">
        <v>0</v>
      </c>
      <c r="Q26" s="163">
        <v>0</v>
      </c>
      <c r="R26" s="163">
        <v>0</v>
      </c>
      <c r="S26" s="163">
        <v>0</v>
      </c>
      <c r="T26" s="164">
        <v>0</v>
      </c>
      <c r="U26" s="129"/>
      <c r="V26" s="144">
        <f t="shared" si="1"/>
        <v>0</v>
      </c>
      <c r="W26" s="144">
        <f t="shared" si="2"/>
        <v>0</v>
      </c>
      <c r="X26" s="144">
        <f t="shared" si="3"/>
        <v>0</v>
      </c>
      <c r="Y26" s="144">
        <f t="shared" si="4"/>
        <v>0</v>
      </c>
      <c r="Z26" s="144">
        <f t="shared" si="5"/>
        <v>0</v>
      </c>
      <c r="AA26" s="144">
        <f t="shared" si="6"/>
        <v>0</v>
      </c>
      <c r="AB26" s="144">
        <f t="shared" si="7"/>
        <v>0</v>
      </c>
      <c r="AC26" s="144">
        <f t="shared" si="8"/>
        <v>0</v>
      </c>
      <c r="AD26" s="144">
        <f t="shared" si="9"/>
        <v>0</v>
      </c>
      <c r="AE26" s="144">
        <f t="shared" si="10"/>
        <v>0</v>
      </c>
      <c r="AF26" s="144">
        <f t="shared" si="11"/>
        <v>0</v>
      </c>
      <c r="AG26" s="144">
        <f t="shared" si="12"/>
        <v>0</v>
      </c>
      <c r="AH26" s="151">
        <f t="shared" si="13"/>
        <v>0</v>
      </c>
      <c r="AI26" s="213">
        <f t="shared" si="14"/>
        <v>0</v>
      </c>
      <c r="AK26" s="144">
        <f t="shared" si="15"/>
        <v>0</v>
      </c>
    </row>
    <row r="27" spans="1:37" x14ac:dyDescent="0.25">
      <c r="A27" s="121">
        <f t="shared" si="0"/>
        <v>21</v>
      </c>
      <c r="B27" s="160" t="s">
        <v>104</v>
      </c>
      <c r="C27" s="160" t="s">
        <v>84</v>
      </c>
      <c r="D27" s="160" t="s">
        <v>104</v>
      </c>
      <c r="E27" s="160" t="s">
        <v>98</v>
      </c>
      <c r="F27" s="149">
        <v>0</v>
      </c>
      <c r="G27" s="127"/>
      <c r="H27" s="161">
        <v>12244</v>
      </c>
      <c r="I27" s="161">
        <v>21745</v>
      </c>
      <c r="J27" s="161">
        <v>18101</v>
      </c>
      <c r="K27" s="161">
        <v>15541</v>
      </c>
      <c r="L27" s="161">
        <v>10926</v>
      </c>
      <c r="M27" s="161">
        <v>6905</v>
      </c>
      <c r="N27" s="161">
        <v>3425</v>
      </c>
      <c r="O27" s="161">
        <v>2466</v>
      </c>
      <c r="P27" s="161">
        <v>0</v>
      </c>
      <c r="Q27" s="161">
        <v>0</v>
      </c>
      <c r="R27" s="161">
        <v>0</v>
      </c>
      <c r="S27" s="161">
        <v>0</v>
      </c>
      <c r="T27" s="162">
        <v>0</v>
      </c>
      <c r="U27" s="127"/>
      <c r="V27" s="142">
        <f t="shared" si="1"/>
        <v>0</v>
      </c>
      <c r="W27" s="142">
        <f t="shared" si="2"/>
        <v>0</v>
      </c>
      <c r="X27" s="142">
        <f t="shared" si="3"/>
        <v>0</v>
      </c>
      <c r="Y27" s="142">
        <f t="shared" si="4"/>
        <v>0</v>
      </c>
      <c r="Z27" s="142">
        <f t="shared" si="5"/>
        <v>0</v>
      </c>
      <c r="AA27" s="142">
        <f t="shared" si="6"/>
        <v>0</v>
      </c>
      <c r="AB27" s="142">
        <f t="shared" si="7"/>
        <v>0</v>
      </c>
      <c r="AC27" s="142">
        <f t="shared" si="8"/>
        <v>0</v>
      </c>
      <c r="AD27" s="142">
        <f t="shared" si="9"/>
        <v>0</v>
      </c>
      <c r="AE27" s="142">
        <f t="shared" si="10"/>
        <v>0</v>
      </c>
      <c r="AF27" s="142">
        <f t="shared" si="11"/>
        <v>0</v>
      </c>
      <c r="AG27" s="142">
        <f t="shared" si="12"/>
        <v>0</v>
      </c>
      <c r="AH27" s="147">
        <f t="shared" si="13"/>
        <v>0</v>
      </c>
      <c r="AI27" s="211">
        <f t="shared" si="14"/>
        <v>0</v>
      </c>
      <c r="AK27" s="142">
        <f t="shared" si="15"/>
        <v>0</v>
      </c>
    </row>
    <row r="28" spans="1:37" x14ac:dyDescent="0.25">
      <c r="A28" s="121">
        <f t="shared" si="0"/>
        <v>22</v>
      </c>
      <c r="B28" s="159" t="s">
        <v>105</v>
      </c>
      <c r="C28" s="159" t="s">
        <v>84</v>
      </c>
      <c r="D28" s="159" t="s">
        <v>106</v>
      </c>
      <c r="E28" s="159" t="s">
        <v>97</v>
      </c>
      <c r="F28" s="150">
        <v>0</v>
      </c>
      <c r="G28" s="129"/>
      <c r="H28" s="163">
        <v>4992.2</v>
      </c>
      <c r="I28" s="163">
        <v>18000</v>
      </c>
      <c r="J28" s="163">
        <v>18000</v>
      </c>
      <c r="K28" s="163">
        <v>18000</v>
      </c>
      <c r="L28" s="163">
        <v>17889</v>
      </c>
      <c r="M28" s="163">
        <v>18000</v>
      </c>
      <c r="N28" s="163">
        <v>17896.8</v>
      </c>
      <c r="O28" s="163">
        <v>16288.7</v>
      </c>
      <c r="P28" s="163">
        <v>0</v>
      </c>
      <c r="Q28" s="163">
        <v>0</v>
      </c>
      <c r="R28" s="163">
        <v>0</v>
      </c>
      <c r="S28" s="163">
        <v>0</v>
      </c>
      <c r="T28" s="164">
        <v>0</v>
      </c>
      <c r="U28" s="129"/>
      <c r="V28" s="143">
        <f t="shared" si="1"/>
        <v>0</v>
      </c>
      <c r="W28" s="143">
        <f t="shared" si="2"/>
        <v>0</v>
      </c>
      <c r="X28" s="143">
        <f t="shared" si="3"/>
        <v>0</v>
      </c>
      <c r="Y28" s="143">
        <f t="shared" si="4"/>
        <v>0</v>
      </c>
      <c r="Z28" s="143">
        <f t="shared" si="5"/>
        <v>0</v>
      </c>
      <c r="AA28" s="143">
        <f t="shared" si="6"/>
        <v>0</v>
      </c>
      <c r="AB28" s="143">
        <f t="shared" si="7"/>
        <v>0</v>
      </c>
      <c r="AC28" s="143">
        <f t="shared" si="8"/>
        <v>0</v>
      </c>
      <c r="AD28" s="143">
        <f t="shared" si="9"/>
        <v>0</v>
      </c>
      <c r="AE28" s="143">
        <f t="shared" si="10"/>
        <v>0</v>
      </c>
      <c r="AF28" s="143">
        <f t="shared" si="11"/>
        <v>0</v>
      </c>
      <c r="AG28" s="143">
        <f t="shared" si="12"/>
        <v>0</v>
      </c>
      <c r="AH28" s="148">
        <f t="shared" si="13"/>
        <v>0</v>
      </c>
      <c r="AI28" s="212">
        <f t="shared" si="14"/>
        <v>0</v>
      </c>
      <c r="AK28" s="143">
        <f t="shared" si="15"/>
        <v>0</v>
      </c>
    </row>
    <row r="29" spans="1:37" x14ac:dyDescent="0.25">
      <c r="A29" s="121">
        <f t="shared" si="0"/>
        <v>23</v>
      </c>
      <c r="B29" s="160" t="s">
        <v>106</v>
      </c>
      <c r="C29" s="160" t="s">
        <v>84</v>
      </c>
      <c r="D29" s="160" t="s">
        <v>106</v>
      </c>
      <c r="E29" s="160" t="s">
        <v>98</v>
      </c>
      <c r="F29" s="149">
        <v>0</v>
      </c>
      <c r="G29" s="127"/>
      <c r="H29" s="161">
        <v>5476.3</v>
      </c>
      <c r="I29" s="161">
        <v>29409.1</v>
      </c>
      <c r="J29" s="161">
        <v>34323.4</v>
      </c>
      <c r="K29" s="161">
        <v>30318.2</v>
      </c>
      <c r="L29" s="161">
        <v>25973.3</v>
      </c>
      <c r="M29" s="161">
        <v>17719.5</v>
      </c>
      <c r="N29" s="161">
        <v>10989.3</v>
      </c>
      <c r="O29" s="161">
        <v>9591.4</v>
      </c>
      <c r="P29" s="161">
        <v>0</v>
      </c>
      <c r="Q29" s="161">
        <v>0</v>
      </c>
      <c r="R29" s="161">
        <v>0</v>
      </c>
      <c r="S29" s="161">
        <v>0</v>
      </c>
      <c r="T29" s="162">
        <v>0</v>
      </c>
      <c r="U29" s="127"/>
      <c r="V29" s="142">
        <f t="shared" si="1"/>
        <v>0</v>
      </c>
      <c r="W29" s="142">
        <f t="shared" si="2"/>
        <v>0</v>
      </c>
      <c r="X29" s="142">
        <f t="shared" si="3"/>
        <v>0</v>
      </c>
      <c r="Y29" s="142">
        <f t="shared" si="4"/>
        <v>0</v>
      </c>
      <c r="Z29" s="142">
        <f t="shared" si="5"/>
        <v>0</v>
      </c>
      <c r="AA29" s="142">
        <f t="shared" si="6"/>
        <v>0</v>
      </c>
      <c r="AB29" s="142">
        <f t="shared" si="7"/>
        <v>0</v>
      </c>
      <c r="AC29" s="142">
        <f t="shared" si="8"/>
        <v>0</v>
      </c>
      <c r="AD29" s="142">
        <f t="shared" si="9"/>
        <v>0</v>
      </c>
      <c r="AE29" s="142">
        <f t="shared" si="10"/>
        <v>0</v>
      </c>
      <c r="AF29" s="142">
        <f t="shared" si="11"/>
        <v>0</v>
      </c>
      <c r="AG29" s="142">
        <f t="shared" si="12"/>
        <v>0</v>
      </c>
      <c r="AH29" s="147">
        <f t="shared" si="13"/>
        <v>0</v>
      </c>
      <c r="AI29" s="211">
        <f t="shared" si="14"/>
        <v>0</v>
      </c>
      <c r="AK29" s="142">
        <f t="shared" si="15"/>
        <v>0</v>
      </c>
    </row>
    <row r="30" spans="1:37" x14ac:dyDescent="0.25">
      <c r="A30" s="121">
        <f t="shared" si="0"/>
        <v>24</v>
      </c>
      <c r="B30" s="159" t="s">
        <v>107</v>
      </c>
      <c r="C30" s="159" t="s">
        <v>84</v>
      </c>
      <c r="D30" s="159" t="s">
        <v>108</v>
      </c>
      <c r="E30" s="159" t="s">
        <v>97</v>
      </c>
      <c r="F30" s="150">
        <v>0</v>
      </c>
      <c r="G30" s="129"/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15773.8</v>
      </c>
      <c r="Q30" s="163">
        <v>13860.9</v>
      </c>
      <c r="R30" s="163">
        <v>14114.5</v>
      </c>
      <c r="S30" s="163">
        <v>14618.5</v>
      </c>
      <c r="T30" s="164">
        <v>11840.4</v>
      </c>
      <c r="U30" s="129"/>
      <c r="V30" s="143">
        <f t="shared" si="1"/>
        <v>0</v>
      </c>
      <c r="W30" s="143">
        <f t="shared" si="2"/>
        <v>0</v>
      </c>
      <c r="X30" s="143">
        <f t="shared" si="3"/>
        <v>0</v>
      </c>
      <c r="Y30" s="143">
        <f t="shared" si="4"/>
        <v>0</v>
      </c>
      <c r="Z30" s="143">
        <f t="shared" si="5"/>
        <v>0</v>
      </c>
      <c r="AA30" s="143">
        <f t="shared" si="6"/>
        <v>0</v>
      </c>
      <c r="AB30" s="143">
        <f t="shared" si="7"/>
        <v>0</v>
      </c>
      <c r="AC30" s="143">
        <f t="shared" si="8"/>
        <v>0</v>
      </c>
      <c r="AD30" s="143">
        <f t="shared" si="9"/>
        <v>0</v>
      </c>
      <c r="AE30" s="143">
        <f t="shared" si="10"/>
        <v>0</v>
      </c>
      <c r="AF30" s="143">
        <f t="shared" si="11"/>
        <v>0</v>
      </c>
      <c r="AG30" s="143">
        <f t="shared" si="12"/>
        <v>0</v>
      </c>
      <c r="AH30" s="148">
        <f t="shared" si="13"/>
        <v>0</v>
      </c>
      <c r="AI30" s="212">
        <f t="shared" si="14"/>
        <v>0</v>
      </c>
      <c r="AK30" s="143">
        <f t="shared" si="15"/>
        <v>0</v>
      </c>
    </row>
    <row r="31" spans="1:37" x14ac:dyDescent="0.25">
      <c r="A31" s="121">
        <f t="shared" si="0"/>
        <v>25</v>
      </c>
      <c r="B31" s="160" t="s">
        <v>108</v>
      </c>
      <c r="C31" s="160" t="s">
        <v>84</v>
      </c>
      <c r="D31" s="160" t="s">
        <v>108</v>
      </c>
      <c r="E31" s="160" t="s">
        <v>98</v>
      </c>
      <c r="F31" s="149">
        <v>0</v>
      </c>
      <c r="G31" s="127"/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8579.6</v>
      </c>
      <c r="Q31" s="161">
        <v>7109</v>
      </c>
      <c r="R31" s="161">
        <v>8399.2000000000007</v>
      </c>
      <c r="S31" s="161">
        <v>7884.2</v>
      </c>
      <c r="T31" s="162">
        <v>4892.8999999999996</v>
      </c>
      <c r="U31" s="127"/>
      <c r="V31" s="142">
        <f t="shared" si="1"/>
        <v>0</v>
      </c>
      <c r="W31" s="142">
        <f t="shared" si="2"/>
        <v>0</v>
      </c>
      <c r="X31" s="142">
        <f t="shared" si="3"/>
        <v>0</v>
      </c>
      <c r="Y31" s="142">
        <f t="shared" si="4"/>
        <v>0</v>
      </c>
      <c r="Z31" s="142">
        <f t="shared" si="5"/>
        <v>0</v>
      </c>
      <c r="AA31" s="142">
        <f t="shared" si="6"/>
        <v>0</v>
      </c>
      <c r="AB31" s="142">
        <f t="shared" si="7"/>
        <v>0</v>
      </c>
      <c r="AC31" s="142">
        <f t="shared" si="8"/>
        <v>0</v>
      </c>
      <c r="AD31" s="142">
        <f t="shared" si="9"/>
        <v>0</v>
      </c>
      <c r="AE31" s="142">
        <f t="shared" si="10"/>
        <v>0</v>
      </c>
      <c r="AF31" s="142">
        <f t="shared" si="11"/>
        <v>0</v>
      </c>
      <c r="AG31" s="142">
        <f t="shared" si="12"/>
        <v>0</v>
      </c>
      <c r="AH31" s="147">
        <f t="shared" si="13"/>
        <v>0</v>
      </c>
      <c r="AI31" s="211">
        <f t="shared" si="14"/>
        <v>0</v>
      </c>
      <c r="AK31" s="142">
        <f t="shared" si="15"/>
        <v>0</v>
      </c>
    </row>
    <row r="32" spans="1:37" x14ac:dyDescent="0.25">
      <c r="A32" s="121">
        <f t="shared" si="0"/>
        <v>26</v>
      </c>
      <c r="B32" s="159" t="s">
        <v>109</v>
      </c>
      <c r="C32" s="159" t="s">
        <v>84</v>
      </c>
      <c r="D32" s="159" t="s">
        <v>110</v>
      </c>
      <c r="E32" s="159" t="s">
        <v>97</v>
      </c>
      <c r="F32" s="150">
        <v>-9.6775536000000013E-3</v>
      </c>
      <c r="G32" s="129"/>
      <c r="H32" s="163">
        <v>45650</v>
      </c>
      <c r="I32" s="163">
        <v>58484</v>
      </c>
      <c r="J32" s="163">
        <v>54469</v>
      </c>
      <c r="K32" s="163">
        <v>53868</v>
      </c>
      <c r="L32" s="163">
        <v>43187</v>
      </c>
      <c r="M32" s="163">
        <v>37302</v>
      </c>
      <c r="N32" s="163">
        <v>31485</v>
      </c>
      <c r="O32" s="163">
        <v>26706</v>
      </c>
      <c r="P32" s="163">
        <v>15840</v>
      </c>
      <c r="Q32" s="163">
        <v>13997</v>
      </c>
      <c r="R32" s="163">
        <v>22751</v>
      </c>
      <c r="S32" s="163">
        <v>33531</v>
      </c>
      <c r="T32" s="164">
        <v>0</v>
      </c>
      <c r="U32" s="129"/>
      <c r="V32" s="143">
        <f t="shared" si="1"/>
        <v>-441.78</v>
      </c>
      <c r="W32" s="143">
        <f t="shared" si="2"/>
        <v>-565.98</v>
      </c>
      <c r="X32" s="143">
        <f t="shared" si="3"/>
        <v>-527.13</v>
      </c>
      <c r="Y32" s="143">
        <f t="shared" si="4"/>
        <v>-521.30999999999995</v>
      </c>
      <c r="Z32" s="143">
        <f t="shared" si="5"/>
        <v>-417.94</v>
      </c>
      <c r="AA32" s="143">
        <f t="shared" si="6"/>
        <v>-360.99</v>
      </c>
      <c r="AB32" s="143">
        <f t="shared" si="7"/>
        <v>-304.7</v>
      </c>
      <c r="AC32" s="143">
        <f t="shared" si="8"/>
        <v>-258.45</v>
      </c>
      <c r="AD32" s="143">
        <f t="shared" si="9"/>
        <v>-153.29</v>
      </c>
      <c r="AE32" s="143">
        <f t="shared" si="10"/>
        <v>-135.46</v>
      </c>
      <c r="AF32" s="143">
        <f t="shared" si="11"/>
        <v>-220.17</v>
      </c>
      <c r="AG32" s="143">
        <f t="shared" si="12"/>
        <v>-324.5</v>
      </c>
      <c r="AH32" s="148">
        <f t="shared" si="13"/>
        <v>0</v>
      </c>
      <c r="AI32" s="212">
        <f t="shared" si="14"/>
        <v>-4231.7</v>
      </c>
      <c r="AK32" s="143">
        <f t="shared" si="15"/>
        <v>-4425.1683607311661</v>
      </c>
    </row>
    <row r="33" spans="1:37" x14ac:dyDescent="0.25">
      <c r="A33" s="121">
        <f t="shared" si="0"/>
        <v>27</v>
      </c>
      <c r="B33" s="159" t="s">
        <v>110</v>
      </c>
      <c r="C33" s="159" t="s">
        <v>84</v>
      </c>
      <c r="D33" s="159" t="s">
        <v>110</v>
      </c>
      <c r="E33" s="159" t="s">
        <v>98</v>
      </c>
      <c r="F33" s="150">
        <v>-8.6638968000000011E-3</v>
      </c>
      <c r="G33" s="129"/>
      <c r="H33" s="163">
        <v>21776</v>
      </c>
      <c r="I33" s="163">
        <v>44046</v>
      </c>
      <c r="J33" s="163">
        <v>38402</v>
      </c>
      <c r="K33" s="163">
        <v>35855</v>
      </c>
      <c r="L33" s="163">
        <v>20974</v>
      </c>
      <c r="M33" s="163">
        <v>12407</v>
      </c>
      <c r="N33" s="163">
        <v>876</v>
      </c>
      <c r="O33" s="163">
        <v>457</v>
      </c>
      <c r="P33" s="163">
        <v>0</v>
      </c>
      <c r="Q33" s="163">
        <v>0</v>
      </c>
      <c r="R33" s="163">
        <v>0</v>
      </c>
      <c r="S33" s="163">
        <v>2832</v>
      </c>
      <c r="T33" s="164">
        <v>0</v>
      </c>
      <c r="U33" s="129"/>
      <c r="V33" s="143">
        <f t="shared" si="1"/>
        <v>-188.67</v>
      </c>
      <c r="W33" s="143">
        <f t="shared" si="2"/>
        <v>-381.61</v>
      </c>
      <c r="X33" s="143">
        <f t="shared" si="3"/>
        <v>-332.71</v>
      </c>
      <c r="Y33" s="143">
        <f t="shared" si="4"/>
        <v>-310.64</v>
      </c>
      <c r="Z33" s="143">
        <f t="shared" si="5"/>
        <v>-181.72</v>
      </c>
      <c r="AA33" s="143">
        <f t="shared" si="6"/>
        <v>-107.49</v>
      </c>
      <c r="AB33" s="143">
        <f t="shared" si="7"/>
        <v>-7.59</v>
      </c>
      <c r="AC33" s="143">
        <f t="shared" si="8"/>
        <v>-3.96</v>
      </c>
      <c r="AD33" s="143">
        <f t="shared" si="9"/>
        <v>0</v>
      </c>
      <c r="AE33" s="143">
        <f t="shared" si="10"/>
        <v>0</v>
      </c>
      <c r="AF33" s="143">
        <f t="shared" si="11"/>
        <v>0</v>
      </c>
      <c r="AG33" s="143">
        <f t="shared" si="12"/>
        <v>-24.54</v>
      </c>
      <c r="AH33" s="148">
        <f t="shared" si="13"/>
        <v>0</v>
      </c>
      <c r="AI33" s="212">
        <f t="shared" si="14"/>
        <v>-1538.93</v>
      </c>
      <c r="AK33" s="143">
        <f t="shared" si="15"/>
        <v>-1609.2880746224955</v>
      </c>
    </row>
    <row r="34" spans="1:37" x14ac:dyDescent="0.25">
      <c r="A34" s="121">
        <f t="shared" si="0"/>
        <v>28</v>
      </c>
      <c r="B34" s="159"/>
      <c r="C34" s="159" t="s">
        <v>84</v>
      </c>
      <c r="D34" s="159" t="s">
        <v>110</v>
      </c>
      <c r="E34" s="159" t="s">
        <v>111</v>
      </c>
      <c r="F34" s="150">
        <v>-6.6365831999999998E-3</v>
      </c>
      <c r="G34" s="129"/>
      <c r="H34" s="163">
        <v>0</v>
      </c>
      <c r="I34" s="163">
        <v>11784</v>
      </c>
      <c r="J34" s="163">
        <v>3519</v>
      </c>
      <c r="K34" s="163">
        <v>2265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163">
        <v>0</v>
      </c>
      <c r="T34" s="164">
        <v>0</v>
      </c>
      <c r="U34" s="129"/>
      <c r="V34" s="143">
        <f t="shared" si="1"/>
        <v>0</v>
      </c>
      <c r="W34" s="143">
        <f t="shared" si="2"/>
        <v>-78.209999999999994</v>
      </c>
      <c r="X34" s="143">
        <f t="shared" si="3"/>
        <v>-23.35</v>
      </c>
      <c r="Y34" s="143">
        <f t="shared" si="4"/>
        <v>-15.03</v>
      </c>
      <c r="Z34" s="143">
        <f t="shared" si="5"/>
        <v>0</v>
      </c>
      <c r="AA34" s="143">
        <f t="shared" si="6"/>
        <v>0</v>
      </c>
      <c r="AB34" s="143">
        <f t="shared" si="7"/>
        <v>0</v>
      </c>
      <c r="AC34" s="143">
        <f t="shared" si="8"/>
        <v>0</v>
      </c>
      <c r="AD34" s="143">
        <f t="shared" si="9"/>
        <v>0</v>
      </c>
      <c r="AE34" s="143">
        <f t="shared" si="10"/>
        <v>0</v>
      </c>
      <c r="AF34" s="143">
        <f t="shared" si="11"/>
        <v>0</v>
      </c>
      <c r="AG34" s="143">
        <f t="shared" si="12"/>
        <v>0</v>
      </c>
      <c r="AH34" s="148">
        <f t="shared" si="13"/>
        <v>0</v>
      </c>
      <c r="AI34" s="212">
        <f t="shared" si="14"/>
        <v>-116.59</v>
      </c>
      <c r="AK34" s="143">
        <f t="shared" si="15"/>
        <v>-121.92035805412641</v>
      </c>
    </row>
    <row r="35" spans="1:37" x14ac:dyDescent="0.25">
      <c r="A35" s="121">
        <f t="shared" si="0"/>
        <v>29</v>
      </c>
      <c r="B35" s="159"/>
      <c r="C35" s="159" t="s">
        <v>84</v>
      </c>
      <c r="D35" s="159" t="s">
        <v>110</v>
      </c>
      <c r="E35" s="159" t="s">
        <v>112</v>
      </c>
      <c r="F35" s="150">
        <v>-5.3169167999999999E-3</v>
      </c>
      <c r="G35" s="129"/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4">
        <v>0</v>
      </c>
      <c r="U35" s="129"/>
      <c r="V35" s="143">
        <f t="shared" si="1"/>
        <v>0</v>
      </c>
      <c r="W35" s="143">
        <f t="shared" si="2"/>
        <v>0</v>
      </c>
      <c r="X35" s="143">
        <f t="shared" si="3"/>
        <v>0</v>
      </c>
      <c r="Y35" s="143">
        <f t="shared" si="4"/>
        <v>0</v>
      </c>
      <c r="Z35" s="143">
        <f t="shared" si="5"/>
        <v>0</v>
      </c>
      <c r="AA35" s="143">
        <f t="shared" si="6"/>
        <v>0</v>
      </c>
      <c r="AB35" s="143">
        <f t="shared" si="7"/>
        <v>0</v>
      </c>
      <c r="AC35" s="143">
        <f t="shared" si="8"/>
        <v>0</v>
      </c>
      <c r="AD35" s="143">
        <f t="shared" si="9"/>
        <v>0</v>
      </c>
      <c r="AE35" s="143">
        <f t="shared" si="10"/>
        <v>0</v>
      </c>
      <c r="AF35" s="143">
        <f t="shared" si="11"/>
        <v>0</v>
      </c>
      <c r="AG35" s="143">
        <f t="shared" si="12"/>
        <v>0</v>
      </c>
      <c r="AH35" s="148">
        <f t="shared" si="13"/>
        <v>0</v>
      </c>
      <c r="AI35" s="212">
        <f t="shared" si="14"/>
        <v>0</v>
      </c>
      <c r="AK35" s="143">
        <f t="shared" si="15"/>
        <v>0</v>
      </c>
    </row>
    <row r="36" spans="1:37" x14ac:dyDescent="0.25">
      <c r="A36" s="121">
        <f t="shared" si="0"/>
        <v>30</v>
      </c>
      <c r="B36" s="159"/>
      <c r="C36" s="159" t="s">
        <v>84</v>
      </c>
      <c r="D36" s="159" t="s">
        <v>110</v>
      </c>
      <c r="E36" s="159" t="s">
        <v>113</v>
      </c>
      <c r="F36" s="150">
        <v>-3.5382360000000002E-3</v>
      </c>
      <c r="G36" s="129"/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4">
        <v>0</v>
      </c>
      <c r="U36" s="129"/>
      <c r="V36" s="143">
        <f t="shared" si="1"/>
        <v>0</v>
      </c>
      <c r="W36" s="143">
        <f t="shared" si="2"/>
        <v>0</v>
      </c>
      <c r="X36" s="143">
        <f t="shared" si="3"/>
        <v>0</v>
      </c>
      <c r="Y36" s="143">
        <f t="shared" si="4"/>
        <v>0</v>
      </c>
      <c r="Z36" s="143">
        <f t="shared" si="5"/>
        <v>0</v>
      </c>
      <c r="AA36" s="143">
        <f t="shared" si="6"/>
        <v>0</v>
      </c>
      <c r="AB36" s="143">
        <f t="shared" si="7"/>
        <v>0</v>
      </c>
      <c r="AC36" s="143">
        <f t="shared" si="8"/>
        <v>0</v>
      </c>
      <c r="AD36" s="143">
        <f t="shared" si="9"/>
        <v>0</v>
      </c>
      <c r="AE36" s="143">
        <f t="shared" si="10"/>
        <v>0</v>
      </c>
      <c r="AF36" s="143">
        <f t="shared" si="11"/>
        <v>0</v>
      </c>
      <c r="AG36" s="143">
        <f t="shared" si="12"/>
        <v>0</v>
      </c>
      <c r="AH36" s="148">
        <f t="shared" si="13"/>
        <v>0</v>
      </c>
      <c r="AI36" s="212">
        <f t="shared" si="14"/>
        <v>0</v>
      </c>
      <c r="AK36" s="143">
        <f t="shared" si="15"/>
        <v>0</v>
      </c>
    </row>
    <row r="37" spans="1:37" x14ac:dyDescent="0.25">
      <c r="A37" s="121">
        <f t="shared" si="0"/>
        <v>31</v>
      </c>
      <c r="B37" s="160"/>
      <c r="C37" s="160" t="s">
        <v>84</v>
      </c>
      <c r="D37" s="160" t="s">
        <v>110</v>
      </c>
      <c r="E37" s="160" t="s">
        <v>114</v>
      </c>
      <c r="F37" s="149">
        <v>-1.3292292E-3</v>
      </c>
      <c r="G37" s="127"/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2">
        <v>0</v>
      </c>
      <c r="U37" s="127"/>
      <c r="V37" s="142">
        <f t="shared" si="1"/>
        <v>0</v>
      </c>
      <c r="W37" s="142">
        <f t="shared" si="2"/>
        <v>0</v>
      </c>
      <c r="X37" s="142">
        <f t="shared" si="3"/>
        <v>0</v>
      </c>
      <c r="Y37" s="142">
        <f t="shared" si="4"/>
        <v>0</v>
      </c>
      <c r="Z37" s="142">
        <f t="shared" si="5"/>
        <v>0</v>
      </c>
      <c r="AA37" s="142">
        <f t="shared" si="6"/>
        <v>0</v>
      </c>
      <c r="AB37" s="142">
        <f t="shared" si="7"/>
        <v>0</v>
      </c>
      <c r="AC37" s="142">
        <f t="shared" si="8"/>
        <v>0</v>
      </c>
      <c r="AD37" s="142">
        <f t="shared" si="9"/>
        <v>0</v>
      </c>
      <c r="AE37" s="142">
        <f t="shared" si="10"/>
        <v>0</v>
      </c>
      <c r="AF37" s="142">
        <f t="shared" si="11"/>
        <v>0</v>
      </c>
      <c r="AG37" s="142">
        <f t="shared" si="12"/>
        <v>0</v>
      </c>
      <c r="AH37" s="147">
        <f t="shared" si="13"/>
        <v>0</v>
      </c>
      <c r="AI37" s="211">
        <f t="shared" si="14"/>
        <v>0</v>
      </c>
      <c r="AK37" s="142">
        <f t="shared" si="15"/>
        <v>0</v>
      </c>
    </row>
    <row r="38" spans="1:37" ht="12" customHeight="1" x14ac:dyDescent="0.25">
      <c r="A38" s="121">
        <f t="shared" si="0"/>
        <v>32</v>
      </c>
      <c r="B38" s="159" t="s">
        <v>115</v>
      </c>
      <c r="C38" s="159" t="s">
        <v>84</v>
      </c>
      <c r="D38" s="159" t="s">
        <v>116</v>
      </c>
      <c r="E38" s="159" t="s">
        <v>97</v>
      </c>
      <c r="F38" s="150">
        <v>0</v>
      </c>
      <c r="G38" s="129"/>
      <c r="H38" s="163">
        <v>81686</v>
      </c>
      <c r="I38" s="163">
        <v>113620</v>
      </c>
      <c r="J38" s="163">
        <v>113886</v>
      </c>
      <c r="K38" s="163">
        <v>113250</v>
      </c>
      <c r="L38" s="163">
        <v>121308</v>
      </c>
      <c r="M38" s="163">
        <v>99956</v>
      </c>
      <c r="N38" s="163">
        <v>89371</v>
      </c>
      <c r="O38" s="163">
        <v>76870</v>
      </c>
      <c r="P38" s="163">
        <v>69092</v>
      </c>
      <c r="Q38" s="163">
        <v>66354</v>
      </c>
      <c r="R38" s="163">
        <v>73288</v>
      </c>
      <c r="S38" s="163">
        <v>87964</v>
      </c>
      <c r="T38" s="164">
        <v>0</v>
      </c>
      <c r="U38" s="129"/>
      <c r="V38" s="143">
        <f t="shared" si="1"/>
        <v>0</v>
      </c>
      <c r="W38" s="143">
        <f t="shared" si="2"/>
        <v>0</v>
      </c>
      <c r="X38" s="143">
        <f t="shared" si="3"/>
        <v>0</v>
      </c>
      <c r="Y38" s="143">
        <f t="shared" si="4"/>
        <v>0</v>
      </c>
      <c r="Z38" s="143">
        <f t="shared" si="5"/>
        <v>0</v>
      </c>
      <c r="AA38" s="143">
        <f t="shared" si="6"/>
        <v>0</v>
      </c>
      <c r="AB38" s="143">
        <f t="shared" si="7"/>
        <v>0</v>
      </c>
      <c r="AC38" s="143">
        <f t="shared" si="8"/>
        <v>0</v>
      </c>
      <c r="AD38" s="143">
        <f t="shared" si="9"/>
        <v>0</v>
      </c>
      <c r="AE38" s="143">
        <f t="shared" si="10"/>
        <v>0</v>
      </c>
      <c r="AF38" s="143">
        <f t="shared" si="11"/>
        <v>0</v>
      </c>
      <c r="AG38" s="143">
        <f t="shared" si="12"/>
        <v>0</v>
      </c>
      <c r="AH38" s="148">
        <f t="shared" si="13"/>
        <v>0</v>
      </c>
      <c r="AI38" s="212">
        <f t="shared" si="14"/>
        <v>0</v>
      </c>
      <c r="AK38" s="143">
        <f t="shared" si="15"/>
        <v>0</v>
      </c>
    </row>
    <row r="39" spans="1:37" x14ac:dyDescent="0.25">
      <c r="A39" s="121">
        <f t="shared" si="0"/>
        <v>33</v>
      </c>
      <c r="B39" s="159" t="s">
        <v>116</v>
      </c>
      <c r="C39" s="159" t="s">
        <v>84</v>
      </c>
      <c r="D39" s="159" t="s">
        <v>116</v>
      </c>
      <c r="E39" s="159" t="s">
        <v>98</v>
      </c>
      <c r="F39" s="150">
        <v>0</v>
      </c>
      <c r="G39" s="129"/>
      <c r="H39" s="163">
        <v>72764</v>
      </c>
      <c r="I39" s="163">
        <v>127830</v>
      </c>
      <c r="J39" s="163">
        <v>125866</v>
      </c>
      <c r="K39" s="163">
        <v>116462</v>
      </c>
      <c r="L39" s="163">
        <v>80198</v>
      </c>
      <c r="M39" s="163">
        <v>60014</v>
      </c>
      <c r="N39" s="163">
        <v>48369</v>
      </c>
      <c r="O39" s="163">
        <v>27723</v>
      </c>
      <c r="P39" s="163">
        <v>29245</v>
      </c>
      <c r="Q39" s="163">
        <v>29474</v>
      </c>
      <c r="R39" s="163">
        <v>30681</v>
      </c>
      <c r="S39" s="163">
        <v>43186</v>
      </c>
      <c r="T39" s="164">
        <v>14</v>
      </c>
      <c r="U39" s="129"/>
      <c r="V39" s="143">
        <f t="shared" si="1"/>
        <v>0</v>
      </c>
      <c r="W39" s="143">
        <f t="shared" si="2"/>
        <v>0</v>
      </c>
      <c r="X39" s="143">
        <f t="shared" si="3"/>
        <v>0</v>
      </c>
      <c r="Y39" s="143">
        <f t="shared" si="4"/>
        <v>0</v>
      </c>
      <c r="Z39" s="143">
        <f t="shared" si="5"/>
        <v>0</v>
      </c>
      <c r="AA39" s="143">
        <f t="shared" si="6"/>
        <v>0</v>
      </c>
      <c r="AB39" s="143">
        <f t="shared" si="7"/>
        <v>0</v>
      </c>
      <c r="AC39" s="143">
        <f t="shared" si="8"/>
        <v>0</v>
      </c>
      <c r="AD39" s="143">
        <f t="shared" si="9"/>
        <v>0</v>
      </c>
      <c r="AE39" s="143">
        <f t="shared" si="10"/>
        <v>0</v>
      </c>
      <c r="AF39" s="143">
        <f t="shared" si="11"/>
        <v>0</v>
      </c>
      <c r="AG39" s="143">
        <f t="shared" si="12"/>
        <v>0</v>
      </c>
      <c r="AH39" s="148">
        <f t="shared" si="13"/>
        <v>0</v>
      </c>
      <c r="AI39" s="212">
        <f t="shared" si="14"/>
        <v>0</v>
      </c>
      <c r="AK39" s="143">
        <f t="shared" si="15"/>
        <v>0</v>
      </c>
    </row>
    <row r="40" spans="1:37" x14ac:dyDescent="0.25">
      <c r="A40" s="121">
        <f t="shared" si="0"/>
        <v>34</v>
      </c>
      <c r="B40" s="159"/>
      <c r="C40" s="159" t="s">
        <v>84</v>
      </c>
      <c r="D40" s="159" t="s">
        <v>116</v>
      </c>
      <c r="E40" s="159" t="s">
        <v>111</v>
      </c>
      <c r="F40" s="150">
        <v>0</v>
      </c>
      <c r="G40" s="129"/>
      <c r="H40" s="163">
        <v>23566</v>
      </c>
      <c r="I40" s="163">
        <v>40261</v>
      </c>
      <c r="J40" s="163">
        <v>37197</v>
      </c>
      <c r="K40" s="163">
        <v>31474</v>
      </c>
      <c r="L40" s="163">
        <v>24183</v>
      </c>
      <c r="M40" s="163">
        <v>22309</v>
      </c>
      <c r="N40" s="163">
        <v>20000</v>
      </c>
      <c r="O40" s="163">
        <v>991</v>
      </c>
      <c r="P40" s="163">
        <v>4309</v>
      </c>
      <c r="Q40" s="163">
        <v>0</v>
      </c>
      <c r="R40" s="163">
        <v>903</v>
      </c>
      <c r="S40" s="163">
        <v>2581</v>
      </c>
      <c r="T40" s="164">
        <v>0</v>
      </c>
      <c r="U40" s="129"/>
      <c r="V40" s="143">
        <f t="shared" si="1"/>
        <v>0</v>
      </c>
      <c r="W40" s="143">
        <f t="shared" si="2"/>
        <v>0</v>
      </c>
      <c r="X40" s="143">
        <f t="shared" si="3"/>
        <v>0</v>
      </c>
      <c r="Y40" s="143">
        <f t="shared" si="4"/>
        <v>0</v>
      </c>
      <c r="Z40" s="143">
        <f t="shared" si="5"/>
        <v>0</v>
      </c>
      <c r="AA40" s="143">
        <f t="shared" si="6"/>
        <v>0</v>
      </c>
      <c r="AB40" s="143">
        <f t="shared" si="7"/>
        <v>0</v>
      </c>
      <c r="AC40" s="143">
        <f t="shared" si="8"/>
        <v>0</v>
      </c>
      <c r="AD40" s="143">
        <f t="shared" si="9"/>
        <v>0</v>
      </c>
      <c r="AE40" s="143">
        <f t="shared" si="10"/>
        <v>0</v>
      </c>
      <c r="AF40" s="143">
        <f t="shared" si="11"/>
        <v>0</v>
      </c>
      <c r="AG40" s="143">
        <f t="shared" si="12"/>
        <v>0</v>
      </c>
      <c r="AH40" s="148">
        <f t="shared" si="13"/>
        <v>0</v>
      </c>
      <c r="AI40" s="212">
        <f t="shared" si="14"/>
        <v>0</v>
      </c>
      <c r="AK40" s="143">
        <f t="shared" si="15"/>
        <v>0</v>
      </c>
    </row>
    <row r="41" spans="1:37" x14ac:dyDescent="0.25">
      <c r="A41" s="121">
        <f t="shared" si="0"/>
        <v>35</v>
      </c>
      <c r="B41" s="159"/>
      <c r="C41" s="159" t="s">
        <v>84</v>
      </c>
      <c r="D41" s="159" t="s">
        <v>116</v>
      </c>
      <c r="E41" s="159" t="s">
        <v>112</v>
      </c>
      <c r="F41" s="150">
        <v>0</v>
      </c>
      <c r="G41" s="129"/>
      <c r="H41" s="163">
        <v>5150</v>
      </c>
      <c r="I41" s="163">
        <v>7951</v>
      </c>
      <c r="J41" s="163">
        <v>8283</v>
      </c>
      <c r="K41" s="163">
        <v>0</v>
      </c>
      <c r="L41" s="163">
        <v>8458</v>
      </c>
      <c r="M41" s="163">
        <v>5242</v>
      </c>
      <c r="N41" s="163">
        <v>5244</v>
      </c>
      <c r="O41" s="163">
        <v>0</v>
      </c>
      <c r="P41" s="163">
        <v>0</v>
      </c>
      <c r="Q41" s="163">
        <v>0</v>
      </c>
      <c r="R41" s="163">
        <v>0</v>
      </c>
      <c r="S41" s="163">
        <v>0</v>
      </c>
      <c r="T41" s="164">
        <v>0</v>
      </c>
      <c r="U41" s="129"/>
      <c r="V41" s="143">
        <f t="shared" si="1"/>
        <v>0</v>
      </c>
      <c r="W41" s="143">
        <f t="shared" si="2"/>
        <v>0</v>
      </c>
      <c r="X41" s="143">
        <f t="shared" si="3"/>
        <v>0</v>
      </c>
      <c r="Y41" s="143">
        <f t="shared" si="4"/>
        <v>0</v>
      </c>
      <c r="Z41" s="143">
        <f t="shared" si="5"/>
        <v>0</v>
      </c>
      <c r="AA41" s="143">
        <f t="shared" si="6"/>
        <v>0</v>
      </c>
      <c r="AB41" s="143">
        <f t="shared" si="7"/>
        <v>0</v>
      </c>
      <c r="AC41" s="143">
        <f t="shared" si="8"/>
        <v>0</v>
      </c>
      <c r="AD41" s="143">
        <f t="shared" si="9"/>
        <v>0</v>
      </c>
      <c r="AE41" s="143">
        <f t="shared" si="10"/>
        <v>0</v>
      </c>
      <c r="AF41" s="143">
        <f t="shared" si="11"/>
        <v>0</v>
      </c>
      <c r="AG41" s="143">
        <f t="shared" si="12"/>
        <v>0</v>
      </c>
      <c r="AH41" s="148">
        <f t="shared" si="13"/>
        <v>0</v>
      </c>
      <c r="AI41" s="212">
        <f t="shared" si="14"/>
        <v>0</v>
      </c>
      <c r="AK41" s="143">
        <f t="shared" si="15"/>
        <v>0</v>
      </c>
    </row>
    <row r="42" spans="1:37" x14ac:dyDescent="0.25">
      <c r="A42" s="121">
        <f t="shared" si="0"/>
        <v>36</v>
      </c>
      <c r="B42" s="159"/>
      <c r="C42" s="159" t="s">
        <v>84</v>
      </c>
      <c r="D42" s="159" t="s">
        <v>116</v>
      </c>
      <c r="E42" s="159" t="s">
        <v>113</v>
      </c>
      <c r="F42" s="150">
        <v>0</v>
      </c>
      <c r="G42" s="129"/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163">
        <v>0</v>
      </c>
      <c r="T42" s="164">
        <v>0</v>
      </c>
      <c r="U42" s="129"/>
      <c r="V42" s="143">
        <f t="shared" si="1"/>
        <v>0</v>
      </c>
      <c r="W42" s="143">
        <f t="shared" si="2"/>
        <v>0</v>
      </c>
      <c r="X42" s="143">
        <f t="shared" si="3"/>
        <v>0</v>
      </c>
      <c r="Y42" s="143">
        <f t="shared" si="4"/>
        <v>0</v>
      </c>
      <c r="Z42" s="143">
        <f t="shared" si="5"/>
        <v>0</v>
      </c>
      <c r="AA42" s="143">
        <f t="shared" si="6"/>
        <v>0</v>
      </c>
      <c r="AB42" s="143">
        <f t="shared" si="7"/>
        <v>0</v>
      </c>
      <c r="AC42" s="143">
        <f t="shared" si="8"/>
        <v>0</v>
      </c>
      <c r="AD42" s="143">
        <f t="shared" si="9"/>
        <v>0</v>
      </c>
      <c r="AE42" s="143">
        <f t="shared" si="10"/>
        <v>0</v>
      </c>
      <c r="AF42" s="143">
        <f t="shared" si="11"/>
        <v>0</v>
      </c>
      <c r="AG42" s="143">
        <f t="shared" si="12"/>
        <v>0</v>
      </c>
      <c r="AH42" s="148">
        <f t="shared" si="13"/>
        <v>0</v>
      </c>
      <c r="AI42" s="212">
        <f t="shared" si="14"/>
        <v>0</v>
      </c>
      <c r="AK42" s="143">
        <f t="shared" si="15"/>
        <v>0</v>
      </c>
    </row>
    <row r="43" spans="1:37" x14ac:dyDescent="0.25">
      <c r="A43" s="121">
        <f t="shared" si="0"/>
        <v>37</v>
      </c>
      <c r="B43" s="160"/>
      <c r="C43" s="160" t="s">
        <v>84</v>
      </c>
      <c r="D43" s="160" t="s">
        <v>116</v>
      </c>
      <c r="E43" s="160" t="s">
        <v>114</v>
      </c>
      <c r="F43" s="149">
        <v>0</v>
      </c>
      <c r="G43" s="127"/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162">
        <v>0</v>
      </c>
      <c r="U43" s="127"/>
      <c r="V43" s="142">
        <f t="shared" si="1"/>
        <v>0</v>
      </c>
      <c r="W43" s="142">
        <f t="shared" si="2"/>
        <v>0</v>
      </c>
      <c r="X43" s="142">
        <f t="shared" si="3"/>
        <v>0</v>
      </c>
      <c r="Y43" s="142">
        <f t="shared" si="4"/>
        <v>0</v>
      </c>
      <c r="Z43" s="142">
        <f t="shared" si="5"/>
        <v>0</v>
      </c>
      <c r="AA43" s="142">
        <f t="shared" si="6"/>
        <v>0</v>
      </c>
      <c r="AB43" s="142">
        <f t="shared" si="7"/>
        <v>0</v>
      </c>
      <c r="AC43" s="142">
        <f t="shared" si="8"/>
        <v>0</v>
      </c>
      <c r="AD43" s="142">
        <f t="shared" si="9"/>
        <v>0</v>
      </c>
      <c r="AE43" s="142">
        <f t="shared" si="10"/>
        <v>0</v>
      </c>
      <c r="AF43" s="142">
        <f t="shared" si="11"/>
        <v>0</v>
      </c>
      <c r="AG43" s="142">
        <f t="shared" si="12"/>
        <v>0</v>
      </c>
      <c r="AH43" s="147">
        <f t="shared" si="13"/>
        <v>0</v>
      </c>
      <c r="AI43" s="211">
        <f t="shared" si="14"/>
        <v>0</v>
      </c>
      <c r="AK43" s="142">
        <f t="shared" si="15"/>
        <v>0</v>
      </c>
    </row>
    <row r="44" spans="1:37" x14ac:dyDescent="0.25">
      <c r="A44" s="121">
        <f t="shared" si="0"/>
        <v>38</v>
      </c>
      <c r="B44" s="159" t="s">
        <v>117</v>
      </c>
      <c r="C44" s="159" t="s">
        <v>84</v>
      </c>
      <c r="D44" s="159" t="s">
        <v>118</v>
      </c>
      <c r="E44" s="159" t="s">
        <v>97</v>
      </c>
      <c r="F44" s="150">
        <v>0</v>
      </c>
      <c r="G44" s="129"/>
      <c r="H44" s="163">
        <v>30000</v>
      </c>
      <c r="I44" s="163">
        <v>30000</v>
      </c>
      <c r="J44" s="163">
        <v>30000</v>
      </c>
      <c r="K44" s="163">
        <v>30000</v>
      </c>
      <c r="L44" s="163">
        <v>30000</v>
      </c>
      <c r="M44" s="163">
        <v>30000</v>
      </c>
      <c r="N44" s="163">
        <v>30000</v>
      </c>
      <c r="O44" s="163">
        <v>30000</v>
      </c>
      <c r="P44" s="163">
        <v>30000</v>
      </c>
      <c r="Q44" s="163">
        <v>30000</v>
      </c>
      <c r="R44" s="163">
        <v>30000</v>
      </c>
      <c r="S44" s="163">
        <v>30000</v>
      </c>
      <c r="T44" s="164">
        <v>0</v>
      </c>
      <c r="U44" s="129"/>
      <c r="V44" s="143">
        <f t="shared" si="1"/>
        <v>0</v>
      </c>
      <c r="W44" s="143">
        <f t="shared" si="2"/>
        <v>0</v>
      </c>
      <c r="X44" s="143">
        <f t="shared" si="3"/>
        <v>0</v>
      </c>
      <c r="Y44" s="143">
        <f t="shared" si="4"/>
        <v>0</v>
      </c>
      <c r="Z44" s="143">
        <f t="shared" si="5"/>
        <v>0</v>
      </c>
      <c r="AA44" s="143">
        <f t="shared" si="6"/>
        <v>0</v>
      </c>
      <c r="AB44" s="143">
        <f t="shared" si="7"/>
        <v>0</v>
      </c>
      <c r="AC44" s="143">
        <f t="shared" si="8"/>
        <v>0</v>
      </c>
      <c r="AD44" s="143">
        <f t="shared" si="9"/>
        <v>0</v>
      </c>
      <c r="AE44" s="143">
        <f t="shared" si="10"/>
        <v>0</v>
      </c>
      <c r="AF44" s="143">
        <f t="shared" si="11"/>
        <v>0</v>
      </c>
      <c r="AG44" s="143">
        <f t="shared" si="12"/>
        <v>0</v>
      </c>
      <c r="AH44" s="148">
        <f t="shared" si="13"/>
        <v>0</v>
      </c>
      <c r="AI44" s="212">
        <f t="shared" si="14"/>
        <v>0</v>
      </c>
      <c r="AK44" s="143">
        <f t="shared" si="15"/>
        <v>0</v>
      </c>
    </row>
    <row r="45" spans="1:37" x14ac:dyDescent="0.25">
      <c r="A45" s="121">
        <f t="shared" si="0"/>
        <v>39</v>
      </c>
      <c r="B45" s="159" t="s">
        <v>118</v>
      </c>
      <c r="C45" s="159" t="s">
        <v>84</v>
      </c>
      <c r="D45" s="159" t="s">
        <v>118</v>
      </c>
      <c r="E45" s="159" t="s">
        <v>98</v>
      </c>
      <c r="F45" s="150">
        <v>0</v>
      </c>
      <c r="G45" s="129"/>
      <c r="H45" s="163">
        <v>50691</v>
      </c>
      <c r="I45" s="163">
        <v>57348</v>
      </c>
      <c r="J45" s="163">
        <v>55256</v>
      </c>
      <c r="K45" s="163">
        <v>53858</v>
      </c>
      <c r="L45" s="163">
        <v>47998</v>
      </c>
      <c r="M45" s="163">
        <v>42634</v>
      </c>
      <c r="N45" s="163">
        <v>40358</v>
      </c>
      <c r="O45" s="163">
        <v>28294</v>
      </c>
      <c r="P45" s="163">
        <v>23641</v>
      </c>
      <c r="Q45" s="163">
        <v>22561</v>
      </c>
      <c r="R45" s="163">
        <v>22296</v>
      </c>
      <c r="S45" s="163">
        <v>26587</v>
      </c>
      <c r="T45" s="164">
        <v>0</v>
      </c>
      <c r="U45" s="129"/>
      <c r="V45" s="143">
        <f t="shared" si="1"/>
        <v>0</v>
      </c>
      <c r="W45" s="143">
        <f t="shared" si="2"/>
        <v>0</v>
      </c>
      <c r="X45" s="143">
        <f t="shared" si="3"/>
        <v>0</v>
      </c>
      <c r="Y45" s="143">
        <f t="shared" si="4"/>
        <v>0</v>
      </c>
      <c r="Z45" s="143">
        <f t="shared" si="5"/>
        <v>0</v>
      </c>
      <c r="AA45" s="143">
        <f t="shared" si="6"/>
        <v>0</v>
      </c>
      <c r="AB45" s="143">
        <f t="shared" si="7"/>
        <v>0</v>
      </c>
      <c r="AC45" s="143">
        <f t="shared" si="8"/>
        <v>0</v>
      </c>
      <c r="AD45" s="143">
        <f t="shared" si="9"/>
        <v>0</v>
      </c>
      <c r="AE45" s="143">
        <f t="shared" si="10"/>
        <v>0</v>
      </c>
      <c r="AF45" s="143">
        <f t="shared" si="11"/>
        <v>0</v>
      </c>
      <c r="AG45" s="143">
        <f t="shared" si="12"/>
        <v>0</v>
      </c>
      <c r="AH45" s="148">
        <f t="shared" si="13"/>
        <v>0</v>
      </c>
      <c r="AI45" s="212">
        <f t="shared" si="14"/>
        <v>0</v>
      </c>
      <c r="AK45" s="143">
        <f t="shared" si="15"/>
        <v>0</v>
      </c>
    </row>
    <row r="46" spans="1:37" x14ac:dyDescent="0.25">
      <c r="A46" s="121">
        <f t="shared" si="0"/>
        <v>40</v>
      </c>
      <c r="B46" s="159"/>
      <c r="C46" s="159" t="s">
        <v>84</v>
      </c>
      <c r="D46" s="159" t="s">
        <v>118</v>
      </c>
      <c r="E46" s="159" t="s">
        <v>111</v>
      </c>
      <c r="F46" s="150">
        <v>0</v>
      </c>
      <c r="G46" s="129"/>
      <c r="H46" s="163">
        <v>25518</v>
      </c>
      <c r="I46" s="163">
        <v>33818</v>
      </c>
      <c r="J46" s="163">
        <v>32443</v>
      </c>
      <c r="K46" s="163">
        <v>24862</v>
      </c>
      <c r="L46" s="163">
        <v>20000</v>
      </c>
      <c r="M46" s="163">
        <v>20000</v>
      </c>
      <c r="N46" s="163">
        <v>20000</v>
      </c>
      <c r="O46" s="163">
        <v>20000</v>
      </c>
      <c r="P46" s="163">
        <v>20000</v>
      </c>
      <c r="Q46" s="163">
        <v>20000</v>
      </c>
      <c r="R46" s="163">
        <v>20000</v>
      </c>
      <c r="S46" s="163">
        <v>20000</v>
      </c>
      <c r="T46" s="164">
        <v>0</v>
      </c>
      <c r="U46" s="129"/>
      <c r="V46" s="143">
        <f t="shared" si="1"/>
        <v>0</v>
      </c>
      <c r="W46" s="143">
        <f t="shared" si="2"/>
        <v>0</v>
      </c>
      <c r="X46" s="143">
        <f t="shared" si="3"/>
        <v>0</v>
      </c>
      <c r="Y46" s="143">
        <f t="shared" si="4"/>
        <v>0</v>
      </c>
      <c r="Z46" s="143">
        <f t="shared" si="5"/>
        <v>0</v>
      </c>
      <c r="AA46" s="143">
        <f t="shared" si="6"/>
        <v>0</v>
      </c>
      <c r="AB46" s="143">
        <f t="shared" si="7"/>
        <v>0</v>
      </c>
      <c r="AC46" s="143">
        <f t="shared" si="8"/>
        <v>0</v>
      </c>
      <c r="AD46" s="143">
        <f t="shared" si="9"/>
        <v>0</v>
      </c>
      <c r="AE46" s="143">
        <f t="shared" si="10"/>
        <v>0</v>
      </c>
      <c r="AF46" s="143">
        <f t="shared" si="11"/>
        <v>0</v>
      </c>
      <c r="AG46" s="143">
        <f t="shared" si="12"/>
        <v>0</v>
      </c>
      <c r="AH46" s="148">
        <f t="shared" si="13"/>
        <v>0</v>
      </c>
      <c r="AI46" s="212">
        <f t="shared" si="14"/>
        <v>0</v>
      </c>
      <c r="AK46" s="143">
        <f t="shared" si="15"/>
        <v>0</v>
      </c>
    </row>
    <row r="47" spans="1:37" x14ac:dyDescent="0.25">
      <c r="A47" s="121">
        <f t="shared" si="0"/>
        <v>41</v>
      </c>
      <c r="B47" s="159"/>
      <c r="C47" s="159" t="s">
        <v>84</v>
      </c>
      <c r="D47" s="159" t="s">
        <v>118</v>
      </c>
      <c r="E47" s="159" t="s">
        <v>112</v>
      </c>
      <c r="F47" s="150">
        <v>0</v>
      </c>
      <c r="G47" s="129"/>
      <c r="H47" s="163">
        <v>26308</v>
      </c>
      <c r="I47" s="163">
        <v>39821</v>
      </c>
      <c r="J47" s="163">
        <v>28515</v>
      </c>
      <c r="K47" s="163">
        <v>20931</v>
      </c>
      <c r="L47" s="163">
        <v>16850</v>
      </c>
      <c r="M47" s="163">
        <v>8272</v>
      </c>
      <c r="N47" s="163">
        <v>6653</v>
      </c>
      <c r="O47" s="163">
        <v>4908</v>
      </c>
      <c r="P47" s="163">
        <v>4520</v>
      </c>
      <c r="Q47" s="163">
        <v>4171</v>
      </c>
      <c r="R47" s="163">
        <v>4381</v>
      </c>
      <c r="S47" s="163">
        <v>12821</v>
      </c>
      <c r="T47" s="164">
        <v>0</v>
      </c>
      <c r="U47" s="129"/>
      <c r="V47" s="143">
        <f t="shared" si="1"/>
        <v>0</v>
      </c>
      <c r="W47" s="143">
        <f t="shared" si="2"/>
        <v>0</v>
      </c>
      <c r="X47" s="143">
        <f t="shared" si="3"/>
        <v>0</v>
      </c>
      <c r="Y47" s="143">
        <f t="shared" si="4"/>
        <v>0</v>
      </c>
      <c r="Z47" s="143">
        <f t="shared" si="5"/>
        <v>0</v>
      </c>
      <c r="AA47" s="143">
        <f t="shared" si="6"/>
        <v>0</v>
      </c>
      <c r="AB47" s="143">
        <f t="shared" si="7"/>
        <v>0</v>
      </c>
      <c r="AC47" s="143">
        <f t="shared" si="8"/>
        <v>0</v>
      </c>
      <c r="AD47" s="143">
        <f t="shared" si="9"/>
        <v>0</v>
      </c>
      <c r="AE47" s="143">
        <f t="shared" si="10"/>
        <v>0</v>
      </c>
      <c r="AF47" s="143">
        <f t="shared" si="11"/>
        <v>0</v>
      </c>
      <c r="AG47" s="143">
        <f t="shared" si="12"/>
        <v>0</v>
      </c>
      <c r="AH47" s="148">
        <f t="shared" si="13"/>
        <v>0</v>
      </c>
      <c r="AI47" s="212">
        <f t="shared" si="14"/>
        <v>0</v>
      </c>
      <c r="AK47" s="143">
        <f t="shared" si="15"/>
        <v>0</v>
      </c>
    </row>
    <row r="48" spans="1:37" x14ac:dyDescent="0.25">
      <c r="A48" s="121">
        <f t="shared" si="0"/>
        <v>42</v>
      </c>
      <c r="B48" s="159"/>
      <c r="C48" s="159" t="s">
        <v>84</v>
      </c>
      <c r="D48" s="159" t="s">
        <v>118</v>
      </c>
      <c r="E48" s="159" t="s">
        <v>113</v>
      </c>
      <c r="F48" s="150">
        <v>0</v>
      </c>
      <c r="G48" s="129"/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163">
        <v>0</v>
      </c>
      <c r="T48" s="164">
        <v>0</v>
      </c>
      <c r="U48" s="129"/>
      <c r="V48" s="143">
        <f t="shared" si="1"/>
        <v>0</v>
      </c>
      <c r="W48" s="143">
        <f t="shared" si="2"/>
        <v>0</v>
      </c>
      <c r="X48" s="143">
        <f t="shared" si="3"/>
        <v>0</v>
      </c>
      <c r="Y48" s="143">
        <f t="shared" si="4"/>
        <v>0</v>
      </c>
      <c r="Z48" s="143">
        <f t="shared" si="5"/>
        <v>0</v>
      </c>
      <c r="AA48" s="143">
        <f t="shared" si="6"/>
        <v>0</v>
      </c>
      <c r="AB48" s="143">
        <f t="shared" si="7"/>
        <v>0</v>
      </c>
      <c r="AC48" s="143">
        <f t="shared" si="8"/>
        <v>0</v>
      </c>
      <c r="AD48" s="143">
        <f t="shared" si="9"/>
        <v>0</v>
      </c>
      <c r="AE48" s="143">
        <f t="shared" si="10"/>
        <v>0</v>
      </c>
      <c r="AF48" s="143">
        <f t="shared" si="11"/>
        <v>0</v>
      </c>
      <c r="AG48" s="143">
        <f t="shared" si="12"/>
        <v>0</v>
      </c>
      <c r="AH48" s="148">
        <f t="shared" si="13"/>
        <v>0</v>
      </c>
      <c r="AI48" s="212">
        <f t="shared" si="14"/>
        <v>0</v>
      </c>
      <c r="AK48" s="143">
        <f t="shared" si="15"/>
        <v>0</v>
      </c>
    </row>
    <row r="49" spans="1:37" x14ac:dyDescent="0.25">
      <c r="A49" s="121">
        <f t="shared" si="0"/>
        <v>43</v>
      </c>
      <c r="B49" s="160"/>
      <c r="C49" s="160" t="s">
        <v>84</v>
      </c>
      <c r="D49" s="160" t="s">
        <v>118</v>
      </c>
      <c r="E49" s="160" t="s">
        <v>114</v>
      </c>
      <c r="F49" s="149">
        <v>0</v>
      </c>
      <c r="G49" s="127"/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2">
        <v>0</v>
      </c>
      <c r="U49" s="127"/>
      <c r="V49" s="142">
        <f t="shared" si="1"/>
        <v>0</v>
      </c>
      <c r="W49" s="142">
        <f t="shared" si="2"/>
        <v>0</v>
      </c>
      <c r="X49" s="142">
        <f t="shared" si="3"/>
        <v>0</v>
      </c>
      <c r="Y49" s="142">
        <f t="shared" si="4"/>
        <v>0</v>
      </c>
      <c r="Z49" s="142">
        <f t="shared" si="5"/>
        <v>0</v>
      </c>
      <c r="AA49" s="142">
        <f t="shared" si="6"/>
        <v>0</v>
      </c>
      <c r="AB49" s="142">
        <f t="shared" si="7"/>
        <v>0</v>
      </c>
      <c r="AC49" s="142">
        <f t="shared" si="8"/>
        <v>0</v>
      </c>
      <c r="AD49" s="142">
        <f t="shared" si="9"/>
        <v>0</v>
      </c>
      <c r="AE49" s="142">
        <f t="shared" si="10"/>
        <v>0</v>
      </c>
      <c r="AF49" s="142">
        <f t="shared" si="11"/>
        <v>0</v>
      </c>
      <c r="AG49" s="142">
        <f t="shared" si="12"/>
        <v>0</v>
      </c>
      <c r="AH49" s="147">
        <f t="shared" si="13"/>
        <v>0</v>
      </c>
      <c r="AI49" s="211">
        <f t="shared" si="14"/>
        <v>0</v>
      </c>
      <c r="AK49" s="142">
        <f t="shared" si="15"/>
        <v>0</v>
      </c>
    </row>
    <row r="50" spans="1:37" x14ac:dyDescent="0.25">
      <c r="A50" s="121">
        <f t="shared" si="0"/>
        <v>44</v>
      </c>
      <c r="B50" s="159" t="s">
        <v>119</v>
      </c>
      <c r="C50" s="159" t="s">
        <v>84</v>
      </c>
      <c r="D50" s="159" t="s">
        <v>120</v>
      </c>
      <c r="E50" s="159" t="s">
        <v>97</v>
      </c>
      <c r="F50" s="150">
        <v>0</v>
      </c>
      <c r="G50" s="129"/>
      <c r="H50" s="163">
        <v>64222</v>
      </c>
      <c r="I50" s="163">
        <v>64220</v>
      </c>
      <c r="J50" s="163">
        <v>64650</v>
      </c>
      <c r="K50" s="163">
        <v>0</v>
      </c>
      <c r="L50" s="163">
        <v>63050</v>
      </c>
      <c r="M50" s="163">
        <v>61364</v>
      </c>
      <c r="N50" s="163">
        <v>60559</v>
      </c>
      <c r="O50" s="163">
        <v>69353</v>
      </c>
      <c r="P50" s="163">
        <v>67842</v>
      </c>
      <c r="Q50" s="163">
        <v>67682</v>
      </c>
      <c r="R50" s="163">
        <v>69101</v>
      </c>
      <c r="S50" s="163">
        <v>69313</v>
      </c>
      <c r="T50" s="164">
        <v>0</v>
      </c>
      <c r="U50" s="129"/>
      <c r="V50" s="143">
        <f t="shared" si="1"/>
        <v>0</v>
      </c>
      <c r="W50" s="143">
        <f t="shared" si="2"/>
        <v>0</v>
      </c>
      <c r="X50" s="143">
        <f t="shared" si="3"/>
        <v>0</v>
      </c>
      <c r="Y50" s="143">
        <f t="shared" si="4"/>
        <v>0</v>
      </c>
      <c r="Z50" s="143">
        <f t="shared" si="5"/>
        <v>0</v>
      </c>
      <c r="AA50" s="143">
        <f t="shared" si="6"/>
        <v>0</v>
      </c>
      <c r="AB50" s="143">
        <f t="shared" si="7"/>
        <v>0</v>
      </c>
      <c r="AC50" s="143">
        <f t="shared" si="8"/>
        <v>0</v>
      </c>
      <c r="AD50" s="143">
        <f t="shared" si="9"/>
        <v>0</v>
      </c>
      <c r="AE50" s="143">
        <f t="shared" si="10"/>
        <v>0</v>
      </c>
      <c r="AF50" s="143">
        <f t="shared" si="11"/>
        <v>0</v>
      </c>
      <c r="AG50" s="143">
        <f t="shared" si="12"/>
        <v>0</v>
      </c>
      <c r="AH50" s="148">
        <f t="shared" si="13"/>
        <v>0</v>
      </c>
      <c r="AI50" s="212">
        <f t="shared" si="14"/>
        <v>0</v>
      </c>
      <c r="AK50" s="143">
        <f t="shared" si="15"/>
        <v>0</v>
      </c>
    </row>
    <row r="51" spans="1:37" x14ac:dyDescent="0.25">
      <c r="A51" s="121">
        <f t="shared" si="0"/>
        <v>45</v>
      </c>
      <c r="B51" s="159" t="s">
        <v>120</v>
      </c>
      <c r="C51" s="159" t="s">
        <v>84</v>
      </c>
      <c r="D51" s="159" t="s">
        <v>120</v>
      </c>
      <c r="E51" s="159" t="s">
        <v>98</v>
      </c>
      <c r="F51" s="150">
        <v>0</v>
      </c>
      <c r="G51" s="129"/>
      <c r="H51" s="163">
        <v>57072</v>
      </c>
      <c r="I51" s="163">
        <v>65734</v>
      </c>
      <c r="J51" s="163">
        <v>63025</v>
      </c>
      <c r="K51" s="163">
        <v>63843</v>
      </c>
      <c r="L51" s="163">
        <v>54616</v>
      </c>
      <c r="M51" s="163">
        <v>49304</v>
      </c>
      <c r="N51" s="163">
        <v>46969</v>
      </c>
      <c r="O51" s="163">
        <v>65111</v>
      </c>
      <c r="P51" s="163">
        <v>67503</v>
      </c>
      <c r="Q51" s="163">
        <v>61821</v>
      </c>
      <c r="R51" s="163">
        <v>65849</v>
      </c>
      <c r="S51" s="163">
        <v>68699</v>
      </c>
      <c r="T51" s="164">
        <v>0</v>
      </c>
      <c r="U51" s="129"/>
      <c r="V51" s="143">
        <f t="shared" si="1"/>
        <v>0</v>
      </c>
      <c r="W51" s="143">
        <f t="shared" si="2"/>
        <v>0</v>
      </c>
      <c r="X51" s="143">
        <f t="shared" si="3"/>
        <v>0</v>
      </c>
      <c r="Y51" s="143">
        <f t="shared" si="4"/>
        <v>0</v>
      </c>
      <c r="Z51" s="143">
        <f t="shared" si="5"/>
        <v>0</v>
      </c>
      <c r="AA51" s="143">
        <f t="shared" si="6"/>
        <v>0</v>
      </c>
      <c r="AB51" s="143">
        <f t="shared" si="7"/>
        <v>0</v>
      </c>
      <c r="AC51" s="143">
        <f t="shared" si="8"/>
        <v>0</v>
      </c>
      <c r="AD51" s="143">
        <f t="shared" si="9"/>
        <v>0</v>
      </c>
      <c r="AE51" s="143">
        <f t="shared" si="10"/>
        <v>0</v>
      </c>
      <c r="AF51" s="143">
        <f t="shared" si="11"/>
        <v>0</v>
      </c>
      <c r="AG51" s="143">
        <f t="shared" si="12"/>
        <v>0</v>
      </c>
      <c r="AH51" s="148">
        <f t="shared" si="13"/>
        <v>0</v>
      </c>
      <c r="AI51" s="212">
        <f t="shared" si="14"/>
        <v>0</v>
      </c>
      <c r="AK51" s="143">
        <f t="shared" si="15"/>
        <v>0</v>
      </c>
    </row>
    <row r="52" spans="1:37" x14ac:dyDescent="0.25">
      <c r="A52" s="121">
        <f t="shared" si="0"/>
        <v>46</v>
      </c>
      <c r="B52" s="159"/>
      <c r="C52" s="159" t="s">
        <v>84</v>
      </c>
      <c r="D52" s="159" t="s">
        <v>120</v>
      </c>
      <c r="E52" s="159" t="s">
        <v>111</v>
      </c>
      <c r="F52" s="150">
        <v>0</v>
      </c>
      <c r="G52" s="129"/>
      <c r="H52" s="163">
        <v>40000</v>
      </c>
      <c r="I52" s="163">
        <v>40000</v>
      </c>
      <c r="J52" s="163">
        <v>40000</v>
      </c>
      <c r="K52" s="163">
        <v>51402</v>
      </c>
      <c r="L52" s="163">
        <v>40000</v>
      </c>
      <c r="M52" s="163">
        <v>40000</v>
      </c>
      <c r="N52" s="163">
        <v>40000</v>
      </c>
      <c r="O52" s="163">
        <v>60000</v>
      </c>
      <c r="P52" s="163">
        <v>60000</v>
      </c>
      <c r="Q52" s="163">
        <v>60000</v>
      </c>
      <c r="R52" s="163">
        <v>60000</v>
      </c>
      <c r="S52" s="163">
        <v>60000</v>
      </c>
      <c r="T52" s="164">
        <v>0</v>
      </c>
      <c r="U52" s="129"/>
      <c r="V52" s="143">
        <f t="shared" si="1"/>
        <v>0</v>
      </c>
      <c r="W52" s="143">
        <f t="shared" si="2"/>
        <v>0</v>
      </c>
      <c r="X52" s="143">
        <f t="shared" si="3"/>
        <v>0</v>
      </c>
      <c r="Y52" s="143">
        <f t="shared" si="4"/>
        <v>0</v>
      </c>
      <c r="Z52" s="143">
        <f t="shared" si="5"/>
        <v>0</v>
      </c>
      <c r="AA52" s="143">
        <f t="shared" si="6"/>
        <v>0</v>
      </c>
      <c r="AB52" s="143">
        <f t="shared" si="7"/>
        <v>0</v>
      </c>
      <c r="AC52" s="143">
        <f t="shared" si="8"/>
        <v>0</v>
      </c>
      <c r="AD52" s="143">
        <f t="shared" si="9"/>
        <v>0</v>
      </c>
      <c r="AE52" s="143">
        <f t="shared" si="10"/>
        <v>0</v>
      </c>
      <c r="AF52" s="143">
        <f t="shared" si="11"/>
        <v>0</v>
      </c>
      <c r="AG52" s="143">
        <f t="shared" si="12"/>
        <v>0</v>
      </c>
      <c r="AH52" s="148">
        <f t="shared" si="13"/>
        <v>0</v>
      </c>
      <c r="AI52" s="212">
        <f t="shared" si="14"/>
        <v>0</v>
      </c>
      <c r="AK52" s="143">
        <f t="shared" si="15"/>
        <v>0</v>
      </c>
    </row>
    <row r="53" spans="1:37" x14ac:dyDescent="0.25">
      <c r="A53" s="121">
        <f t="shared" si="0"/>
        <v>47</v>
      </c>
      <c r="B53" s="159"/>
      <c r="C53" s="159" t="s">
        <v>84</v>
      </c>
      <c r="D53" s="159" t="s">
        <v>120</v>
      </c>
      <c r="E53" s="159" t="s">
        <v>112</v>
      </c>
      <c r="F53" s="150">
        <v>0</v>
      </c>
      <c r="G53" s="129"/>
      <c r="H53" s="163">
        <v>110000</v>
      </c>
      <c r="I53" s="163">
        <v>112000</v>
      </c>
      <c r="J53" s="163">
        <v>112000</v>
      </c>
      <c r="K53" s="163">
        <v>40000</v>
      </c>
      <c r="L53" s="163">
        <v>112000</v>
      </c>
      <c r="M53" s="163">
        <v>110000</v>
      </c>
      <c r="N53" s="163">
        <v>102654</v>
      </c>
      <c r="O53" s="163">
        <v>88993</v>
      </c>
      <c r="P53" s="163">
        <v>75600</v>
      </c>
      <c r="Q53" s="163">
        <v>81323</v>
      </c>
      <c r="R53" s="163">
        <v>83713</v>
      </c>
      <c r="S53" s="163">
        <v>110265</v>
      </c>
      <c r="T53" s="164">
        <v>0</v>
      </c>
      <c r="U53" s="129"/>
      <c r="V53" s="143">
        <f t="shared" si="1"/>
        <v>0</v>
      </c>
      <c r="W53" s="143">
        <f t="shared" si="2"/>
        <v>0</v>
      </c>
      <c r="X53" s="143">
        <f t="shared" si="3"/>
        <v>0</v>
      </c>
      <c r="Y53" s="143">
        <f t="shared" si="4"/>
        <v>0</v>
      </c>
      <c r="Z53" s="143">
        <f t="shared" si="5"/>
        <v>0</v>
      </c>
      <c r="AA53" s="143">
        <f t="shared" si="6"/>
        <v>0</v>
      </c>
      <c r="AB53" s="143">
        <f t="shared" si="7"/>
        <v>0</v>
      </c>
      <c r="AC53" s="143">
        <f t="shared" si="8"/>
        <v>0</v>
      </c>
      <c r="AD53" s="143">
        <f t="shared" si="9"/>
        <v>0</v>
      </c>
      <c r="AE53" s="143">
        <f t="shared" si="10"/>
        <v>0</v>
      </c>
      <c r="AF53" s="143">
        <f t="shared" si="11"/>
        <v>0</v>
      </c>
      <c r="AG53" s="143">
        <f t="shared" si="12"/>
        <v>0</v>
      </c>
      <c r="AH53" s="148">
        <f t="shared" si="13"/>
        <v>0</v>
      </c>
      <c r="AI53" s="212">
        <f t="shared" si="14"/>
        <v>0</v>
      </c>
      <c r="AK53" s="143">
        <f t="shared" si="15"/>
        <v>0</v>
      </c>
    </row>
    <row r="54" spans="1:37" x14ac:dyDescent="0.25">
      <c r="A54" s="121">
        <f t="shared" si="0"/>
        <v>48</v>
      </c>
      <c r="B54" s="159"/>
      <c r="C54" s="159" t="s">
        <v>84</v>
      </c>
      <c r="D54" s="159" t="s">
        <v>120</v>
      </c>
      <c r="E54" s="159" t="s">
        <v>113</v>
      </c>
      <c r="F54" s="150">
        <v>0</v>
      </c>
      <c r="G54" s="129"/>
      <c r="H54" s="163">
        <v>67370</v>
      </c>
      <c r="I54" s="163">
        <v>139581</v>
      </c>
      <c r="J54" s="163">
        <v>102879</v>
      </c>
      <c r="K54" s="163">
        <v>106000</v>
      </c>
      <c r="L54" s="163">
        <v>43611</v>
      </c>
      <c r="M54" s="163">
        <v>12468</v>
      </c>
      <c r="N54" s="163">
        <v>0</v>
      </c>
      <c r="O54" s="163">
        <v>0</v>
      </c>
      <c r="P54" s="163">
        <v>0</v>
      </c>
      <c r="Q54" s="163">
        <v>0</v>
      </c>
      <c r="R54" s="163">
        <v>0</v>
      </c>
      <c r="S54" s="163">
        <v>0</v>
      </c>
      <c r="T54" s="164">
        <v>0</v>
      </c>
      <c r="U54" s="129"/>
      <c r="V54" s="143">
        <f t="shared" si="1"/>
        <v>0</v>
      </c>
      <c r="W54" s="143">
        <f t="shared" si="2"/>
        <v>0</v>
      </c>
      <c r="X54" s="143">
        <f t="shared" si="3"/>
        <v>0</v>
      </c>
      <c r="Y54" s="143">
        <f t="shared" si="4"/>
        <v>0</v>
      </c>
      <c r="Z54" s="143">
        <f t="shared" si="5"/>
        <v>0</v>
      </c>
      <c r="AA54" s="143">
        <f t="shared" si="6"/>
        <v>0</v>
      </c>
      <c r="AB54" s="143">
        <f t="shared" si="7"/>
        <v>0</v>
      </c>
      <c r="AC54" s="143">
        <f t="shared" si="8"/>
        <v>0</v>
      </c>
      <c r="AD54" s="143">
        <f t="shared" si="9"/>
        <v>0</v>
      </c>
      <c r="AE54" s="143">
        <f t="shared" si="10"/>
        <v>0</v>
      </c>
      <c r="AF54" s="143">
        <f t="shared" si="11"/>
        <v>0</v>
      </c>
      <c r="AG54" s="143">
        <f t="shared" si="12"/>
        <v>0</v>
      </c>
      <c r="AH54" s="148">
        <f t="shared" si="13"/>
        <v>0</v>
      </c>
      <c r="AI54" s="212">
        <f t="shared" si="14"/>
        <v>0</v>
      </c>
      <c r="AK54" s="143">
        <f t="shared" si="15"/>
        <v>0</v>
      </c>
    </row>
    <row r="55" spans="1:37" x14ac:dyDescent="0.25">
      <c r="A55" s="121">
        <f t="shared" si="0"/>
        <v>49</v>
      </c>
      <c r="B55" s="160"/>
      <c r="C55" s="160" t="s">
        <v>84</v>
      </c>
      <c r="D55" s="160" t="s">
        <v>120</v>
      </c>
      <c r="E55" s="160" t="s">
        <v>114</v>
      </c>
      <c r="F55" s="149">
        <v>0</v>
      </c>
      <c r="G55" s="127"/>
      <c r="H55" s="166">
        <v>0</v>
      </c>
      <c r="I55" s="166">
        <v>0</v>
      </c>
      <c r="J55" s="161">
        <v>0</v>
      </c>
      <c r="K55" s="161">
        <v>79077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162">
        <v>0</v>
      </c>
      <c r="U55" s="127"/>
      <c r="V55" s="145">
        <f t="shared" si="1"/>
        <v>0</v>
      </c>
      <c r="W55" s="145">
        <f t="shared" si="2"/>
        <v>0</v>
      </c>
      <c r="X55" s="145">
        <f t="shared" si="3"/>
        <v>0</v>
      </c>
      <c r="Y55" s="145">
        <f t="shared" si="4"/>
        <v>0</v>
      </c>
      <c r="Z55" s="145">
        <f t="shared" si="5"/>
        <v>0</v>
      </c>
      <c r="AA55" s="145">
        <f t="shared" si="6"/>
        <v>0</v>
      </c>
      <c r="AB55" s="145">
        <f t="shared" si="7"/>
        <v>0</v>
      </c>
      <c r="AC55" s="145">
        <f t="shared" si="8"/>
        <v>0</v>
      </c>
      <c r="AD55" s="145">
        <f t="shared" si="9"/>
        <v>0</v>
      </c>
      <c r="AE55" s="145">
        <f t="shared" si="10"/>
        <v>0</v>
      </c>
      <c r="AF55" s="145">
        <f t="shared" si="11"/>
        <v>0</v>
      </c>
      <c r="AG55" s="145">
        <f t="shared" si="12"/>
        <v>0</v>
      </c>
      <c r="AH55" s="147">
        <f t="shared" si="13"/>
        <v>0</v>
      </c>
      <c r="AI55" s="214">
        <f t="shared" si="14"/>
        <v>0</v>
      </c>
      <c r="AK55" s="145">
        <f t="shared" si="15"/>
        <v>0</v>
      </c>
    </row>
    <row r="56" spans="1:37" x14ac:dyDescent="0.25">
      <c r="A56" s="121">
        <f t="shared" si="0"/>
        <v>50</v>
      </c>
      <c r="B56" s="159" t="s">
        <v>121</v>
      </c>
      <c r="C56" s="159" t="s">
        <v>84</v>
      </c>
      <c r="D56" s="159" t="s">
        <v>122</v>
      </c>
      <c r="E56" s="159" t="s">
        <v>97</v>
      </c>
      <c r="F56" s="150">
        <v>-5.3742935999999998E-3</v>
      </c>
      <c r="G56" s="129"/>
      <c r="H56" s="163">
        <v>10000</v>
      </c>
      <c r="I56" s="163">
        <v>40000</v>
      </c>
      <c r="J56" s="163">
        <v>10000</v>
      </c>
      <c r="K56" s="163">
        <v>20000</v>
      </c>
      <c r="L56" s="163">
        <v>20000</v>
      </c>
      <c r="M56" s="163">
        <v>20000</v>
      </c>
      <c r="N56" s="163">
        <v>20000</v>
      </c>
      <c r="O56" s="163">
        <v>20000</v>
      </c>
      <c r="P56" s="163">
        <v>20000</v>
      </c>
      <c r="Q56" s="163">
        <v>20000</v>
      </c>
      <c r="R56" s="163">
        <v>20000</v>
      </c>
      <c r="S56" s="163">
        <v>20000</v>
      </c>
      <c r="T56" s="164">
        <v>0</v>
      </c>
      <c r="U56" s="129"/>
      <c r="V56" s="143">
        <f t="shared" si="1"/>
        <v>-53.74</v>
      </c>
      <c r="W56" s="143">
        <f t="shared" si="2"/>
        <v>-214.97</v>
      </c>
      <c r="X56" s="143">
        <f t="shared" si="3"/>
        <v>-53.74</v>
      </c>
      <c r="Y56" s="143">
        <f t="shared" si="4"/>
        <v>-107.49</v>
      </c>
      <c r="Z56" s="143">
        <f t="shared" si="5"/>
        <v>-107.49</v>
      </c>
      <c r="AA56" s="143">
        <f t="shared" si="6"/>
        <v>-107.49</v>
      </c>
      <c r="AB56" s="143">
        <f t="shared" si="7"/>
        <v>-107.49</v>
      </c>
      <c r="AC56" s="143">
        <f t="shared" si="8"/>
        <v>-107.49</v>
      </c>
      <c r="AD56" s="143">
        <f t="shared" si="9"/>
        <v>-107.49</v>
      </c>
      <c r="AE56" s="143">
        <f t="shared" si="10"/>
        <v>-107.49</v>
      </c>
      <c r="AF56" s="143">
        <f t="shared" si="11"/>
        <v>-107.49</v>
      </c>
      <c r="AG56" s="143">
        <f t="shared" si="12"/>
        <v>-107.49</v>
      </c>
      <c r="AH56" s="148">
        <f t="shared" si="13"/>
        <v>0</v>
      </c>
      <c r="AI56" s="212">
        <f t="shared" si="14"/>
        <v>-1289.8599999999999</v>
      </c>
      <c r="AK56" s="143">
        <f t="shared" si="15"/>
        <v>-1348.8308863512777</v>
      </c>
    </row>
    <row r="57" spans="1:37" x14ac:dyDescent="0.25">
      <c r="A57" s="121">
        <f t="shared" si="0"/>
        <v>51</v>
      </c>
      <c r="B57" s="159" t="s">
        <v>122</v>
      </c>
      <c r="C57" s="159" t="s">
        <v>84</v>
      </c>
      <c r="D57" s="159" t="s">
        <v>122</v>
      </c>
      <c r="E57" s="159" t="s">
        <v>98</v>
      </c>
      <c r="F57" s="150">
        <v>-4.8100883999999998E-3</v>
      </c>
      <c r="G57" s="129"/>
      <c r="H57" s="163">
        <v>20000</v>
      </c>
      <c r="I57" s="163">
        <v>83639</v>
      </c>
      <c r="J57" s="163">
        <v>34247</v>
      </c>
      <c r="K57" s="163">
        <v>40000</v>
      </c>
      <c r="L57" s="163">
        <v>40000</v>
      </c>
      <c r="M57" s="163">
        <v>40000</v>
      </c>
      <c r="N57" s="163">
        <v>39595</v>
      </c>
      <c r="O57" s="163">
        <v>37695</v>
      </c>
      <c r="P57" s="163">
        <v>36677</v>
      </c>
      <c r="Q57" s="163">
        <v>36073</v>
      </c>
      <c r="R57" s="163">
        <v>37670</v>
      </c>
      <c r="S57" s="163">
        <v>40000</v>
      </c>
      <c r="T57" s="164">
        <v>0</v>
      </c>
      <c r="U57" s="129"/>
      <c r="V57" s="143">
        <f t="shared" si="1"/>
        <v>-96.2</v>
      </c>
      <c r="W57" s="143">
        <f t="shared" si="2"/>
        <v>-402.31</v>
      </c>
      <c r="X57" s="143">
        <f t="shared" si="3"/>
        <v>-164.73</v>
      </c>
      <c r="Y57" s="143">
        <f t="shared" si="4"/>
        <v>-192.4</v>
      </c>
      <c r="Z57" s="143">
        <f t="shared" si="5"/>
        <v>-192.4</v>
      </c>
      <c r="AA57" s="143">
        <f t="shared" si="6"/>
        <v>-192.4</v>
      </c>
      <c r="AB57" s="143">
        <f t="shared" si="7"/>
        <v>-190.46</v>
      </c>
      <c r="AC57" s="143">
        <f t="shared" si="8"/>
        <v>-181.32</v>
      </c>
      <c r="AD57" s="143">
        <f t="shared" si="9"/>
        <v>-176.42</v>
      </c>
      <c r="AE57" s="143">
        <f t="shared" si="10"/>
        <v>-173.51</v>
      </c>
      <c r="AF57" s="143">
        <f t="shared" si="11"/>
        <v>-181.2</v>
      </c>
      <c r="AG57" s="143">
        <f t="shared" si="12"/>
        <v>-192.4</v>
      </c>
      <c r="AH57" s="148">
        <f t="shared" si="13"/>
        <v>0</v>
      </c>
      <c r="AI57" s="212">
        <f t="shared" si="14"/>
        <v>-2335.75</v>
      </c>
      <c r="AK57" s="143">
        <f t="shared" si="15"/>
        <v>-2442.5377504496591</v>
      </c>
    </row>
    <row r="58" spans="1:37" x14ac:dyDescent="0.25">
      <c r="A58" s="121">
        <f t="shared" si="0"/>
        <v>52</v>
      </c>
      <c r="B58" s="159"/>
      <c r="C58" s="159" t="s">
        <v>84</v>
      </c>
      <c r="D58" s="159" t="s">
        <v>122</v>
      </c>
      <c r="E58" s="159" t="s">
        <v>111</v>
      </c>
      <c r="F58" s="150">
        <v>-3.6816780000000003E-3</v>
      </c>
      <c r="G58" s="129"/>
      <c r="H58" s="163">
        <v>3003</v>
      </c>
      <c r="I58" s="163">
        <v>21692</v>
      </c>
      <c r="J58" s="163">
        <v>26528</v>
      </c>
      <c r="K58" s="163">
        <v>24213</v>
      </c>
      <c r="L58" s="163">
        <v>24280</v>
      </c>
      <c r="M58" s="163">
        <v>17212</v>
      </c>
      <c r="N58" s="163">
        <v>10795</v>
      </c>
      <c r="O58" s="163">
        <v>8158</v>
      </c>
      <c r="P58" s="163">
        <v>5395</v>
      </c>
      <c r="Q58" s="163">
        <v>7653</v>
      </c>
      <c r="R58" s="163">
        <v>7796</v>
      </c>
      <c r="S58" s="163">
        <v>10523</v>
      </c>
      <c r="T58" s="164">
        <v>0</v>
      </c>
      <c r="U58" s="129"/>
      <c r="V58" s="143">
        <f t="shared" si="1"/>
        <v>-11.06</v>
      </c>
      <c r="W58" s="143">
        <f t="shared" si="2"/>
        <v>-79.86</v>
      </c>
      <c r="X58" s="143">
        <f t="shared" si="3"/>
        <v>-97.67</v>
      </c>
      <c r="Y58" s="143">
        <f t="shared" si="4"/>
        <v>-89.14</v>
      </c>
      <c r="Z58" s="143">
        <f t="shared" si="5"/>
        <v>-89.39</v>
      </c>
      <c r="AA58" s="143">
        <f t="shared" si="6"/>
        <v>-63.37</v>
      </c>
      <c r="AB58" s="143">
        <f t="shared" si="7"/>
        <v>-39.74</v>
      </c>
      <c r="AC58" s="143">
        <f t="shared" si="8"/>
        <v>-30.04</v>
      </c>
      <c r="AD58" s="143">
        <f t="shared" si="9"/>
        <v>-19.86</v>
      </c>
      <c r="AE58" s="143">
        <f t="shared" si="10"/>
        <v>-28.18</v>
      </c>
      <c r="AF58" s="143">
        <f t="shared" si="11"/>
        <v>-28.7</v>
      </c>
      <c r="AG58" s="143">
        <f t="shared" si="12"/>
        <v>-38.74</v>
      </c>
      <c r="AH58" s="148">
        <f t="shared" si="13"/>
        <v>0</v>
      </c>
      <c r="AI58" s="212">
        <f t="shared" si="14"/>
        <v>-615.75</v>
      </c>
      <c r="AK58" s="143">
        <f t="shared" si="15"/>
        <v>-643.9013678002259</v>
      </c>
    </row>
    <row r="59" spans="1:37" x14ac:dyDescent="0.25">
      <c r="A59" s="121">
        <f t="shared" si="0"/>
        <v>53</v>
      </c>
      <c r="B59" s="159"/>
      <c r="C59" s="159" t="s">
        <v>84</v>
      </c>
      <c r="D59" s="159" t="s">
        <v>122</v>
      </c>
      <c r="E59" s="159" t="s">
        <v>112</v>
      </c>
      <c r="F59" s="150">
        <v>-2.9453423999999998E-3</v>
      </c>
      <c r="G59" s="129"/>
      <c r="H59" s="163">
        <v>0</v>
      </c>
      <c r="I59" s="163">
        <v>-35779</v>
      </c>
      <c r="J59" s="163">
        <v>17265</v>
      </c>
      <c r="K59" s="163">
        <v>12391</v>
      </c>
      <c r="L59" s="163">
        <v>3168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3">
        <v>0</v>
      </c>
      <c r="S59" s="163">
        <v>0</v>
      </c>
      <c r="T59" s="164">
        <v>0</v>
      </c>
      <c r="U59" s="129"/>
      <c r="V59" s="143">
        <f t="shared" si="1"/>
        <v>0</v>
      </c>
      <c r="W59" s="143">
        <f t="shared" si="2"/>
        <v>105.38</v>
      </c>
      <c r="X59" s="143">
        <f t="shared" si="3"/>
        <v>-50.85</v>
      </c>
      <c r="Y59" s="143">
        <f t="shared" si="4"/>
        <v>-36.5</v>
      </c>
      <c r="Z59" s="143">
        <f t="shared" si="5"/>
        <v>-9.33</v>
      </c>
      <c r="AA59" s="143">
        <f t="shared" si="6"/>
        <v>0</v>
      </c>
      <c r="AB59" s="143">
        <f t="shared" si="7"/>
        <v>0</v>
      </c>
      <c r="AC59" s="143">
        <f t="shared" si="8"/>
        <v>0</v>
      </c>
      <c r="AD59" s="143">
        <f t="shared" si="9"/>
        <v>0</v>
      </c>
      <c r="AE59" s="143">
        <f t="shared" si="10"/>
        <v>0</v>
      </c>
      <c r="AF59" s="143">
        <f t="shared" si="11"/>
        <v>0</v>
      </c>
      <c r="AG59" s="143">
        <f t="shared" si="12"/>
        <v>0</v>
      </c>
      <c r="AH59" s="148">
        <f t="shared" si="13"/>
        <v>0</v>
      </c>
      <c r="AI59" s="212">
        <f t="shared" si="14"/>
        <v>8.699999999999994</v>
      </c>
      <c r="AK59" s="143">
        <f t="shared" si="15"/>
        <v>9.0977537959593366</v>
      </c>
    </row>
    <row r="60" spans="1:37" x14ac:dyDescent="0.25">
      <c r="A60" s="121">
        <f t="shared" si="0"/>
        <v>54</v>
      </c>
      <c r="B60" s="159"/>
      <c r="C60" s="159" t="s">
        <v>84</v>
      </c>
      <c r="D60" s="159" t="s">
        <v>122</v>
      </c>
      <c r="E60" s="159" t="s">
        <v>113</v>
      </c>
      <c r="F60" s="150">
        <v>-1.9699368000000001E-3</v>
      </c>
      <c r="G60" s="129"/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4">
        <v>0</v>
      </c>
      <c r="U60" s="129"/>
      <c r="V60" s="143">
        <f t="shared" si="1"/>
        <v>0</v>
      </c>
      <c r="W60" s="143">
        <f t="shared" si="2"/>
        <v>0</v>
      </c>
      <c r="X60" s="143">
        <f t="shared" si="3"/>
        <v>0</v>
      </c>
      <c r="Y60" s="143">
        <f t="shared" si="4"/>
        <v>0</v>
      </c>
      <c r="Z60" s="143">
        <f t="shared" si="5"/>
        <v>0</v>
      </c>
      <c r="AA60" s="143">
        <f t="shared" si="6"/>
        <v>0</v>
      </c>
      <c r="AB60" s="143">
        <f t="shared" si="7"/>
        <v>0</v>
      </c>
      <c r="AC60" s="143">
        <f t="shared" si="8"/>
        <v>0</v>
      </c>
      <c r="AD60" s="143">
        <f t="shared" si="9"/>
        <v>0</v>
      </c>
      <c r="AE60" s="143">
        <f t="shared" si="10"/>
        <v>0</v>
      </c>
      <c r="AF60" s="143">
        <f t="shared" si="11"/>
        <v>0</v>
      </c>
      <c r="AG60" s="143">
        <f t="shared" si="12"/>
        <v>0</v>
      </c>
      <c r="AH60" s="148">
        <f t="shared" si="13"/>
        <v>0</v>
      </c>
      <c r="AI60" s="212">
        <f t="shared" si="14"/>
        <v>0</v>
      </c>
      <c r="AK60" s="143">
        <f t="shared" si="15"/>
        <v>0</v>
      </c>
    </row>
    <row r="61" spans="1:37" x14ac:dyDescent="0.25">
      <c r="A61" s="121">
        <f t="shared" si="0"/>
        <v>55</v>
      </c>
      <c r="B61" s="160"/>
      <c r="C61" s="160" t="s">
        <v>84</v>
      </c>
      <c r="D61" s="160" t="s">
        <v>122</v>
      </c>
      <c r="E61" s="160" t="s">
        <v>114</v>
      </c>
      <c r="F61" s="149">
        <v>-7.3633559999999995E-4</v>
      </c>
      <c r="G61" s="127"/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2">
        <v>0</v>
      </c>
      <c r="U61" s="127"/>
      <c r="V61" s="142">
        <f t="shared" si="1"/>
        <v>0</v>
      </c>
      <c r="W61" s="142">
        <f t="shared" si="2"/>
        <v>0</v>
      </c>
      <c r="X61" s="142">
        <f t="shared" si="3"/>
        <v>0</v>
      </c>
      <c r="Y61" s="142">
        <f t="shared" si="4"/>
        <v>0</v>
      </c>
      <c r="Z61" s="142">
        <f t="shared" si="5"/>
        <v>0</v>
      </c>
      <c r="AA61" s="142">
        <f t="shared" si="6"/>
        <v>0</v>
      </c>
      <c r="AB61" s="142">
        <f t="shared" si="7"/>
        <v>0</v>
      </c>
      <c r="AC61" s="142">
        <f t="shared" si="8"/>
        <v>0</v>
      </c>
      <c r="AD61" s="142">
        <f t="shared" si="9"/>
        <v>0</v>
      </c>
      <c r="AE61" s="142">
        <f t="shared" si="10"/>
        <v>0</v>
      </c>
      <c r="AF61" s="142">
        <f t="shared" si="11"/>
        <v>0</v>
      </c>
      <c r="AG61" s="142">
        <f t="shared" si="12"/>
        <v>0</v>
      </c>
      <c r="AH61" s="147">
        <f t="shared" si="13"/>
        <v>0</v>
      </c>
      <c r="AI61" s="211">
        <f t="shared" si="14"/>
        <v>0</v>
      </c>
      <c r="AK61" s="142">
        <f t="shared" si="15"/>
        <v>0</v>
      </c>
    </row>
    <row r="62" spans="1:37" x14ac:dyDescent="0.25">
      <c r="A62" s="121">
        <f t="shared" si="0"/>
        <v>56</v>
      </c>
      <c r="B62" s="159" t="s">
        <v>123</v>
      </c>
      <c r="C62" s="159" t="s">
        <v>84</v>
      </c>
      <c r="D62" s="159" t="s">
        <v>124</v>
      </c>
      <c r="E62" s="159" t="s">
        <v>97</v>
      </c>
      <c r="F62" s="150">
        <v>0</v>
      </c>
      <c r="G62" s="129"/>
      <c r="H62" s="163">
        <v>16383</v>
      </c>
      <c r="I62" s="163">
        <v>28359</v>
      </c>
      <c r="J62" s="163">
        <v>37822</v>
      </c>
      <c r="K62" s="163">
        <v>30502</v>
      </c>
      <c r="L62" s="163">
        <v>11611</v>
      </c>
      <c r="M62" s="163">
        <v>10085</v>
      </c>
      <c r="N62" s="163">
        <v>10171</v>
      </c>
      <c r="O62" s="163">
        <v>10692</v>
      </c>
      <c r="P62" s="163">
        <v>10000</v>
      </c>
      <c r="Q62" s="163">
        <v>10000</v>
      </c>
      <c r="R62" s="163">
        <v>10080</v>
      </c>
      <c r="S62" s="163">
        <v>11137</v>
      </c>
      <c r="T62" s="164">
        <v>0</v>
      </c>
      <c r="U62" s="129"/>
      <c r="V62" s="143">
        <f t="shared" si="1"/>
        <v>0</v>
      </c>
      <c r="W62" s="143">
        <f t="shared" si="2"/>
        <v>0</v>
      </c>
      <c r="X62" s="143">
        <f t="shared" si="3"/>
        <v>0</v>
      </c>
      <c r="Y62" s="143">
        <f t="shared" si="4"/>
        <v>0</v>
      </c>
      <c r="Z62" s="143">
        <f t="shared" si="5"/>
        <v>0</v>
      </c>
      <c r="AA62" s="143">
        <f t="shared" si="6"/>
        <v>0</v>
      </c>
      <c r="AB62" s="143">
        <f t="shared" si="7"/>
        <v>0</v>
      </c>
      <c r="AC62" s="143">
        <f t="shared" si="8"/>
        <v>0</v>
      </c>
      <c r="AD62" s="143">
        <f t="shared" si="9"/>
        <v>0</v>
      </c>
      <c r="AE62" s="143">
        <f t="shared" si="10"/>
        <v>0</v>
      </c>
      <c r="AF62" s="143">
        <f t="shared" si="11"/>
        <v>0</v>
      </c>
      <c r="AG62" s="143">
        <f t="shared" si="12"/>
        <v>0</v>
      </c>
      <c r="AH62" s="148">
        <f t="shared" si="13"/>
        <v>0</v>
      </c>
      <c r="AI62" s="212">
        <f t="shared" si="14"/>
        <v>0</v>
      </c>
      <c r="AK62" s="143">
        <f t="shared" si="15"/>
        <v>0</v>
      </c>
    </row>
    <row r="63" spans="1:37" x14ac:dyDescent="0.25">
      <c r="A63" s="121">
        <f t="shared" si="0"/>
        <v>57</v>
      </c>
      <c r="B63" s="159" t="s">
        <v>124</v>
      </c>
      <c r="C63" s="159" t="s">
        <v>84</v>
      </c>
      <c r="D63" s="159" t="s">
        <v>124</v>
      </c>
      <c r="E63" s="159" t="s">
        <v>98</v>
      </c>
      <c r="F63" s="150">
        <v>0</v>
      </c>
      <c r="G63" s="129"/>
      <c r="H63" s="163">
        <v>14321</v>
      </c>
      <c r="I63" s="163">
        <v>14700</v>
      </c>
      <c r="J63" s="163">
        <v>22349</v>
      </c>
      <c r="K63" s="163">
        <v>15697</v>
      </c>
      <c r="L63" s="163">
        <v>15768</v>
      </c>
      <c r="M63" s="163">
        <v>11914</v>
      </c>
      <c r="N63" s="163">
        <v>9280</v>
      </c>
      <c r="O63" s="163">
        <v>9018</v>
      </c>
      <c r="P63" s="163">
        <v>3998</v>
      </c>
      <c r="Q63" s="163">
        <v>3607</v>
      </c>
      <c r="R63" s="163">
        <v>4896</v>
      </c>
      <c r="S63" s="163">
        <v>6019</v>
      </c>
      <c r="T63" s="164">
        <v>0</v>
      </c>
      <c r="U63" s="129"/>
      <c r="V63" s="143">
        <f t="shared" si="1"/>
        <v>0</v>
      </c>
      <c r="W63" s="143">
        <f t="shared" si="2"/>
        <v>0</v>
      </c>
      <c r="X63" s="143">
        <f t="shared" si="3"/>
        <v>0</v>
      </c>
      <c r="Y63" s="143">
        <f t="shared" si="4"/>
        <v>0</v>
      </c>
      <c r="Z63" s="143">
        <f t="shared" si="5"/>
        <v>0</v>
      </c>
      <c r="AA63" s="143">
        <f t="shared" si="6"/>
        <v>0</v>
      </c>
      <c r="AB63" s="143">
        <f t="shared" si="7"/>
        <v>0</v>
      </c>
      <c r="AC63" s="143">
        <f t="shared" si="8"/>
        <v>0</v>
      </c>
      <c r="AD63" s="143">
        <f t="shared" si="9"/>
        <v>0</v>
      </c>
      <c r="AE63" s="143">
        <f t="shared" si="10"/>
        <v>0</v>
      </c>
      <c r="AF63" s="143">
        <f t="shared" si="11"/>
        <v>0</v>
      </c>
      <c r="AG63" s="143">
        <f t="shared" si="12"/>
        <v>0</v>
      </c>
      <c r="AH63" s="148">
        <f t="shared" si="13"/>
        <v>0</v>
      </c>
      <c r="AI63" s="212">
        <f t="shared" si="14"/>
        <v>0</v>
      </c>
      <c r="AK63" s="143">
        <f t="shared" si="15"/>
        <v>0</v>
      </c>
    </row>
    <row r="64" spans="1:37" x14ac:dyDescent="0.25">
      <c r="A64" s="121">
        <f t="shared" si="0"/>
        <v>58</v>
      </c>
      <c r="B64" s="159"/>
      <c r="C64" s="159" t="s">
        <v>84</v>
      </c>
      <c r="D64" s="159" t="s">
        <v>124</v>
      </c>
      <c r="E64" s="159" t="s">
        <v>111</v>
      </c>
      <c r="F64" s="150">
        <v>0</v>
      </c>
      <c r="G64" s="129"/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v>0</v>
      </c>
      <c r="N64" s="163">
        <v>0</v>
      </c>
      <c r="O64" s="163">
        <v>0</v>
      </c>
      <c r="P64" s="163">
        <v>0</v>
      </c>
      <c r="Q64" s="163">
        <v>0</v>
      </c>
      <c r="R64" s="163">
        <v>0</v>
      </c>
      <c r="S64" s="163">
        <v>0</v>
      </c>
      <c r="T64" s="164">
        <v>0</v>
      </c>
      <c r="U64" s="129"/>
      <c r="V64" s="143">
        <f t="shared" si="1"/>
        <v>0</v>
      </c>
      <c r="W64" s="143">
        <f t="shared" si="2"/>
        <v>0</v>
      </c>
      <c r="X64" s="143">
        <f t="shared" si="3"/>
        <v>0</v>
      </c>
      <c r="Y64" s="143">
        <f t="shared" si="4"/>
        <v>0</v>
      </c>
      <c r="Z64" s="143">
        <f t="shared" si="5"/>
        <v>0</v>
      </c>
      <c r="AA64" s="143">
        <f t="shared" si="6"/>
        <v>0</v>
      </c>
      <c r="AB64" s="143">
        <f t="shared" si="7"/>
        <v>0</v>
      </c>
      <c r="AC64" s="143">
        <f t="shared" si="8"/>
        <v>0</v>
      </c>
      <c r="AD64" s="143">
        <f t="shared" si="9"/>
        <v>0</v>
      </c>
      <c r="AE64" s="143">
        <f t="shared" si="10"/>
        <v>0</v>
      </c>
      <c r="AF64" s="143">
        <f t="shared" si="11"/>
        <v>0</v>
      </c>
      <c r="AG64" s="143">
        <f t="shared" si="12"/>
        <v>0</v>
      </c>
      <c r="AH64" s="148">
        <f t="shared" si="13"/>
        <v>0</v>
      </c>
      <c r="AI64" s="212">
        <f t="shared" si="14"/>
        <v>0</v>
      </c>
      <c r="AK64" s="143">
        <f t="shared" si="15"/>
        <v>0</v>
      </c>
    </row>
    <row r="65" spans="1:37" x14ac:dyDescent="0.25">
      <c r="A65" s="121">
        <f t="shared" si="0"/>
        <v>59</v>
      </c>
      <c r="B65" s="159"/>
      <c r="C65" s="159" t="s">
        <v>84</v>
      </c>
      <c r="D65" s="159" t="s">
        <v>124</v>
      </c>
      <c r="E65" s="159" t="s">
        <v>112</v>
      </c>
      <c r="F65" s="150">
        <v>0</v>
      </c>
      <c r="G65" s="129"/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v>0</v>
      </c>
      <c r="P65" s="163">
        <v>0</v>
      </c>
      <c r="Q65" s="163">
        <v>0</v>
      </c>
      <c r="R65" s="163">
        <v>0</v>
      </c>
      <c r="S65" s="163">
        <v>0</v>
      </c>
      <c r="T65" s="164">
        <v>0</v>
      </c>
      <c r="U65" s="129"/>
      <c r="V65" s="143">
        <f t="shared" si="1"/>
        <v>0</v>
      </c>
      <c r="W65" s="143">
        <f t="shared" si="2"/>
        <v>0</v>
      </c>
      <c r="X65" s="143">
        <f t="shared" si="3"/>
        <v>0</v>
      </c>
      <c r="Y65" s="143">
        <f t="shared" si="4"/>
        <v>0</v>
      </c>
      <c r="Z65" s="143">
        <f t="shared" si="5"/>
        <v>0</v>
      </c>
      <c r="AA65" s="143">
        <f t="shared" si="6"/>
        <v>0</v>
      </c>
      <c r="AB65" s="143">
        <f t="shared" si="7"/>
        <v>0</v>
      </c>
      <c r="AC65" s="143">
        <f t="shared" si="8"/>
        <v>0</v>
      </c>
      <c r="AD65" s="143">
        <f t="shared" si="9"/>
        <v>0</v>
      </c>
      <c r="AE65" s="143">
        <f t="shared" si="10"/>
        <v>0</v>
      </c>
      <c r="AF65" s="143">
        <f t="shared" si="11"/>
        <v>0</v>
      </c>
      <c r="AG65" s="143">
        <f t="shared" si="12"/>
        <v>0</v>
      </c>
      <c r="AH65" s="148">
        <f t="shared" si="13"/>
        <v>0</v>
      </c>
      <c r="AI65" s="212">
        <f t="shared" si="14"/>
        <v>0</v>
      </c>
      <c r="AK65" s="143">
        <f t="shared" si="15"/>
        <v>0</v>
      </c>
    </row>
    <row r="66" spans="1:37" x14ac:dyDescent="0.25">
      <c r="A66" s="121">
        <f t="shared" si="0"/>
        <v>60</v>
      </c>
      <c r="B66" s="159"/>
      <c r="C66" s="159" t="s">
        <v>84</v>
      </c>
      <c r="D66" s="159" t="s">
        <v>124</v>
      </c>
      <c r="E66" s="159" t="s">
        <v>113</v>
      </c>
      <c r="F66" s="150">
        <v>0</v>
      </c>
      <c r="G66" s="129"/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v>0</v>
      </c>
      <c r="N66" s="163">
        <v>0</v>
      </c>
      <c r="O66" s="163">
        <v>0</v>
      </c>
      <c r="P66" s="163">
        <v>0</v>
      </c>
      <c r="Q66" s="163">
        <v>0</v>
      </c>
      <c r="R66" s="163">
        <v>0</v>
      </c>
      <c r="S66" s="163">
        <v>0</v>
      </c>
      <c r="T66" s="164">
        <v>0</v>
      </c>
      <c r="U66" s="129"/>
      <c r="V66" s="143">
        <f t="shared" si="1"/>
        <v>0</v>
      </c>
      <c r="W66" s="143">
        <f t="shared" si="2"/>
        <v>0</v>
      </c>
      <c r="X66" s="143">
        <f t="shared" si="3"/>
        <v>0</v>
      </c>
      <c r="Y66" s="143">
        <f t="shared" si="4"/>
        <v>0</v>
      </c>
      <c r="Z66" s="143">
        <f t="shared" si="5"/>
        <v>0</v>
      </c>
      <c r="AA66" s="143">
        <f t="shared" si="6"/>
        <v>0</v>
      </c>
      <c r="AB66" s="143">
        <f t="shared" si="7"/>
        <v>0</v>
      </c>
      <c r="AC66" s="143">
        <f t="shared" si="8"/>
        <v>0</v>
      </c>
      <c r="AD66" s="143">
        <f t="shared" si="9"/>
        <v>0</v>
      </c>
      <c r="AE66" s="143">
        <f t="shared" si="10"/>
        <v>0</v>
      </c>
      <c r="AF66" s="143">
        <f t="shared" si="11"/>
        <v>0</v>
      </c>
      <c r="AG66" s="143">
        <f t="shared" si="12"/>
        <v>0</v>
      </c>
      <c r="AH66" s="148">
        <f t="shared" si="13"/>
        <v>0</v>
      </c>
      <c r="AI66" s="212">
        <f t="shared" si="14"/>
        <v>0</v>
      </c>
      <c r="AK66" s="143">
        <f t="shared" si="15"/>
        <v>0</v>
      </c>
    </row>
    <row r="67" spans="1:37" x14ac:dyDescent="0.25">
      <c r="A67" s="121">
        <f t="shared" si="0"/>
        <v>61</v>
      </c>
      <c r="B67" s="160"/>
      <c r="C67" s="160" t="s">
        <v>84</v>
      </c>
      <c r="D67" s="160" t="s">
        <v>124</v>
      </c>
      <c r="E67" s="160" t="s">
        <v>114</v>
      </c>
      <c r="F67" s="149">
        <v>0</v>
      </c>
      <c r="G67" s="127"/>
      <c r="H67" s="166">
        <v>0</v>
      </c>
      <c r="I67" s="166">
        <v>0</v>
      </c>
      <c r="J67" s="161">
        <v>0</v>
      </c>
      <c r="K67" s="161">
        <v>0</v>
      </c>
      <c r="L67" s="161">
        <v>0</v>
      </c>
      <c r="M67" s="161">
        <v>0</v>
      </c>
      <c r="N67" s="161">
        <v>0</v>
      </c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2">
        <v>0</v>
      </c>
      <c r="U67" s="127"/>
      <c r="V67" s="145">
        <f t="shared" si="1"/>
        <v>0</v>
      </c>
      <c r="W67" s="145">
        <f t="shared" si="2"/>
        <v>0</v>
      </c>
      <c r="X67" s="145">
        <f t="shared" si="3"/>
        <v>0</v>
      </c>
      <c r="Y67" s="145">
        <f t="shared" si="4"/>
        <v>0</v>
      </c>
      <c r="Z67" s="145">
        <f t="shared" si="5"/>
        <v>0</v>
      </c>
      <c r="AA67" s="145">
        <f t="shared" si="6"/>
        <v>0</v>
      </c>
      <c r="AB67" s="145">
        <f t="shared" si="7"/>
        <v>0</v>
      </c>
      <c r="AC67" s="145">
        <f t="shared" si="8"/>
        <v>0</v>
      </c>
      <c r="AD67" s="145">
        <f t="shared" si="9"/>
        <v>0</v>
      </c>
      <c r="AE67" s="145">
        <f t="shared" si="10"/>
        <v>0</v>
      </c>
      <c r="AF67" s="145">
        <f t="shared" si="11"/>
        <v>0</v>
      </c>
      <c r="AG67" s="145">
        <f t="shared" si="12"/>
        <v>0</v>
      </c>
      <c r="AH67" s="147">
        <f t="shared" si="13"/>
        <v>0</v>
      </c>
      <c r="AI67" s="214">
        <f t="shared" si="14"/>
        <v>0</v>
      </c>
      <c r="AK67" s="145">
        <f t="shared" si="15"/>
        <v>0</v>
      </c>
    </row>
    <row r="68" spans="1:37" x14ac:dyDescent="0.25">
      <c r="A68" s="121">
        <f t="shared" si="0"/>
        <v>62</v>
      </c>
      <c r="B68" s="159" t="s">
        <v>125</v>
      </c>
      <c r="C68" s="159" t="s">
        <v>84</v>
      </c>
      <c r="D68" s="159" t="s">
        <v>126</v>
      </c>
      <c r="E68" s="159" t="s">
        <v>97</v>
      </c>
      <c r="F68" s="150">
        <v>0</v>
      </c>
      <c r="G68" s="129"/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3">
        <v>0</v>
      </c>
      <c r="Q68" s="163">
        <v>0</v>
      </c>
      <c r="R68" s="163">
        <v>0</v>
      </c>
      <c r="S68" s="163">
        <v>0</v>
      </c>
      <c r="T68" s="164">
        <v>0</v>
      </c>
      <c r="U68" s="129"/>
      <c r="V68" s="143">
        <f t="shared" si="1"/>
        <v>0</v>
      </c>
      <c r="W68" s="143">
        <f t="shared" si="2"/>
        <v>0</v>
      </c>
      <c r="X68" s="143">
        <f t="shared" si="3"/>
        <v>0</v>
      </c>
      <c r="Y68" s="143">
        <f t="shared" si="4"/>
        <v>0</v>
      </c>
      <c r="Z68" s="143">
        <f t="shared" si="5"/>
        <v>0</v>
      </c>
      <c r="AA68" s="143">
        <f t="shared" si="6"/>
        <v>0</v>
      </c>
      <c r="AB68" s="143">
        <f t="shared" si="7"/>
        <v>0</v>
      </c>
      <c r="AC68" s="143">
        <f t="shared" si="8"/>
        <v>0</v>
      </c>
      <c r="AD68" s="143">
        <f t="shared" si="9"/>
        <v>0</v>
      </c>
      <c r="AE68" s="143">
        <f t="shared" si="10"/>
        <v>0</v>
      </c>
      <c r="AF68" s="143">
        <f t="shared" si="11"/>
        <v>0</v>
      </c>
      <c r="AG68" s="143">
        <f t="shared" si="12"/>
        <v>0</v>
      </c>
      <c r="AH68" s="148">
        <f t="shared" si="13"/>
        <v>0</v>
      </c>
      <c r="AI68" s="212">
        <f t="shared" si="14"/>
        <v>0</v>
      </c>
      <c r="AK68" s="143">
        <f t="shared" si="15"/>
        <v>0</v>
      </c>
    </row>
    <row r="69" spans="1:37" x14ac:dyDescent="0.25">
      <c r="A69" s="121">
        <f t="shared" si="0"/>
        <v>63</v>
      </c>
      <c r="B69" s="159" t="s">
        <v>126</v>
      </c>
      <c r="C69" s="159" t="s">
        <v>84</v>
      </c>
      <c r="D69" s="159" t="s">
        <v>126</v>
      </c>
      <c r="E69" s="159" t="s">
        <v>98</v>
      </c>
      <c r="F69" s="150">
        <v>0</v>
      </c>
      <c r="G69" s="129"/>
      <c r="H69" s="163">
        <v>0</v>
      </c>
      <c r="I69" s="163">
        <v>0</v>
      </c>
      <c r="J69" s="163">
        <v>0</v>
      </c>
      <c r="K69" s="163">
        <v>0</v>
      </c>
      <c r="L69" s="163">
        <v>0</v>
      </c>
      <c r="M69" s="163">
        <v>0</v>
      </c>
      <c r="N69" s="163">
        <v>0</v>
      </c>
      <c r="O69" s="163">
        <v>0</v>
      </c>
      <c r="P69" s="163">
        <v>0</v>
      </c>
      <c r="Q69" s="163">
        <v>0</v>
      </c>
      <c r="R69" s="163">
        <v>0</v>
      </c>
      <c r="S69" s="163">
        <v>0</v>
      </c>
      <c r="T69" s="164">
        <v>0</v>
      </c>
      <c r="U69" s="129"/>
      <c r="V69" s="143">
        <f t="shared" si="1"/>
        <v>0</v>
      </c>
      <c r="W69" s="143">
        <f t="shared" si="2"/>
        <v>0</v>
      </c>
      <c r="X69" s="143">
        <f t="shared" si="3"/>
        <v>0</v>
      </c>
      <c r="Y69" s="143">
        <f t="shared" si="4"/>
        <v>0</v>
      </c>
      <c r="Z69" s="143">
        <f t="shared" si="5"/>
        <v>0</v>
      </c>
      <c r="AA69" s="143">
        <f t="shared" si="6"/>
        <v>0</v>
      </c>
      <c r="AB69" s="143">
        <f t="shared" si="7"/>
        <v>0</v>
      </c>
      <c r="AC69" s="143">
        <f t="shared" si="8"/>
        <v>0</v>
      </c>
      <c r="AD69" s="143">
        <f t="shared" si="9"/>
        <v>0</v>
      </c>
      <c r="AE69" s="143">
        <f t="shared" si="10"/>
        <v>0</v>
      </c>
      <c r="AF69" s="143">
        <f t="shared" si="11"/>
        <v>0</v>
      </c>
      <c r="AG69" s="143">
        <f t="shared" si="12"/>
        <v>0</v>
      </c>
      <c r="AH69" s="148">
        <f t="shared" si="13"/>
        <v>0</v>
      </c>
      <c r="AI69" s="212">
        <f t="shared" si="14"/>
        <v>0</v>
      </c>
      <c r="AK69" s="143">
        <f t="shared" si="15"/>
        <v>0</v>
      </c>
    </row>
    <row r="70" spans="1:37" x14ac:dyDescent="0.25">
      <c r="A70" s="121">
        <f t="shared" si="0"/>
        <v>64</v>
      </c>
      <c r="B70" s="159"/>
      <c r="C70" s="159" t="s">
        <v>84</v>
      </c>
      <c r="D70" s="159" t="s">
        <v>126</v>
      </c>
      <c r="E70" s="159" t="s">
        <v>111</v>
      </c>
      <c r="F70" s="150">
        <v>0</v>
      </c>
      <c r="G70" s="129"/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v>0</v>
      </c>
      <c r="P70" s="163">
        <v>0</v>
      </c>
      <c r="Q70" s="163">
        <v>0</v>
      </c>
      <c r="R70" s="163">
        <v>0</v>
      </c>
      <c r="S70" s="163">
        <v>0</v>
      </c>
      <c r="T70" s="164">
        <v>0</v>
      </c>
      <c r="U70" s="129"/>
      <c r="V70" s="143">
        <f t="shared" si="1"/>
        <v>0</v>
      </c>
      <c r="W70" s="143">
        <f t="shared" si="2"/>
        <v>0</v>
      </c>
      <c r="X70" s="143">
        <f t="shared" si="3"/>
        <v>0</v>
      </c>
      <c r="Y70" s="143">
        <f t="shared" si="4"/>
        <v>0</v>
      </c>
      <c r="Z70" s="143">
        <f t="shared" si="5"/>
        <v>0</v>
      </c>
      <c r="AA70" s="143">
        <f t="shared" si="6"/>
        <v>0</v>
      </c>
      <c r="AB70" s="143">
        <f t="shared" si="7"/>
        <v>0</v>
      </c>
      <c r="AC70" s="143">
        <f t="shared" si="8"/>
        <v>0</v>
      </c>
      <c r="AD70" s="143">
        <f t="shared" si="9"/>
        <v>0</v>
      </c>
      <c r="AE70" s="143">
        <f t="shared" si="10"/>
        <v>0</v>
      </c>
      <c r="AF70" s="143">
        <f t="shared" si="11"/>
        <v>0</v>
      </c>
      <c r="AG70" s="143">
        <f t="shared" si="12"/>
        <v>0</v>
      </c>
      <c r="AH70" s="148">
        <f t="shared" si="13"/>
        <v>0</v>
      </c>
      <c r="AI70" s="212">
        <f t="shared" si="14"/>
        <v>0</v>
      </c>
      <c r="AK70" s="143">
        <f t="shared" si="15"/>
        <v>0</v>
      </c>
    </row>
    <row r="71" spans="1:37" x14ac:dyDescent="0.25">
      <c r="A71" s="121">
        <f t="shared" si="0"/>
        <v>65</v>
      </c>
      <c r="B71" s="159"/>
      <c r="C71" s="159" t="s">
        <v>84</v>
      </c>
      <c r="D71" s="159" t="s">
        <v>126</v>
      </c>
      <c r="E71" s="159" t="s">
        <v>112</v>
      </c>
      <c r="F71" s="150">
        <v>0</v>
      </c>
      <c r="G71" s="129"/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3">
        <v>0</v>
      </c>
      <c r="Q71" s="163">
        <v>0</v>
      </c>
      <c r="R71" s="163">
        <v>0</v>
      </c>
      <c r="S71" s="163">
        <v>0</v>
      </c>
      <c r="T71" s="164">
        <v>0</v>
      </c>
      <c r="U71" s="129"/>
      <c r="V71" s="143">
        <f t="shared" si="1"/>
        <v>0</v>
      </c>
      <c r="W71" s="143">
        <f t="shared" si="2"/>
        <v>0</v>
      </c>
      <c r="X71" s="143">
        <f t="shared" si="3"/>
        <v>0</v>
      </c>
      <c r="Y71" s="143">
        <f t="shared" si="4"/>
        <v>0</v>
      </c>
      <c r="Z71" s="143">
        <f t="shared" si="5"/>
        <v>0</v>
      </c>
      <c r="AA71" s="143">
        <f t="shared" si="6"/>
        <v>0</v>
      </c>
      <c r="AB71" s="143">
        <f t="shared" si="7"/>
        <v>0</v>
      </c>
      <c r="AC71" s="143">
        <f t="shared" si="8"/>
        <v>0</v>
      </c>
      <c r="AD71" s="143">
        <f t="shared" si="9"/>
        <v>0</v>
      </c>
      <c r="AE71" s="143">
        <f t="shared" si="10"/>
        <v>0</v>
      </c>
      <c r="AF71" s="143">
        <f t="shared" si="11"/>
        <v>0</v>
      </c>
      <c r="AG71" s="143">
        <f t="shared" si="12"/>
        <v>0</v>
      </c>
      <c r="AH71" s="148">
        <f t="shared" si="13"/>
        <v>0</v>
      </c>
      <c r="AI71" s="212">
        <f t="shared" si="14"/>
        <v>0</v>
      </c>
      <c r="AK71" s="143">
        <f t="shared" si="15"/>
        <v>0</v>
      </c>
    </row>
    <row r="72" spans="1:37" x14ac:dyDescent="0.25">
      <c r="A72" s="121">
        <f t="shared" ref="A72:A95" si="16">+A71+1</f>
        <v>66</v>
      </c>
      <c r="B72" s="159"/>
      <c r="C72" s="159" t="s">
        <v>84</v>
      </c>
      <c r="D72" s="159" t="s">
        <v>126</v>
      </c>
      <c r="E72" s="159" t="s">
        <v>113</v>
      </c>
      <c r="F72" s="150">
        <v>0</v>
      </c>
      <c r="G72" s="129"/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3">
        <v>0</v>
      </c>
      <c r="T72" s="164">
        <v>0</v>
      </c>
      <c r="U72" s="129"/>
      <c r="V72" s="143">
        <f t="shared" si="1"/>
        <v>0</v>
      </c>
      <c r="W72" s="143">
        <f t="shared" si="2"/>
        <v>0</v>
      </c>
      <c r="X72" s="143">
        <f t="shared" si="3"/>
        <v>0</v>
      </c>
      <c r="Y72" s="143">
        <f t="shared" si="4"/>
        <v>0</v>
      </c>
      <c r="Z72" s="143">
        <f t="shared" si="5"/>
        <v>0</v>
      </c>
      <c r="AA72" s="143">
        <f t="shared" si="6"/>
        <v>0</v>
      </c>
      <c r="AB72" s="143">
        <f t="shared" si="7"/>
        <v>0</v>
      </c>
      <c r="AC72" s="143">
        <f t="shared" si="8"/>
        <v>0</v>
      </c>
      <c r="AD72" s="143">
        <f t="shared" si="9"/>
        <v>0</v>
      </c>
      <c r="AE72" s="143">
        <f t="shared" si="10"/>
        <v>0</v>
      </c>
      <c r="AF72" s="143">
        <f t="shared" si="11"/>
        <v>0</v>
      </c>
      <c r="AG72" s="143">
        <f t="shared" si="12"/>
        <v>0</v>
      </c>
      <c r="AH72" s="148">
        <f t="shared" si="13"/>
        <v>0</v>
      </c>
      <c r="AI72" s="212">
        <f t="shared" si="14"/>
        <v>0</v>
      </c>
      <c r="AK72" s="143">
        <f t="shared" si="15"/>
        <v>0</v>
      </c>
    </row>
    <row r="73" spans="1:37" x14ac:dyDescent="0.25">
      <c r="A73" s="121">
        <f t="shared" si="16"/>
        <v>67</v>
      </c>
      <c r="B73" s="160"/>
      <c r="C73" s="160" t="s">
        <v>84</v>
      </c>
      <c r="D73" s="160" t="s">
        <v>126</v>
      </c>
      <c r="E73" s="160" t="s">
        <v>114</v>
      </c>
      <c r="F73" s="149">
        <v>0</v>
      </c>
      <c r="G73" s="127"/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>
        <v>0</v>
      </c>
      <c r="N73" s="161">
        <v>0</v>
      </c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2">
        <v>0</v>
      </c>
      <c r="U73" s="127"/>
      <c r="V73" s="142">
        <f t="shared" si="1"/>
        <v>0</v>
      </c>
      <c r="W73" s="142">
        <f t="shared" si="2"/>
        <v>0</v>
      </c>
      <c r="X73" s="142">
        <f t="shared" si="3"/>
        <v>0</v>
      </c>
      <c r="Y73" s="142">
        <f t="shared" si="4"/>
        <v>0</v>
      </c>
      <c r="Z73" s="142">
        <f t="shared" si="5"/>
        <v>0</v>
      </c>
      <c r="AA73" s="142">
        <f t="shared" si="6"/>
        <v>0</v>
      </c>
      <c r="AB73" s="142">
        <f t="shared" si="7"/>
        <v>0</v>
      </c>
      <c r="AC73" s="142">
        <f t="shared" si="8"/>
        <v>0</v>
      </c>
      <c r="AD73" s="142">
        <f t="shared" si="9"/>
        <v>0</v>
      </c>
      <c r="AE73" s="142">
        <f t="shared" si="10"/>
        <v>0</v>
      </c>
      <c r="AF73" s="142">
        <f t="shared" si="11"/>
        <v>0</v>
      </c>
      <c r="AG73" s="142">
        <f t="shared" si="12"/>
        <v>0</v>
      </c>
      <c r="AH73" s="147">
        <f t="shared" si="13"/>
        <v>0</v>
      </c>
      <c r="AI73" s="211">
        <f t="shared" si="14"/>
        <v>0</v>
      </c>
      <c r="AK73" s="142">
        <f t="shared" si="15"/>
        <v>0</v>
      </c>
    </row>
    <row r="74" spans="1:37" x14ac:dyDescent="0.25">
      <c r="A74" s="121">
        <f t="shared" si="16"/>
        <v>68</v>
      </c>
      <c r="B74" s="159" t="s">
        <v>127</v>
      </c>
      <c r="C74" s="159" t="s">
        <v>84</v>
      </c>
      <c r="D74" s="159" t="s">
        <v>128</v>
      </c>
      <c r="E74" s="159" t="s">
        <v>97</v>
      </c>
      <c r="F74" s="150">
        <v>0</v>
      </c>
      <c r="G74" s="129"/>
      <c r="H74" s="167">
        <v>82454</v>
      </c>
      <c r="I74" s="167">
        <v>55780</v>
      </c>
      <c r="J74" s="163">
        <v>55350</v>
      </c>
      <c r="K74" s="163">
        <v>59305</v>
      </c>
      <c r="L74" s="163">
        <v>70672</v>
      </c>
      <c r="M74" s="163">
        <v>74766</v>
      </c>
      <c r="N74" s="163">
        <v>70618</v>
      </c>
      <c r="O74" s="163">
        <v>69584</v>
      </c>
      <c r="P74" s="163">
        <v>84127</v>
      </c>
      <c r="Q74" s="163">
        <v>84048</v>
      </c>
      <c r="R74" s="163">
        <v>84210</v>
      </c>
      <c r="S74" s="163">
        <v>82595</v>
      </c>
      <c r="T74" s="164">
        <v>0</v>
      </c>
      <c r="U74" s="129"/>
      <c r="V74" s="146">
        <f t="shared" si="1"/>
        <v>0</v>
      </c>
      <c r="W74" s="146">
        <f t="shared" si="2"/>
        <v>0</v>
      </c>
      <c r="X74" s="146">
        <f t="shared" si="3"/>
        <v>0</v>
      </c>
      <c r="Y74" s="146">
        <f t="shared" si="4"/>
        <v>0</v>
      </c>
      <c r="Z74" s="146">
        <f t="shared" si="5"/>
        <v>0</v>
      </c>
      <c r="AA74" s="146">
        <f t="shared" si="6"/>
        <v>0</v>
      </c>
      <c r="AB74" s="146">
        <f t="shared" si="7"/>
        <v>0</v>
      </c>
      <c r="AC74" s="146">
        <f t="shared" si="8"/>
        <v>0</v>
      </c>
      <c r="AD74" s="146">
        <f t="shared" si="9"/>
        <v>0</v>
      </c>
      <c r="AE74" s="146">
        <f t="shared" si="10"/>
        <v>0</v>
      </c>
      <c r="AF74" s="146">
        <f t="shared" si="11"/>
        <v>0</v>
      </c>
      <c r="AG74" s="146">
        <f t="shared" si="12"/>
        <v>0</v>
      </c>
      <c r="AH74" s="151">
        <f t="shared" si="13"/>
        <v>0</v>
      </c>
      <c r="AI74" s="215">
        <f t="shared" si="14"/>
        <v>0</v>
      </c>
      <c r="AK74" s="146">
        <f t="shared" si="15"/>
        <v>0</v>
      </c>
    </row>
    <row r="75" spans="1:37" x14ac:dyDescent="0.25">
      <c r="A75" s="121">
        <f t="shared" si="16"/>
        <v>69</v>
      </c>
      <c r="B75" s="159" t="s">
        <v>128</v>
      </c>
      <c r="C75" s="159" t="s">
        <v>84</v>
      </c>
      <c r="D75" s="159" t="s">
        <v>128</v>
      </c>
      <c r="E75" s="159" t="s">
        <v>98</v>
      </c>
      <c r="F75" s="150">
        <v>0</v>
      </c>
      <c r="G75" s="129"/>
      <c r="H75" s="167">
        <v>131094</v>
      </c>
      <c r="I75" s="167">
        <v>81617</v>
      </c>
      <c r="J75" s="163">
        <v>97137</v>
      </c>
      <c r="K75" s="163">
        <v>96371</v>
      </c>
      <c r="L75" s="163">
        <v>109210</v>
      </c>
      <c r="M75" s="163">
        <v>132197</v>
      </c>
      <c r="N75" s="163">
        <v>116504</v>
      </c>
      <c r="O75" s="163">
        <v>113968</v>
      </c>
      <c r="P75" s="163">
        <v>149742</v>
      </c>
      <c r="Q75" s="163">
        <v>164949</v>
      </c>
      <c r="R75" s="163">
        <v>151029</v>
      </c>
      <c r="S75" s="163">
        <v>147164</v>
      </c>
      <c r="T75" s="164">
        <v>0</v>
      </c>
      <c r="U75" s="129"/>
      <c r="V75" s="146">
        <f t="shared" si="1"/>
        <v>0</v>
      </c>
      <c r="W75" s="146">
        <f t="shared" si="2"/>
        <v>0</v>
      </c>
      <c r="X75" s="146">
        <f t="shared" si="3"/>
        <v>0</v>
      </c>
      <c r="Y75" s="146">
        <f t="shared" si="4"/>
        <v>0</v>
      </c>
      <c r="Z75" s="146">
        <f t="shared" si="5"/>
        <v>0</v>
      </c>
      <c r="AA75" s="146">
        <f t="shared" si="6"/>
        <v>0</v>
      </c>
      <c r="AB75" s="146">
        <f t="shared" si="7"/>
        <v>0</v>
      </c>
      <c r="AC75" s="146">
        <f t="shared" si="8"/>
        <v>0</v>
      </c>
      <c r="AD75" s="146">
        <f t="shared" si="9"/>
        <v>0</v>
      </c>
      <c r="AE75" s="146">
        <f t="shared" si="10"/>
        <v>0</v>
      </c>
      <c r="AF75" s="146">
        <f t="shared" si="11"/>
        <v>0</v>
      </c>
      <c r="AG75" s="146">
        <f t="shared" si="12"/>
        <v>0</v>
      </c>
      <c r="AH75" s="151">
        <f t="shared" si="13"/>
        <v>0</v>
      </c>
      <c r="AI75" s="215">
        <f t="shared" si="14"/>
        <v>0</v>
      </c>
      <c r="AK75" s="146">
        <f t="shared" si="15"/>
        <v>0</v>
      </c>
    </row>
    <row r="76" spans="1:37" x14ac:dyDescent="0.25">
      <c r="A76" s="121">
        <f t="shared" si="16"/>
        <v>70</v>
      </c>
      <c r="B76" s="159"/>
      <c r="C76" s="159" t="s">
        <v>84</v>
      </c>
      <c r="D76" s="159" t="s">
        <v>128</v>
      </c>
      <c r="E76" s="159" t="s">
        <v>111</v>
      </c>
      <c r="F76" s="150">
        <v>0</v>
      </c>
      <c r="G76" s="129"/>
      <c r="H76" s="167">
        <v>102251</v>
      </c>
      <c r="I76" s="167">
        <v>60000</v>
      </c>
      <c r="J76" s="163">
        <v>80000</v>
      </c>
      <c r="K76" s="163">
        <v>64317</v>
      </c>
      <c r="L76" s="163">
        <v>75513</v>
      </c>
      <c r="M76" s="163">
        <v>95392</v>
      </c>
      <c r="N76" s="163">
        <v>90196</v>
      </c>
      <c r="O76" s="163">
        <v>96665</v>
      </c>
      <c r="P76" s="163">
        <v>96529</v>
      </c>
      <c r="Q76" s="163">
        <v>116951</v>
      </c>
      <c r="R76" s="163">
        <v>117057</v>
      </c>
      <c r="S76" s="163">
        <v>130826</v>
      </c>
      <c r="T76" s="164">
        <v>0</v>
      </c>
      <c r="U76" s="129"/>
      <c r="V76" s="146">
        <f t="shared" si="1"/>
        <v>0</v>
      </c>
      <c r="W76" s="146">
        <f t="shared" si="2"/>
        <v>0</v>
      </c>
      <c r="X76" s="146">
        <f t="shared" si="3"/>
        <v>0</v>
      </c>
      <c r="Y76" s="146">
        <f t="shared" si="4"/>
        <v>0</v>
      </c>
      <c r="Z76" s="146">
        <f t="shared" si="5"/>
        <v>0</v>
      </c>
      <c r="AA76" s="146">
        <f t="shared" si="6"/>
        <v>0</v>
      </c>
      <c r="AB76" s="146">
        <f t="shared" si="7"/>
        <v>0</v>
      </c>
      <c r="AC76" s="146">
        <f t="shared" si="8"/>
        <v>0</v>
      </c>
      <c r="AD76" s="146">
        <f t="shared" si="9"/>
        <v>0</v>
      </c>
      <c r="AE76" s="146">
        <f t="shared" si="10"/>
        <v>0</v>
      </c>
      <c r="AF76" s="146">
        <f t="shared" si="11"/>
        <v>0</v>
      </c>
      <c r="AG76" s="146">
        <f t="shared" si="12"/>
        <v>0</v>
      </c>
      <c r="AH76" s="151">
        <f t="shared" si="13"/>
        <v>0</v>
      </c>
      <c r="AI76" s="215">
        <f t="shared" si="14"/>
        <v>0</v>
      </c>
      <c r="AK76" s="146">
        <f t="shared" si="15"/>
        <v>0</v>
      </c>
    </row>
    <row r="77" spans="1:37" x14ac:dyDescent="0.25">
      <c r="A77" s="121">
        <f t="shared" si="16"/>
        <v>71</v>
      </c>
      <c r="B77" s="159"/>
      <c r="C77" s="159" t="s">
        <v>84</v>
      </c>
      <c r="D77" s="159" t="s">
        <v>128</v>
      </c>
      <c r="E77" s="159" t="s">
        <v>112</v>
      </c>
      <c r="F77" s="150">
        <v>0</v>
      </c>
      <c r="G77" s="129"/>
      <c r="H77" s="167">
        <v>360172</v>
      </c>
      <c r="I77" s="167">
        <v>277177</v>
      </c>
      <c r="J77" s="163">
        <v>306770</v>
      </c>
      <c r="K77" s="163">
        <v>288109</v>
      </c>
      <c r="L77" s="163">
        <v>294508</v>
      </c>
      <c r="M77" s="163">
        <v>305326</v>
      </c>
      <c r="N77" s="163">
        <v>249505</v>
      </c>
      <c r="O77" s="163">
        <v>266164</v>
      </c>
      <c r="P77" s="163">
        <v>268132</v>
      </c>
      <c r="Q77" s="163">
        <v>330616</v>
      </c>
      <c r="R77" s="163">
        <v>431439</v>
      </c>
      <c r="S77" s="163">
        <v>386467</v>
      </c>
      <c r="T77" s="164">
        <v>0</v>
      </c>
      <c r="U77" s="129"/>
      <c r="V77" s="146">
        <f t="shared" si="1"/>
        <v>0</v>
      </c>
      <c r="W77" s="146">
        <f t="shared" si="2"/>
        <v>0</v>
      </c>
      <c r="X77" s="146">
        <f t="shared" si="3"/>
        <v>0</v>
      </c>
      <c r="Y77" s="146">
        <f t="shared" si="4"/>
        <v>0</v>
      </c>
      <c r="Z77" s="146">
        <f t="shared" si="5"/>
        <v>0</v>
      </c>
      <c r="AA77" s="146">
        <f t="shared" si="6"/>
        <v>0</v>
      </c>
      <c r="AB77" s="146">
        <f t="shared" si="7"/>
        <v>0</v>
      </c>
      <c r="AC77" s="146">
        <f t="shared" si="8"/>
        <v>0</v>
      </c>
      <c r="AD77" s="146">
        <f t="shared" si="9"/>
        <v>0</v>
      </c>
      <c r="AE77" s="146">
        <f t="shared" si="10"/>
        <v>0</v>
      </c>
      <c r="AF77" s="146">
        <f t="shared" si="11"/>
        <v>0</v>
      </c>
      <c r="AG77" s="146">
        <f t="shared" si="12"/>
        <v>0</v>
      </c>
      <c r="AH77" s="151">
        <f t="shared" si="13"/>
        <v>0</v>
      </c>
      <c r="AI77" s="215">
        <f t="shared" si="14"/>
        <v>0</v>
      </c>
      <c r="AK77" s="146">
        <f t="shared" si="15"/>
        <v>0</v>
      </c>
    </row>
    <row r="78" spans="1:37" x14ac:dyDescent="0.25">
      <c r="A78" s="121">
        <f t="shared" si="16"/>
        <v>72</v>
      </c>
      <c r="B78" s="159"/>
      <c r="C78" s="159" t="s">
        <v>84</v>
      </c>
      <c r="D78" s="159" t="s">
        <v>128</v>
      </c>
      <c r="E78" s="159" t="s">
        <v>113</v>
      </c>
      <c r="F78" s="150">
        <v>0</v>
      </c>
      <c r="G78" s="129"/>
      <c r="H78" s="167">
        <v>173126</v>
      </c>
      <c r="I78" s="167">
        <v>307510</v>
      </c>
      <c r="J78" s="163">
        <v>323307</v>
      </c>
      <c r="K78" s="163">
        <v>175451</v>
      </c>
      <c r="L78" s="163">
        <v>185451</v>
      </c>
      <c r="M78" s="163">
        <v>184550</v>
      </c>
      <c r="N78" s="163">
        <v>156370</v>
      </c>
      <c r="O78" s="163">
        <v>177754</v>
      </c>
      <c r="P78" s="163">
        <v>120311</v>
      </c>
      <c r="Q78" s="163">
        <v>126148</v>
      </c>
      <c r="R78" s="163">
        <v>303723</v>
      </c>
      <c r="S78" s="163">
        <v>350210</v>
      </c>
      <c r="T78" s="164">
        <v>0</v>
      </c>
      <c r="U78" s="129"/>
      <c r="V78" s="146">
        <f t="shared" si="1"/>
        <v>0</v>
      </c>
      <c r="W78" s="146">
        <f t="shared" si="2"/>
        <v>0</v>
      </c>
      <c r="X78" s="146">
        <f t="shared" si="3"/>
        <v>0</v>
      </c>
      <c r="Y78" s="146">
        <f t="shared" si="4"/>
        <v>0</v>
      </c>
      <c r="Z78" s="146">
        <f t="shared" si="5"/>
        <v>0</v>
      </c>
      <c r="AA78" s="146">
        <f t="shared" si="6"/>
        <v>0</v>
      </c>
      <c r="AB78" s="146">
        <f t="shared" si="7"/>
        <v>0</v>
      </c>
      <c r="AC78" s="146">
        <f t="shared" si="8"/>
        <v>0</v>
      </c>
      <c r="AD78" s="146">
        <f t="shared" si="9"/>
        <v>0</v>
      </c>
      <c r="AE78" s="146">
        <f t="shared" si="10"/>
        <v>0</v>
      </c>
      <c r="AF78" s="146">
        <f t="shared" si="11"/>
        <v>0</v>
      </c>
      <c r="AG78" s="146">
        <f t="shared" si="12"/>
        <v>0</v>
      </c>
      <c r="AH78" s="151">
        <f t="shared" si="13"/>
        <v>0</v>
      </c>
      <c r="AI78" s="215">
        <f t="shared" si="14"/>
        <v>0</v>
      </c>
      <c r="AK78" s="146">
        <f t="shared" si="15"/>
        <v>0</v>
      </c>
    </row>
    <row r="79" spans="1:37" x14ac:dyDescent="0.25">
      <c r="A79" s="121">
        <f t="shared" si="16"/>
        <v>73</v>
      </c>
      <c r="B79" s="160"/>
      <c r="C79" s="160" t="s">
        <v>84</v>
      </c>
      <c r="D79" s="160" t="s">
        <v>128</v>
      </c>
      <c r="E79" s="160" t="s">
        <v>114</v>
      </c>
      <c r="F79" s="149">
        <v>0</v>
      </c>
      <c r="G79" s="127"/>
      <c r="H79" s="166">
        <v>0</v>
      </c>
      <c r="I79" s="166">
        <v>0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0</v>
      </c>
      <c r="Q79" s="161">
        <v>0</v>
      </c>
      <c r="R79" s="161">
        <v>0</v>
      </c>
      <c r="S79" s="161">
        <v>0</v>
      </c>
      <c r="T79" s="162">
        <v>0</v>
      </c>
      <c r="U79" s="127"/>
      <c r="V79" s="145">
        <f t="shared" ref="V79" si="17">ROUND($F79*$H79,2)</f>
        <v>0</v>
      </c>
      <c r="W79" s="145">
        <f t="shared" ref="W79" si="18">ROUND($F79*$I79,2)</f>
        <v>0</v>
      </c>
      <c r="X79" s="145">
        <f t="shared" ref="X79" si="19">ROUND($F79*$J79,2)</f>
        <v>0</v>
      </c>
      <c r="Y79" s="145">
        <f t="shared" ref="Y79" si="20">ROUND($F79*$K79,2)</f>
        <v>0</v>
      </c>
      <c r="Z79" s="145">
        <f t="shared" ref="Z79" si="21">ROUND($F79*$L79,2)</f>
        <v>0</v>
      </c>
      <c r="AA79" s="145">
        <f t="shared" ref="AA79" si="22">ROUND($F79*$M79,2)</f>
        <v>0</v>
      </c>
      <c r="AB79" s="145">
        <f t="shared" ref="AB79" si="23">ROUND($F79*$N79,2)</f>
        <v>0</v>
      </c>
      <c r="AC79" s="145">
        <f t="shared" ref="AC79" si="24">ROUND($F79*$O79,2)</f>
        <v>0</v>
      </c>
      <c r="AD79" s="145">
        <f t="shared" ref="AD79" si="25">ROUND($F79*$P79,2)</f>
        <v>0</v>
      </c>
      <c r="AE79" s="145">
        <f t="shared" ref="AE79" si="26">ROUND($F79*$Q79,2)</f>
        <v>0</v>
      </c>
      <c r="AF79" s="145">
        <f t="shared" ref="AF79" si="27">ROUND($F79*$R79,2)</f>
        <v>0</v>
      </c>
      <c r="AG79" s="145">
        <f t="shared" ref="AG79" si="28">ROUND($F79*$S79,2)</f>
        <v>0</v>
      </c>
      <c r="AH79" s="147">
        <f t="shared" ref="AH79" si="29">ROUND($F79*$T79,2)</f>
        <v>0</v>
      </c>
      <c r="AI79" s="214">
        <f t="shared" ref="AI79" si="30">+SUM(V79:AH79)</f>
        <v>0</v>
      </c>
      <c r="AK79" s="145">
        <f t="shared" ref="AK79" si="31">AI79/(1-0.04372)</f>
        <v>0</v>
      </c>
    </row>
    <row r="80" spans="1:37" s="133" customFormat="1" x14ac:dyDescent="0.25">
      <c r="A80" s="121">
        <f t="shared" si="16"/>
        <v>74</v>
      </c>
      <c r="B80" s="120" t="s">
        <v>148</v>
      </c>
      <c r="C80" s="120"/>
      <c r="D80" s="120"/>
      <c r="E80" s="120"/>
      <c r="F80" s="152"/>
      <c r="G80" s="153"/>
      <c r="H80" s="168">
        <f>SUM(H14:H79)</f>
        <v>3745872.5</v>
      </c>
      <c r="I80" s="168">
        <f t="shared" ref="I80:T80" si="32">SUM(I14:I79)</f>
        <v>13034330.000000002</v>
      </c>
      <c r="J80" s="168">
        <f t="shared" si="32"/>
        <v>14205984.500000002</v>
      </c>
      <c r="K80" s="168">
        <f t="shared" si="32"/>
        <v>12934209.700000001</v>
      </c>
      <c r="L80" s="168">
        <f t="shared" si="32"/>
        <v>9661215.2999999989</v>
      </c>
      <c r="M80" s="168">
        <f t="shared" si="32"/>
        <v>7138271.7000000002</v>
      </c>
      <c r="N80" s="168">
        <f t="shared" si="32"/>
        <v>5040066.2999999989</v>
      </c>
      <c r="O80" s="168">
        <f t="shared" si="32"/>
        <v>3823118.9</v>
      </c>
      <c r="P80" s="168">
        <f t="shared" si="32"/>
        <v>3463616.5</v>
      </c>
      <c r="Q80" s="168">
        <f t="shared" si="32"/>
        <v>3132357</v>
      </c>
      <c r="R80" s="168">
        <f t="shared" si="32"/>
        <v>3496612.5</v>
      </c>
      <c r="S80" s="168">
        <f t="shared" si="32"/>
        <v>3911107.7</v>
      </c>
      <c r="T80" s="168">
        <f t="shared" si="32"/>
        <v>2416753.8999999994</v>
      </c>
      <c r="U80" s="153"/>
      <c r="V80" s="154">
        <f>SUM(V14:V79)</f>
        <v>-43485.099999999991</v>
      </c>
      <c r="W80" s="154">
        <f>SUM(W14:W79)</f>
        <v>-230115.94999999998</v>
      </c>
      <c r="X80" s="154">
        <f>SUM(X14:X79)</f>
        <v>-252463.95</v>
      </c>
      <c r="Y80" s="154">
        <f>SUM(Y14:Y79)</f>
        <v>-232258.92000000004</v>
      </c>
      <c r="Z80" s="154">
        <f>SUM(Z14:Z79)</f>
        <v>-165895.07999999996</v>
      </c>
      <c r="AA80" s="154">
        <f t="shared" ref="AA80:AI80" si="33">SUM(AA14:AA79)</f>
        <v>-115127.30000000002</v>
      </c>
      <c r="AB80" s="154">
        <f t="shared" si="33"/>
        <v>-75738.700000000012</v>
      </c>
      <c r="AC80" s="154">
        <f t="shared" si="33"/>
        <v>-50575.929999999993</v>
      </c>
      <c r="AD80" s="154">
        <f t="shared" si="33"/>
        <v>-44171.709999999992</v>
      </c>
      <c r="AE80" s="154">
        <f t="shared" si="33"/>
        <v>-35563.719999999994</v>
      </c>
      <c r="AF80" s="154">
        <f t="shared" si="33"/>
        <v>-37102.329999999994</v>
      </c>
      <c r="AG80" s="154">
        <f t="shared" si="33"/>
        <v>-43432.08</v>
      </c>
      <c r="AH80" s="155">
        <f t="shared" si="33"/>
        <v>-49338.2</v>
      </c>
      <c r="AI80" s="154">
        <f t="shared" si="33"/>
        <v>-1375268.97</v>
      </c>
      <c r="AK80" s="154">
        <f t="shared" ref="AK80" si="34">SUM(AK14:AK79)</f>
        <v>-1438144.6542853557</v>
      </c>
    </row>
    <row r="81" spans="1:37" x14ac:dyDescent="0.25">
      <c r="A81" s="121">
        <f t="shared" si="16"/>
        <v>75</v>
      </c>
      <c r="F81" s="141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</row>
    <row r="82" spans="1:37" x14ac:dyDescent="0.25">
      <c r="A82" s="121">
        <f t="shared" si="16"/>
        <v>76</v>
      </c>
      <c r="F82" s="141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AK82" s="206"/>
    </row>
    <row r="83" spans="1:37" x14ac:dyDescent="0.25">
      <c r="A83" s="121">
        <f t="shared" si="16"/>
        <v>77</v>
      </c>
      <c r="B83" s="120" t="s">
        <v>231</v>
      </c>
      <c r="F83" s="141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37" x14ac:dyDescent="0.25">
      <c r="A84" s="121">
        <f t="shared" si="16"/>
        <v>78</v>
      </c>
      <c r="B84" s="157" t="s">
        <v>232</v>
      </c>
      <c r="C84" s="207"/>
      <c r="D84" s="207"/>
      <c r="E84" s="207"/>
      <c r="F84" s="208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10">
        <f t="shared" ref="V84:AG84" si="35">+V14</f>
        <v>-193.92</v>
      </c>
      <c r="W84" s="210">
        <f t="shared" si="35"/>
        <v>-1059.03</v>
      </c>
      <c r="X84" s="210">
        <f t="shared" si="35"/>
        <v>-1169.8</v>
      </c>
      <c r="Y84" s="210">
        <f t="shared" si="35"/>
        <v>-1076.1199999999999</v>
      </c>
      <c r="Z84" s="210">
        <f t="shared" si="35"/>
        <v>-792.07</v>
      </c>
      <c r="AA84" s="210">
        <f t="shared" si="35"/>
        <v>-551.49</v>
      </c>
      <c r="AB84" s="210">
        <f t="shared" si="35"/>
        <v>-384.73</v>
      </c>
      <c r="AC84" s="210">
        <f t="shared" si="35"/>
        <v>-265.27</v>
      </c>
      <c r="AD84" s="210">
        <f t="shared" si="35"/>
        <v>-259.2</v>
      </c>
      <c r="AE84" s="210">
        <f t="shared" si="35"/>
        <v>-202.36</v>
      </c>
      <c r="AF84" s="210">
        <f t="shared" si="35"/>
        <v>-199.4</v>
      </c>
      <c r="AG84" s="210">
        <f t="shared" si="35"/>
        <v>-216.99</v>
      </c>
      <c r="AH84" s="210">
        <f>+SUM(AH14)</f>
        <v>-237.56</v>
      </c>
      <c r="AI84" s="216">
        <f t="shared" ref="AI84:AI89" si="36">+AI14</f>
        <v>-6607.94</v>
      </c>
      <c r="AK84" s="210">
        <f t="shared" ref="AK84:AK89" si="37">+AK14</f>
        <v>-6910.0472664909857</v>
      </c>
    </row>
    <row r="85" spans="1:37" x14ac:dyDescent="0.25">
      <c r="A85" s="121">
        <f t="shared" si="16"/>
        <v>79</v>
      </c>
      <c r="B85" s="157" t="s">
        <v>233</v>
      </c>
      <c r="C85" s="207"/>
      <c r="D85" s="207"/>
      <c r="E85" s="207"/>
      <c r="F85" s="208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10">
        <f t="shared" ref="V85:AG85" si="38">+V15</f>
        <v>-65.17</v>
      </c>
      <c r="W85" s="210">
        <f t="shared" si="38"/>
        <v>-224.08</v>
      </c>
      <c r="X85" s="210">
        <f t="shared" si="38"/>
        <v>-258.18</v>
      </c>
      <c r="Y85" s="210">
        <f t="shared" si="38"/>
        <v>-248.2</v>
      </c>
      <c r="Z85" s="210">
        <f t="shared" si="38"/>
        <v>-183.5</v>
      </c>
      <c r="AA85" s="210">
        <f t="shared" si="38"/>
        <v>-147.09</v>
      </c>
      <c r="AB85" s="210">
        <f t="shared" si="38"/>
        <v>-89.81</v>
      </c>
      <c r="AC85" s="210">
        <f t="shared" si="38"/>
        <v>-64.790000000000006</v>
      </c>
      <c r="AD85" s="210">
        <f t="shared" si="38"/>
        <v>-62.23</v>
      </c>
      <c r="AE85" s="210">
        <f t="shared" si="38"/>
        <v>-51.31</v>
      </c>
      <c r="AF85" s="210">
        <f t="shared" si="38"/>
        <v>-65.459999999999994</v>
      </c>
      <c r="AG85" s="210">
        <f t="shared" si="38"/>
        <v>-58.55</v>
      </c>
      <c r="AH85" s="210">
        <f t="shared" ref="AH85:AH89" si="39">+SUM(AH15)</f>
        <v>-42.46</v>
      </c>
      <c r="AI85" s="216">
        <f t="shared" si="36"/>
        <v>-1560.83</v>
      </c>
      <c r="AK85" s="210">
        <f t="shared" si="37"/>
        <v>-1632.1893169364621</v>
      </c>
    </row>
    <row r="86" spans="1:37" x14ac:dyDescent="0.25">
      <c r="A86" s="121">
        <f t="shared" si="16"/>
        <v>80</v>
      </c>
      <c r="B86" s="157">
        <v>2</v>
      </c>
      <c r="C86" s="207"/>
      <c r="D86" s="207"/>
      <c r="E86" s="207"/>
      <c r="F86" s="208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10">
        <f t="shared" ref="V86:AG86" si="40">+V16</f>
        <v>-32145.74</v>
      </c>
      <c r="W86" s="210">
        <f t="shared" si="40"/>
        <v>-172665.63</v>
      </c>
      <c r="X86" s="210">
        <f t="shared" si="40"/>
        <v>-183733.31</v>
      </c>
      <c r="Y86" s="210">
        <f t="shared" si="40"/>
        <v>-170419.82</v>
      </c>
      <c r="Z86" s="210">
        <f t="shared" si="40"/>
        <v>-120491.89</v>
      </c>
      <c r="AA86" s="210">
        <f t="shared" si="40"/>
        <v>-82439.7</v>
      </c>
      <c r="AB86" s="210">
        <f t="shared" si="40"/>
        <v>-53726.9</v>
      </c>
      <c r="AC86" s="210">
        <f t="shared" si="40"/>
        <v>-33825.15</v>
      </c>
      <c r="AD86" s="210">
        <f t="shared" si="40"/>
        <v>-29542.82</v>
      </c>
      <c r="AE86" s="210">
        <f t="shared" si="40"/>
        <v>-23267.45</v>
      </c>
      <c r="AF86" s="210">
        <f t="shared" si="40"/>
        <v>-24016.27</v>
      </c>
      <c r="AG86" s="210">
        <f t="shared" si="40"/>
        <v>-28419.22</v>
      </c>
      <c r="AH86" s="210">
        <f t="shared" si="39"/>
        <v>-36074.53</v>
      </c>
      <c r="AI86" s="216">
        <f t="shared" si="36"/>
        <v>-990768.42999999993</v>
      </c>
      <c r="AK86" s="210">
        <f t="shared" si="37"/>
        <v>-1036065.200568871</v>
      </c>
    </row>
    <row r="87" spans="1:37" x14ac:dyDescent="0.25">
      <c r="A87" s="121">
        <f t="shared" si="16"/>
        <v>81</v>
      </c>
      <c r="B87" s="158" t="s">
        <v>234</v>
      </c>
      <c r="C87" s="207"/>
      <c r="D87" s="207"/>
      <c r="E87" s="207"/>
      <c r="F87" s="208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10">
        <f t="shared" ref="V87:AG87" si="41">+V17</f>
        <v>-7838.24</v>
      </c>
      <c r="W87" s="210">
        <f t="shared" si="41"/>
        <v>-46798.879999999997</v>
      </c>
      <c r="X87" s="210">
        <f t="shared" si="41"/>
        <v>-56095.23</v>
      </c>
      <c r="Y87" s="210">
        <f t="shared" si="41"/>
        <v>-50336.5</v>
      </c>
      <c r="Z87" s="210">
        <f t="shared" si="41"/>
        <v>-36722.339999999997</v>
      </c>
      <c r="AA87" s="210">
        <f t="shared" si="41"/>
        <v>-25893.61</v>
      </c>
      <c r="AB87" s="210">
        <f t="shared" si="41"/>
        <v>-17009.03</v>
      </c>
      <c r="AC87" s="210">
        <f t="shared" si="41"/>
        <v>-12756.77</v>
      </c>
      <c r="AD87" s="210">
        <f t="shared" si="41"/>
        <v>-11149.74</v>
      </c>
      <c r="AE87" s="210">
        <f t="shared" si="41"/>
        <v>-9309.15</v>
      </c>
      <c r="AF87" s="210">
        <f t="shared" si="41"/>
        <v>-9806.16</v>
      </c>
      <c r="AG87" s="210">
        <f t="shared" si="41"/>
        <v>-10837.82</v>
      </c>
      <c r="AH87" s="210">
        <f t="shared" si="39"/>
        <v>-10918.21</v>
      </c>
      <c r="AI87" s="216">
        <f t="shared" si="36"/>
        <v>-305471.68</v>
      </c>
      <c r="AK87" s="210">
        <f t="shared" si="37"/>
        <v>-319437.48692851467</v>
      </c>
    </row>
    <row r="88" spans="1:37" x14ac:dyDescent="0.25">
      <c r="A88" s="121">
        <f t="shared" si="16"/>
        <v>82</v>
      </c>
      <c r="B88" s="158" t="s">
        <v>235</v>
      </c>
      <c r="C88" s="207"/>
      <c r="D88" s="207"/>
      <c r="E88" s="207"/>
      <c r="F88" s="208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10">
        <f t="shared" ref="V88:AG88" si="42">+V18</f>
        <v>0</v>
      </c>
      <c r="W88" s="210">
        <f t="shared" si="42"/>
        <v>0</v>
      </c>
      <c r="X88" s="210">
        <f t="shared" si="42"/>
        <v>0</v>
      </c>
      <c r="Y88" s="210">
        <f t="shared" si="42"/>
        <v>0</v>
      </c>
      <c r="Z88" s="210">
        <f t="shared" si="42"/>
        <v>0</v>
      </c>
      <c r="AA88" s="210">
        <f t="shared" si="42"/>
        <v>0</v>
      </c>
      <c r="AB88" s="210">
        <f t="shared" si="42"/>
        <v>0</v>
      </c>
      <c r="AC88" s="210">
        <f t="shared" si="42"/>
        <v>0</v>
      </c>
      <c r="AD88" s="210">
        <f t="shared" si="42"/>
        <v>0</v>
      </c>
      <c r="AE88" s="210">
        <f t="shared" si="42"/>
        <v>0</v>
      </c>
      <c r="AF88" s="210">
        <f t="shared" si="42"/>
        <v>0</v>
      </c>
      <c r="AG88" s="210">
        <f t="shared" si="42"/>
        <v>0</v>
      </c>
      <c r="AH88" s="210">
        <f t="shared" si="39"/>
        <v>0</v>
      </c>
      <c r="AI88" s="216">
        <f t="shared" si="36"/>
        <v>0</v>
      </c>
      <c r="AK88" s="210">
        <f t="shared" si="37"/>
        <v>0</v>
      </c>
    </row>
    <row r="89" spans="1:37" x14ac:dyDescent="0.25">
      <c r="A89" s="121">
        <f t="shared" si="16"/>
        <v>83</v>
      </c>
      <c r="B89" s="157">
        <v>27</v>
      </c>
      <c r="C89" s="207"/>
      <c r="D89" s="207"/>
      <c r="E89" s="207"/>
      <c r="F89" s="208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10">
        <f t="shared" ref="V89:AG89" si="43">+V19</f>
        <v>-160.76</v>
      </c>
      <c r="W89" s="210">
        <f t="shared" si="43"/>
        <v>-894.73</v>
      </c>
      <c r="X89" s="210">
        <f t="shared" si="43"/>
        <v>-974.58</v>
      </c>
      <c r="Y89" s="210">
        <f t="shared" si="43"/>
        <v>-823.06</v>
      </c>
      <c r="Z89" s="210">
        <f t="shared" si="43"/>
        <v>-634.6</v>
      </c>
      <c r="AA89" s="210">
        <f t="shared" si="43"/>
        <v>-407.24</v>
      </c>
      <c r="AB89" s="210">
        <f t="shared" si="43"/>
        <v>-239.02</v>
      </c>
      <c r="AC89" s="210">
        <f t="shared" si="43"/>
        <v>-112.05</v>
      </c>
      <c r="AD89" s="210">
        <f t="shared" si="43"/>
        <v>-69.83</v>
      </c>
      <c r="AE89" s="210">
        <f t="shared" si="43"/>
        <v>-33.14</v>
      </c>
      <c r="AF89" s="210">
        <f t="shared" si="43"/>
        <v>-27.03</v>
      </c>
      <c r="AG89" s="210">
        <f t="shared" si="43"/>
        <v>-73.150000000000006</v>
      </c>
      <c r="AH89" s="210">
        <f t="shared" si="39"/>
        <v>-162.33000000000001</v>
      </c>
      <c r="AI89" s="216">
        <f t="shared" si="36"/>
        <v>-4611.5200000000004</v>
      </c>
      <c r="AK89" s="210">
        <f t="shared" si="37"/>
        <v>-4822.3532856485554</v>
      </c>
    </row>
    <row r="90" spans="1:37" x14ac:dyDescent="0.25">
      <c r="A90" s="121">
        <f t="shared" si="16"/>
        <v>84</v>
      </c>
      <c r="B90" s="157" t="s">
        <v>95</v>
      </c>
      <c r="C90" s="207"/>
      <c r="D90" s="207"/>
      <c r="E90" s="207"/>
      <c r="F90" s="208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10">
        <f t="shared" ref="V90:AI90" si="44">+SUM(V20:V21)</f>
        <v>-2289.8199999999997</v>
      </c>
      <c r="W90" s="210">
        <f t="shared" si="44"/>
        <v>-6856.0400000000009</v>
      </c>
      <c r="X90" s="210">
        <f t="shared" si="44"/>
        <v>-8982.67</v>
      </c>
      <c r="Y90" s="210">
        <f t="shared" si="44"/>
        <v>-8082.71</v>
      </c>
      <c r="Z90" s="210">
        <f t="shared" si="44"/>
        <v>-6072.41</v>
      </c>
      <c r="AA90" s="210">
        <f t="shared" si="44"/>
        <v>-4856.43</v>
      </c>
      <c r="AB90" s="210">
        <f t="shared" si="44"/>
        <v>-3639.23</v>
      </c>
      <c r="AC90" s="210">
        <f t="shared" si="44"/>
        <v>-2970.6400000000003</v>
      </c>
      <c r="AD90" s="210">
        <f t="shared" si="44"/>
        <v>-2630.83</v>
      </c>
      <c r="AE90" s="210">
        <f t="shared" si="44"/>
        <v>-2255.67</v>
      </c>
      <c r="AF90" s="210">
        <f t="shared" si="44"/>
        <v>-2450.4499999999998</v>
      </c>
      <c r="AG90" s="210">
        <f t="shared" si="44"/>
        <v>-3138.68</v>
      </c>
      <c r="AH90" s="210">
        <f t="shared" si="44"/>
        <v>-1903.11</v>
      </c>
      <c r="AI90" s="216">
        <f t="shared" si="44"/>
        <v>-56128.69</v>
      </c>
      <c r="AK90" s="210">
        <f>+SUM(AK20:AK21)</f>
        <v>-58694.827874681061</v>
      </c>
    </row>
    <row r="91" spans="1:37" x14ac:dyDescent="0.25">
      <c r="A91" s="121">
        <f t="shared" si="16"/>
        <v>85</v>
      </c>
      <c r="B91" s="157" t="s">
        <v>99</v>
      </c>
      <c r="C91" s="207"/>
      <c r="D91" s="207"/>
      <c r="E91" s="207"/>
      <c r="F91" s="208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10">
        <f t="shared" ref="V91:AI91" si="45">+SUM(V22:V23)</f>
        <v>0</v>
      </c>
      <c r="W91" s="210">
        <f t="shared" si="45"/>
        <v>0</v>
      </c>
      <c r="X91" s="210">
        <f t="shared" si="45"/>
        <v>0</v>
      </c>
      <c r="Y91" s="210">
        <f t="shared" si="45"/>
        <v>0</v>
      </c>
      <c r="Z91" s="210">
        <f t="shared" si="45"/>
        <v>0</v>
      </c>
      <c r="AA91" s="210">
        <f t="shared" si="45"/>
        <v>0</v>
      </c>
      <c r="AB91" s="210">
        <f t="shared" si="45"/>
        <v>0</v>
      </c>
      <c r="AC91" s="210">
        <f t="shared" si="45"/>
        <v>0</v>
      </c>
      <c r="AD91" s="210">
        <f t="shared" si="45"/>
        <v>0</v>
      </c>
      <c r="AE91" s="210">
        <f t="shared" si="45"/>
        <v>0</v>
      </c>
      <c r="AF91" s="210">
        <f t="shared" si="45"/>
        <v>0</v>
      </c>
      <c r="AG91" s="210">
        <f t="shared" si="45"/>
        <v>0</v>
      </c>
      <c r="AH91" s="210">
        <f t="shared" si="45"/>
        <v>0</v>
      </c>
      <c r="AI91" s="216">
        <f t="shared" si="45"/>
        <v>0</v>
      </c>
      <c r="AK91" s="210">
        <f>+SUM(AK22:AK23)</f>
        <v>0</v>
      </c>
    </row>
    <row r="92" spans="1:37" x14ac:dyDescent="0.25">
      <c r="A92" s="121">
        <f t="shared" si="16"/>
        <v>86</v>
      </c>
      <c r="B92" s="157" t="s">
        <v>103</v>
      </c>
      <c r="C92" s="207"/>
      <c r="D92" s="207"/>
      <c r="E92" s="207"/>
      <c r="F92" s="208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10">
        <f t="shared" ref="V92:AI92" si="46">+SUM(V26:V27)</f>
        <v>0</v>
      </c>
      <c r="W92" s="210">
        <f t="shared" si="46"/>
        <v>0</v>
      </c>
      <c r="X92" s="210">
        <f t="shared" si="46"/>
        <v>0</v>
      </c>
      <c r="Y92" s="210">
        <f t="shared" si="46"/>
        <v>0</v>
      </c>
      <c r="Z92" s="210">
        <f t="shared" si="46"/>
        <v>0</v>
      </c>
      <c r="AA92" s="210">
        <f t="shared" si="46"/>
        <v>0</v>
      </c>
      <c r="AB92" s="210">
        <f t="shared" si="46"/>
        <v>0</v>
      </c>
      <c r="AC92" s="210">
        <f t="shared" si="46"/>
        <v>0</v>
      </c>
      <c r="AD92" s="210">
        <f t="shared" si="46"/>
        <v>0</v>
      </c>
      <c r="AE92" s="210">
        <f t="shared" si="46"/>
        <v>0</v>
      </c>
      <c r="AF92" s="210">
        <f t="shared" si="46"/>
        <v>0</v>
      </c>
      <c r="AG92" s="210">
        <f t="shared" si="46"/>
        <v>0</v>
      </c>
      <c r="AH92" s="210">
        <f t="shared" si="46"/>
        <v>0</v>
      </c>
      <c r="AI92" s="216">
        <f t="shared" si="46"/>
        <v>0</v>
      </c>
      <c r="AK92" s="210">
        <f>+SUM(AK26:AK27)</f>
        <v>0</v>
      </c>
    </row>
    <row r="93" spans="1:37" x14ac:dyDescent="0.25">
      <c r="A93" s="121">
        <f t="shared" si="16"/>
        <v>87</v>
      </c>
      <c r="B93" s="157" t="s">
        <v>109</v>
      </c>
      <c r="C93" s="207"/>
      <c r="D93" s="207"/>
      <c r="E93" s="207"/>
      <c r="F93" s="208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10">
        <f t="shared" ref="V93:AI93" si="47">+SUM(V32:V37)</f>
        <v>-630.44999999999993</v>
      </c>
      <c r="W93" s="210">
        <f t="shared" si="47"/>
        <v>-1025.8</v>
      </c>
      <c r="X93" s="210">
        <f t="shared" si="47"/>
        <v>-883.18999999999994</v>
      </c>
      <c r="Y93" s="210">
        <f t="shared" si="47"/>
        <v>-846.9799999999999</v>
      </c>
      <c r="Z93" s="210">
        <f t="shared" si="47"/>
        <v>-599.66</v>
      </c>
      <c r="AA93" s="210">
        <f t="shared" si="47"/>
        <v>-468.48</v>
      </c>
      <c r="AB93" s="210">
        <f t="shared" si="47"/>
        <v>-312.28999999999996</v>
      </c>
      <c r="AC93" s="210">
        <f t="shared" si="47"/>
        <v>-262.40999999999997</v>
      </c>
      <c r="AD93" s="210">
        <f t="shared" si="47"/>
        <v>-153.29</v>
      </c>
      <c r="AE93" s="210">
        <f t="shared" si="47"/>
        <v>-135.46</v>
      </c>
      <c r="AF93" s="210">
        <f t="shared" si="47"/>
        <v>-220.17</v>
      </c>
      <c r="AG93" s="210">
        <f t="shared" si="47"/>
        <v>-349.04</v>
      </c>
      <c r="AH93" s="210">
        <f t="shared" si="47"/>
        <v>0</v>
      </c>
      <c r="AI93" s="216">
        <f t="shared" si="47"/>
        <v>-5887.22</v>
      </c>
      <c r="AK93" s="210">
        <f>+SUM(AK32:AK37)</f>
        <v>-6156.3767934077878</v>
      </c>
    </row>
    <row r="94" spans="1:37" x14ac:dyDescent="0.25">
      <c r="A94" s="121">
        <f t="shared" si="16"/>
        <v>88</v>
      </c>
      <c r="B94" s="157" t="s">
        <v>121</v>
      </c>
      <c r="C94" s="207"/>
      <c r="D94" s="207"/>
      <c r="E94" s="207"/>
      <c r="F94" s="208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10">
        <f t="shared" ref="V94:AI94" si="48">+SUM(V56:V61)</f>
        <v>-161</v>
      </c>
      <c r="W94" s="210">
        <f t="shared" si="48"/>
        <v>-591.76</v>
      </c>
      <c r="X94" s="210">
        <f t="shared" si="48"/>
        <v>-366.99</v>
      </c>
      <c r="Y94" s="210">
        <f t="shared" si="48"/>
        <v>-425.53</v>
      </c>
      <c r="Z94" s="210">
        <f t="shared" si="48"/>
        <v>-398.60999999999996</v>
      </c>
      <c r="AA94" s="210">
        <f t="shared" si="48"/>
        <v>-363.26</v>
      </c>
      <c r="AB94" s="210">
        <f t="shared" si="48"/>
        <v>-337.69</v>
      </c>
      <c r="AC94" s="210">
        <f t="shared" si="48"/>
        <v>-318.85000000000002</v>
      </c>
      <c r="AD94" s="210">
        <f t="shared" si="48"/>
        <v>-303.77</v>
      </c>
      <c r="AE94" s="210">
        <f t="shared" si="48"/>
        <v>-309.18</v>
      </c>
      <c r="AF94" s="210">
        <f t="shared" si="48"/>
        <v>-317.39</v>
      </c>
      <c r="AG94" s="210">
        <f t="shared" si="48"/>
        <v>-338.63</v>
      </c>
      <c r="AH94" s="210">
        <f t="shared" si="48"/>
        <v>0</v>
      </c>
      <c r="AI94" s="216">
        <f t="shared" si="48"/>
        <v>-4232.66</v>
      </c>
      <c r="AK94" s="210">
        <f>+SUM(AK56:AK61)</f>
        <v>-4426.1722508052026</v>
      </c>
    </row>
    <row r="95" spans="1:37" x14ac:dyDescent="0.25">
      <c r="A95" s="121">
        <f t="shared" si="16"/>
        <v>89</v>
      </c>
      <c r="B95" s="120" t="s">
        <v>148</v>
      </c>
      <c r="F95" s="141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54">
        <f>SUM(V84:V94)</f>
        <v>-43485.1</v>
      </c>
      <c r="W95" s="154">
        <f t="shared" ref="W95:AI95" si="49">SUM(W84:W94)</f>
        <v>-230115.95</v>
      </c>
      <c r="X95" s="154">
        <f t="shared" si="49"/>
        <v>-252463.95</v>
      </c>
      <c r="Y95" s="154">
        <f t="shared" si="49"/>
        <v>-232258.92</v>
      </c>
      <c r="Z95" s="154">
        <f t="shared" si="49"/>
        <v>-165895.07999999999</v>
      </c>
      <c r="AA95" s="154">
        <f t="shared" si="49"/>
        <v>-115127.29999999999</v>
      </c>
      <c r="AB95" s="154">
        <f t="shared" si="49"/>
        <v>-75738.7</v>
      </c>
      <c r="AC95" s="154">
        <f t="shared" si="49"/>
        <v>-50575.93</v>
      </c>
      <c r="AD95" s="154">
        <f t="shared" si="49"/>
        <v>-44171.71</v>
      </c>
      <c r="AE95" s="154">
        <f t="shared" si="49"/>
        <v>-35563.719999999994</v>
      </c>
      <c r="AF95" s="154">
        <f t="shared" si="49"/>
        <v>-37102.329999999994</v>
      </c>
      <c r="AG95" s="154">
        <f t="shared" si="49"/>
        <v>-43432.08</v>
      </c>
      <c r="AH95" s="154">
        <f t="shared" si="49"/>
        <v>-49338.2</v>
      </c>
      <c r="AI95" s="154">
        <f t="shared" si="49"/>
        <v>-1375268.9699999997</v>
      </c>
      <c r="AK95" s="206">
        <f t="shared" ref="AK95" si="50">SUM(AK84:AK94)</f>
        <v>-1438144.6542853557</v>
      </c>
    </row>
    <row r="96" spans="1:37" x14ac:dyDescent="0.25">
      <c r="F96" s="141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</row>
    <row r="97" spans="6:21" x14ac:dyDescent="0.25">
      <c r="F97" s="141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</row>
    <row r="98" spans="6:21" x14ac:dyDescent="0.25">
      <c r="F98" s="141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</row>
    <row r="99" spans="6:21" x14ac:dyDescent="0.25">
      <c r="F99" s="141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</row>
    <row r="100" spans="6:21" x14ac:dyDescent="0.25">
      <c r="F100" s="141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</row>
    <row r="101" spans="6:21" x14ac:dyDescent="0.25">
      <c r="F101" s="141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</row>
    <row r="102" spans="6:21" x14ac:dyDescent="0.25">
      <c r="F102" s="141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</row>
    <row r="103" spans="6:21" x14ac:dyDescent="0.25">
      <c r="F103" s="141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</row>
    <row r="104" spans="6:21" x14ac:dyDescent="0.25">
      <c r="F104" s="141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</row>
    <row r="105" spans="6:21" x14ac:dyDescent="0.25">
      <c r="F105" s="141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</row>
    <row r="106" spans="6:21" x14ac:dyDescent="0.25">
      <c r="F106" s="141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</row>
    <row r="107" spans="6:21" x14ac:dyDescent="0.25">
      <c r="F107" s="141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</row>
    <row r="108" spans="6:21" x14ac:dyDescent="0.25">
      <c r="F108" s="141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</row>
    <row r="109" spans="6:21" x14ac:dyDescent="0.25">
      <c r="F109" s="141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</row>
    <row r="110" spans="6:21" x14ac:dyDescent="0.25">
      <c r="F110" s="141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</row>
    <row r="111" spans="6:21" x14ac:dyDescent="0.25">
      <c r="F111" s="141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</row>
    <row r="112" spans="6:21" x14ac:dyDescent="0.25">
      <c r="F112" s="141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</row>
    <row r="113" spans="6:21" x14ac:dyDescent="0.25">
      <c r="F113" s="141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</row>
    <row r="114" spans="6:21" x14ac:dyDescent="0.25">
      <c r="F114" s="141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</row>
    <row r="115" spans="6:21" x14ac:dyDescent="0.25">
      <c r="F115" s="141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</row>
    <row r="116" spans="6:21" x14ac:dyDescent="0.25">
      <c r="F116" s="141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</row>
    <row r="117" spans="6:21" x14ac:dyDescent="0.25">
      <c r="F117" s="141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</row>
    <row r="118" spans="6:21" x14ac:dyDescent="0.25">
      <c r="F118" s="141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</row>
    <row r="119" spans="6:21" x14ac:dyDescent="0.25">
      <c r="F119" s="141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</row>
    <row r="120" spans="6:21" x14ac:dyDescent="0.25">
      <c r="F120" s="141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</row>
    <row r="121" spans="6:21" x14ac:dyDescent="0.25">
      <c r="F121" s="141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6:21" x14ac:dyDescent="0.25">
      <c r="F122" s="141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6:21" x14ac:dyDescent="0.25">
      <c r="F123" s="141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6:21" x14ac:dyDescent="0.25">
      <c r="F124" s="141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  <row r="125" spans="6:21" x14ac:dyDescent="0.25">
      <c r="F125" s="141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</row>
    <row r="126" spans="6:21" x14ac:dyDescent="0.25">
      <c r="F126" s="141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</row>
    <row r="127" spans="6:21" x14ac:dyDescent="0.25">
      <c r="F127" s="141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</row>
    <row r="128" spans="6:21" x14ac:dyDescent="0.25">
      <c r="F128" s="141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</row>
    <row r="129" spans="6:21" x14ac:dyDescent="0.25">
      <c r="F129" s="141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</row>
    <row r="130" spans="6:21" x14ac:dyDescent="0.25">
      <c r="F130" s="141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</row>
    <row r="131" spans="6:21" x14ac:dyDescent="0.25">
      <c r="F131" s="141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</row>
    <row r="132" spans="6:21" x14ac:dyDescent="0.25">
      <c r="F132" s="141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</row>
    <row r="133" spans="6:21" x14ac:dyDescent="0.25">
      <c r="F133" s="141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</row>
    <row r="134" spans="6:21" x14ac:dyDescent="0.25">
      <c r="F134" s="141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</row>
    <row r="135" spans="6:21" x14ac:dyDescent="0.25">
      <c r="F135" s="141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</row>
    <row r="136" spans="6:21" x14ac:dyDescent="0.25">
      <c r="F136" s="141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6:21" x14ac:dyDescent="0.25">
      <c r="F137" s="141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</row>
    <row r="138" spans="6:21" x14ac:dyDescent="0.25">
      <c r="F138" s="141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</row>
    <row r="139" spans="6:21" x14ac:dyDescent="0.25">
      <c r="F139" s="141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</row>
    <row r="140" spans="6:21" x14ac:dyDescent="0.25">
      <c r="F140" s="141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</row>
    <row r="141" spans="6:21" x14ac:dyDescent="0.25">
      <c r="F141" s="141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</row>
    <row r="142" spans="6:21" x14ac:dyDescent="0.25">
      <c r="F142" s="141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</row>
    <row r="143" spans="6:21" x14ac:dyDescent="0.25">
      <c r="F143" s="141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</row>
    <row r="144" spans="6:21" x14ac:dyDescent="0.25">
      <c r="F144" s="141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</row>
    <row r="145" spans="6:21" x14ac:dyDescent="0.25">
      <c r="F145" s="141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</row>
    <row r="146" spans="6:21" x14ac:dyDescent="0.25">
      <c r="F146" s="141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</row>
    <row r="147" spans="6:21" x14ac:dyDescent="0.25">
      <c r="F147" s="141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</row>
    <row r="148" spans="6:21" x14ac:dyDescent="0.25">
      <c r="F148" s="141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</row>
    <row r="149" spans="6:21" x14ac:dyDescent="0.25">
      <c r="F149" s="141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</row>
    <row r="150" spans="6:21" x14ac:dyDescent="0.25">
      <c r="F150" s="141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</row>
    <row r="151" spans="6:21" x14ac:dyDescent="0.25">
      <c r="F151" s="141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</row>
    <row r="152" spans="6:21" x14ac:dyDescent="0.25">
      <c r="F152" s="141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</row>
    <row r="153" spans="6:21" x14ac:dyDescent="0.25">
      <c r="F153" s="141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</row>
    <row r="154" spans="6:21" x14ac:dyDescent="0.25">
      <c r="F154" s="141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</row>
    <row r="155" spans="6:21" x14ac:dyDescent="0.25">
      <c r="F155" s="141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</row>
    <row r="156" spans="6:21" x14ac:dyDescent="0.25">
      <c r="F156" s="141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</row>
  </sheetData>
  <mergeCells count="4">
    <mergeCell ref="H10:T10"/>
    <mergeCell ref="V10:AH10"/>
    <mergeCell ref="H11:T11"/>
    <mergeCell ref="V11:AH11"/>
  </mergeCells>
  <printOptions horizontalCentered="1" verticalCentered="1"/>
  <pageMargins left="0" right="0" top="0" bottom="0" header="0" footer="0.5"/>
  <pageSetup scale="55" orientation="portrait" r:id="rId1"/>
  <headerFooter alignWithMargins="0"/>
  <colBreaks count="2" manualBreakCount="2">
    <brk id="6" max="150" man="1"/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6C1A201-E285-4678-B27C-2910D1FAB64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ED9FE0-1A38-4C95-A3C6-C9901FD45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0BA19-033E-4321-8DC1-1B35A84498ED}"/>
</file>

<file path=customXml/itemProps4.xml><?xml version="1.0" encoding="utf-8"?>
<ds:datastoreItem xmlns:ds="http://schemas.openxmlformats.org/officeDocument/2006/customXml" ds:itemID="{1AD52156-DFED-4B41-9E36-55881EA69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19</vt:i4>
      </vt:variant>
    </vt:vector>
  </HeadingPairs>
  <TitlesOfParts>
    <vt:vector size="32" baseType="lpstr">
      <vt:lpstr>EE Compliance Filing Amort</vt:lpstr>
      <vt:lpstr>EE Compliance Filing Amort Old</vt:lpstr>
      <vt:lpstr>EE Compliance Filing</vt:lpstr>
      <vt:lpstr>186310 Energy Eff General</vt:lpstr>
      <vt:lpstr>186312 Energy Eff Res &amp; Comm</vt:lpstr>
      <vt:lpstr>186316 DSM Amort</vt:lpstr>
      <vt:lpstr>2018-19 Amort Detail</vt:lpstr>
      <vt:lpstr>Test Year Volumes</vt:lpstr>
      <vt:lpstr>2017-18 Amort Detail</vt:lpstr>
      <vt:lpstr>2016-17 Amort Detail</vt:lpstr>
      <vt:lpstr>2015-16 Amort Detail</vt:lpstr>
      <vt:lpstr>2014-15 Amort Detail</vt:lpstr>
      <vt:lpstr>2013-14 Amort Detail</vt:lpstr>
      <vt:lpstr>'186310 Energy Eff General'!Print_Area</vt:lpstr>
      <vt:lpstr>'186312 Energy Eff Res &amp; Comm'!Print_Area</vt:lpstr>
      <vt:lpstr>'186316 DSM Amort'!Print_Area</vt:lpstr>
      <vt:lpstr>'2013-14 Amort Detail'!Print_Area</vt:lpstr>
      <vt:lpstr>'2014-15 Amort Detail'!Print_Area</vt:lpstr>
      <vt:lpstr>'2015-16 Amort Detail'!Print_Area</vt:lpstr>
      <vt:lpstr>'2016-17 Amort Detail'!Print_Area</vt:lpstr>
      <vt:lpstr>'2017-18 Amort Detail'!Print_Area</vt:lpstr>
      <vt:lpstr>'2018-19 Amort Detail'!Print_Area</vt:lpstr>
      <vt:lpstr>'EE Compliance Filing'!Print_Area</vt:lpstr>
      <vt:lpstr>'EE Compliance Filing Amort'!Print_Area</vt:lpstr>
      <vt:lpstr>'EE Compliance Filing Amort Old'!Print_Area</vt:lpstr>
      <vt:lpstr>'2013-14 Amort Detail'!Print_Titles</vt:lpstr>
      <vt:lpstr>'2014-15 Amort Detail'!Print_Titles</vt:lpstr>
      <vt:lpstr>'2015-16 Amort Detail'!Print_Titles</vt:lpstr>
      <vt:lpstr>'2016-17 Amort Detail'!Print_Titles</vt:lpstr>
      <vt:lpstr>'2017-18 Amort Detail'!Print_Titles</vt:lpstr>
      <vt:lpstr>'2018-19 Amort Detail'!Print_Titles</vt:lpstr>
      <vt:lpstr>'Test Year Volumes'!Print_Titles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Kelley, Cristan M.</dc:creator>
  <cp:lastModifiedBy>Lee, Erica N</cp:lastModifiedBy>
  <cp:lastPrinted>2019-10-08T20:02:19Z</cp:lastPrinted>
  <dcterms:created xsi:type="dcterms:W3CDTF">2019-03-29T14:51:30Z</dcterms:created>
  <dcterms:modified xsi:type="dcterms:W3CDTF">2019-10-28T21:19:45Z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