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projects.nwnatural.com/sites/operations/RateCase/2019WA/Compliance filing/Work Papers_Filed/"/>
    </mc:Choice>
  </mc:AlternateContent>
  <bookViews>
    <workbookView xWindow="0" yWindow="0" windowWidth="20160" windowHeight="8460" tabRatio="807" activeTab="6"/>
  </bookViews>
  <sheets>
    <sheet name="Inputs" sheetId="2" r:id="rId1"/>
    <sheet name="Washington volumes" sheetId="1" r:id="rId2"/>
    <sheet name="Avg Bill by RS" sheetId="12" r:id="rId3"/>
    <sheet name="Rates in summary" sheetId="11" r:id="rId4"/>
    <sheet name="Rates in detail" sheetId="3" r:id="rId5"/>
    <sheet name="Rev Req Proof" sheetId="13" r:id="rId6"/>
    <sheet name="Allocation = % of margin" sheetId="8" r:id="rId7"/>
  </sheets>
  <externalReferences>
    <externalReference r:id="rId8"/>
    <externalReference r:id="rId9"/>
    <externalReference r:id="rId10"/>
  </externalReferences>
  <definedNames>
    <definedName name="calcsheet1">#N/A</definedName>
    <definedName name="calcsheet2">#N/A</definedName>
    <definedName name="calcsheet3">#N/A</definedName>
    <definedName name="CMonth" localSheetId="5">#REF!</definedName>
    <definedName name="CMonth">#REF!</definedName>
    <definedName name="CYTD" localSheetId="5">#REF!</definedName>
    <definedName name="CYTD">#REF!</definedName>
    <definedName name="Differences" localSheetId="5">#REF!</definedName>
    <definedName name="Differences">#REF!</definedName>
    <definedName name="DivM" localSheetId="5">#REF!</definedName>
    <definedName name="DivM">#REF!</definedName>
    <definedName name="DivY" localSheetId="5">#REF!</definedName>
    <definedName name="DivY">#REF!</definedName>
    <definedName name="EFFDATE" localSheetId="5">Inputs!#REF!</definedName>
    <definedName name="EFFDATE">Inputs!#REF!</definedName>
    <definedName name="EMonth" localSheetId="5">[1]Data!$G$4:$G$4,[1]Data!#REF!</definedName>
    <definedName name="EMonth">[1]Data!$G$4:$G$4,[1]Data!#REF!</definedName>
    <definedName name="ExpM" localSheetId="5">#REF!</definedName>
    <definedName name="ExpM">#REF!</definedName>
    <definedName name="ExpY" localSheetId="5">#REF!</definedName>
    <definedName name="ExpY">#REF!</definedName>
    <definedName name="EYTD" localSheetId="5">[1]Data!#REF!,[1]Data!#REF!</definedName>
    <definedName name="EYTD">[1]Data!#REF!,[1]Data!#REF!</definedName>
    <definedName name="Month" localSheetId="5">#REF!</definedName>
    <definedName name="Month">#REF!</definedName>
    <definedName name="_xlnm.Print_Area" localSheetId="6">'Allocation = % of margin'!$A$1:$V$75</definedName>
    <definedName name="_xlnm.Print_Area" localSheetId="2">'Avg Bill by RS'!$A$1:$S$94</definedName>
    <definedName name="_xlnm.Print_Area" localSheetId="0">Inputs!$A$1:$G$35</definedName>
    <definedName name="_xlnm.Print_Area" localSheetId="4">'Rates in detail'!$A$1:$M$80</definedName>
    <definedName name="_xlnm.Print_Area" localSheetId="3">'Rates in summary'!$A$1:$I$80</definedName>
    <definedName name="_xlnm.Print_Area" localSheetId="5">'Rev Req Proof'!$A$1:$G$92</definedName>
    <definedName name="_xlnm.Print_Area" localSheetId="1">'Washington volumes'!$A$1:$I$78</definedName>
    <definedName name="_xlnm.Print_Titles" localSheetId="6">'Allocation = % of margin'!$A:$M</definedName>
    <definedName name="_xlnm.Print_Titles" localSheetId="2">'Avg Bill by RS'!$A:$J</definedName>
    <definedName name="print55" localSheetId="5">#REF!</definedName>
    <definedName name="print55">#REF!</definedName>
    <definedName name="RevM" localSheetId="5">#REF!</definedName>
    <definedName name="RevM">#REF!</definedName>
    <definedName name="revsens">Inputs!$B$14</definedName>
    <definedName name="RevY" localSheetId="5">#REF!</definedName>
    <definedName name="RevY">#REF!</definedName>
    <definedName name="RptDate" localSheetId="5">#REF!</definedName>
    <definedName name="RptDate">#REF!</definedName>
    <definedName name="shitodear">#N/A</definedName>
    <definedName name="shitodear2">#N/A</definedName>
    <definedName name="shitodear3">#N/A</definedName>
    <definedName name="Version" localSheetId="5">#REF!</definedName>
    <definedName name="Version">#REF!</definedName>
    <definedName name="wa_revsens">'[2]General Inputs'!$E$10</definedName>
  </definedNames>
  <calcPr calcId="152511"/>
</workbook>
</file>

<file path=xl/calcChain.xml><?xml version="1.0" encoding="utf-8"?>
<calcChain xmlns="http://schemas.openxmlformats.org/spreadsheetml/2006/main">
  <c r="N17" i="1" l="1"/>
  <c r="N16" i="1"/>
  <c r="N15" i="1"/>
  <c r="N14" i="1"/>
  <c r="N13" i="1"/>
  <c r="K72" i="1"/>
  <c r="K71" i="1"/>
  <c r="K65" i="1"/>
  <c r="K59" i="1"/>
  <c r="K53" i="1"/>
  <c r="K47" i="1"/>
  <c r="K41" i="1"/>
  <c r="K35" i="1"/>
  <c r="K29" i="1"/>
  <c r="K27" i="1"/>
  <c r="K25" i="1"/>
  <c r="K23" i="1"/>
  <c r="K21" i="1"/>
  <c r="K19" i="1"/>
  <c r="K18" i="1"/>
  <c r="K17" i="1"/>
  <c r="K16" i="1"/>
  <c r="K15" i="1"/>
  <c r="K14" i="1"/>
  <c r="K13" i="1"/>
  <c r="R16" i="12"/>
  <c r="R15" i="12"/>
  <c r="R14" i="12"/>
  <c r="T13" i="12"/>
  <c r="T75" i="12"/>
  <c r="T84" i="12"/>
  <c r="T83" i="12"/>
  <c r="T82" i="12"/>
  <c r="T68" i="12"/>
  <c r="T61" i="12"/>
  <c r="T54" i="12"/>
  <c r="T47" i="12"/>
  <c r="T40" i="12"/>
  <c r="T33" i="12"/>
  <c r="T30" i="12"/>
  <c r="T27" i="12"/>
  <c r="T24" i="12"/>
  <c r="T21" i="12"/>
  <c r="T18" i="12"/>
  <c r="T17" i="12"/>
  <c r="T16" i="12"/>
  <c r="T15" i="12"/>
  <c r="T14" i="12"/>
  <c r="H54" i="3" l="1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53" i="3"/>
  <c r="H41" i="3"/>
  <c r="H47" i="3" s="1"/>
  <c r="H42" i="3"/>
  <c r="H48" i="3" s="1"/>
  <c r="H43" i="3"/>
  <c r="H49" i="3" s="1"/>
  <c r="H44" i="3"/>
  <c r="H50" i="3" s="1"/>
  <c r="H45" i="3"/>
  <c r="H51" i="3" s="1"/>
  <c r="H46" i="3"/>
  <c r="H52" i="3" s="1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13" i="3"/>
  <c r="I13" i="3" s="1"/>
  <c r="M13" i="3" l="1"/>
  <c r="N13" i="3" s="1"/>
  <c r="X76" i="13"/>
  <c r="J41" i="13" l="1"/>
  <c r="Q50" i="13"/>
  <c r="Q34" i="13"/>
  <c r="O41" i="13"/>
  <c r="O34" i="13"/>
  <c r="D48" i="3"/>
  <c r="D49" i="3"/>
  <c r="D50" i="3"/>
  <c r="D51" i="3"/>
  <c r="D52" i="3"/>
  <c r="D47" i="3"/>
  <c r="W65" i="3" l="1"/>
  <c r="Y59" i="3"/>
  <c r="Y53" i="3"/>
  <c r="W47" i="3"/>
  <c r="W41" i="3"/>
  <c r="Y35" i="3"/>
  <c r="W35" i="3"/>
  <c r="R55" i="13" l="1"/>
  <c r="R48" i="13"/>
  <c r="S55" i="13"/>
  <c r="Q56" i="13"/>
  <c r="Q57" i="13"/>
  <c r="Q58" i="13"/>
  <c r="Q59" i="13"/>
  <c r="Q60" i="13"/>
  <c r="Q55" i="13"/>
  <c r="Q53" i="13"/>
  <c r="E56" i="13"/>
  <c r="E57" i="13"/>
  <c r="E58" i="13"/>
  <c r="E59" i="13"/>
  <c r="E60" i="13"/>
  <c r="E55" i="13"/>
  <c r="AB60" i="13"/>
  <c r="AA60" i="13"/>
  <c r="X60" i="13"/>
  <c r="W60" i="13"/>
  <c r="AE60" i="13" s="1"/>
  <c r="AF59" i="13"/>
  <c r="AB59" i="13"/>
  <c r="AA59" i="13"/>
  <c r="AE59" i="13" s="1"/>
  <c r="X59" i="13"/>
  <c r="W59" i="13"/>
  <c r="AB58" i="13"/>
  <c r="AF58" i="13" s="1"/>
  <c r="AA58" i="13"/>
  <c r="AE58" i="13" s="1"/>
  <c r="X58" i="13"/>
  <c r="W58" i="13"/>
  <c r="AF57" i="13"/>
  <c r="AB57" i="13"/>
  <c r="AA57" i="13"/>
  <c r="X57" i="13"/>
  <c r="W57" i="13"/>
  <c r="AB56" i="13"/>
  <c r="AF56" i="13" s="1"/>
  <c r="AA56" i="13"/>
  <c r="AE56" i="13" s="1"/>
  <c r="X56" i="13"/>
  <c r="W56" i="13"/>
  <c r="X55" i="13"/>
  <c r="M55" i="13"/>
  <c r="D57" i="12"/>
  <c r="H55" i="12"/>
  <c r="T47" i="3" s="1"/>
  <c r="G55" i="12"/>
  <c r="U47" i="3" s="1"/>
  <c r="E52" i="11"/>
  <c r="I60" i="12"/>
  <c r="E51" i="11"/>
  <c r="E50" i="11"/>
  <c r="E49" i="11"/>
  <c r="E48" i="11"/>
  <c r="E47" i="11"/>
  <c r="G52" i="8"/>
  <c r="F52" i="8"/>
  <c r="G51" i="8"/>
  <c r="F51" i="8"/>
  <c r="G50" i="8"/>
  <c r="F50" i="8"/>
  <c r="G49" i="8"/>
  <c r="F49" i="8"/>
  <c r="D49" i="8"/>
  <c r="G48" i="8"/>
  <c r="F48" i="8"/>
  <c r="K47" i="8"/>
  <c r="J47" i="8"/>
  <c r="G47" i="8"/>
  <c r="F47" i="8"/>
  <c r="D47" i="8"/>
  <c r="I52" i="3"/>
  <c r="M52" i="3" s="1"/>
  <c r="G60" i="13" s="1"/>
  <c r="I51" i="3"/>
  <c r="M51" i="3" s="1"/>
  <c r="G59" i="13" s="1"/>
  <c r="I50" i="3"/>
  <c r="I49" i="3"/>
  <c r="M49" i="3" s="1"/>
  <c r="G57" i="13" s="1"/>
  <c r="V57" i="13" s="1"/>
  <c r="I48" i="3"/>
  <c r="M48" i="3" s="1"/>
  <c r="G56" i="13" s="1"/>
  <c r="I47" i="3"/>
  <c r="I55" i="12" s="1"/>
  <c r="F52" i="1"/>
  <c r="D59" i="12" s="1"/>
  <c r="F51" i="1"/>
  <c r="D51" i="8" s="1"/>
  <c r="F50" i="1"/>
  <c r="D50" i="8" s="1"/>
  <c r="F49" i="1"/>
  <c r="D56" i="12" s="1"/>
  <c r="F48" i="1"/>
  <c r="D48" i="8" s="1"/>
  <c r="F47" i="1"/>
  <c r="I47" i="1" s="1"/>
  <c r="F55" i="12" s="1"/>
  <c r="J55" i="13" l="1"/>
  <c r="W55" i="13" s="1"/>
  <c r="W61" i="13" s="1"/>
  <c r="D52" i="8"/>
  <c r="D58" i="12"/>
  <c r="K55" i="13"/>
  <c r="AA55" i="13" s="1"/>
  <c r="AA61" i="13" s="1"/>
  <c r="X61" i="13"/>
  <c r="D55" i="12"/>
  <c r="AE57" i="13"/>
  <c r="AF60" i="13"/>
  <c r="T55" i="13"/>
  <c r="H59" i="13"/>
  <c r="Z59" i="13" s="1"/>
  <c r="M50" i="3"/>
  <c r="G58" i="13" s="1"/>
  <c r="E52" i="8"/>
  <c r="H52" i="8" s="1"/>
  <c r="E50" i="8"/>
  <c r="H50" i="8" s="1"/>
  <c r="V59" i="13"/>
  <c r="E47" i="8"/>
  <c r="H47" i="8" s="1"/>
  <c r="N55" i="12"/>
  <c r="O61" i="12" s="1"/>
  <c r="N60" i="12"/>
  <c r="I56" i="12"/>
  <c r="I57" i="12"/>
  <c r="N59" i="12"/>
  <c r="E49" i="8"/>
  <c r="H49" i="8" s="1"/>
  <c r="E51" i="8"/>
  <c r="H51" i="8" s="1"/>
  <c r="N58" i="12"/>
  <c r="E48" i="8"/>
  <c r="H48" i="8" s="1"/>
  <c r="I58" i="12"/>
  <c r="N57" i="12"/>
  <c r="H57" i="13"/>
  <c r="Z57" i="13" s="1"/>
  <c r="AD57" i="13" s="1"/>
  <c r="AI57" i="13" s="1"/>
  <c r="N56" i="12"/>
  <c r="I59" i="12"/>
  <c r="H56" i="13"/>
  <c r="Z56" i="13" s="1"/>
  <c r="V60" i="13"/>
  <c r="V56" i="13"/>
  <c r="AB55" i="13"/>
  <c r="H60" i="13"/>
  <c r="Z60" i="13" s="1"/>
  <c r="N48" i="3"/>
  <c r="N52" i="3"/>
  <c r="N49" i="3"/>
  <c r="N51" i="3"/>
  <c r="M47" i="3"/>
  <c r="AE55" i="13" l="1"/>
  <c r="AE61" i="13" s="1"/>
  <c r="N50" i="3"/>
  <c r="H58" i="13"/>
  <c r="Z58" i="13" s="1"/>
  <c r="V58" i="13"/>
  <c r="J61" i="12"/>
  <c r="AD60" i="13"/>
  <c r="AD59" i="13"/>
  <c r="AI59" i="13" s="1"/>
  <c r="AI60" i="13" s="1"/>
  <c r="I47" i="8"/>
  <c r="L47" i="8"/>
  <c r="N47" i="3"/>
  <c r="G55" i="13"/>
  <c r="AD56" i="13"/>
  <c r="AI56" i="13" s="1"/>
  <c r="AB61" i="13"/>
  <c r="AF55" i="13"/>
  <c r="AF61" i="13" s="1"/>
  <c r="AD58" i="13" l="1"/>
  <c r="AI58" i="13" s="1"/>
  <c r="P61" i="12"/>
  <c r="H55" i="13"/>
  <c r="Z55" i="13" s="1"/>
  <c r="V55" i="13"/>
  <c r="V61" i="13" s="1"/>
  <c r="AD55" i="13" l="1"/>
  <c r="Z61" i="13"/>
  <c r="O69" i="13"/>
  <c r="O62" i="13"/>
  <c r="M76" i="13"/>
  <c r="AB76" i="13" s="1"/>
  <c r="M48" i="13"/>
  <c r="M41" i="13"/>
  <c r="M34" i="13"/>
  <c r="AI55" i="13" l="1"/>
  <c r="AD61" i="13"/>
  <c r="B30" i="2"/>
  <c r="AI61" i="13" l="1"/>
  <c r="AH61" i="13"/>
  <c r="E84" i="13"/>
  <c r="E83" i="13"/>
  <c r="E77" i="13"/>
  <c r="E78" i="13"/>
  <c r="E79" i="13"/>
  <c r="E80" i="13"/>
  <c r="E81" i="13"/>
  <c r="E76" i="13"/>
  <c r="E70" i="13"/>
  <c r="E71" i="13"/>
  <c r="E72" i="13"/>
  <c r="E73" i="13"/>
  <c r="E74" i="13"/>
  <c r="E69" i="13"/>
  <c r="E63" i="13"/>
  <c r="E64" i="13"/>
  <c r="E65" i="13"/>
  <c r="E66" i="13"/>
  <c r="E67" i="13"/>
  <c r="E62" i="13"/>
  <c r="E49" i="13"/>
  <c r="E50" i="13"/>
  <c r="E51" i="13"/>
  <c r="E52" i="13"/>
  <c r="E53" i="13"/>
  <c r="E48" i="13"/>
  <c r="E42" i="13"/>
  <c r="E43" i="13"/>
  <c r="E44" i="13"/>
  <c r="E45" i="13"/>
  <c r="E46" i="13"/>
  <c r="E41" i="13"/>
  <c r="E35" i="13"/>
  <c r="E36" i="13"/>
  <c r="E37" i="13"/>
  <c r="E38" i="13"/>
  <c r="E39" i="13"/>
  <c r="E34" i="13"/>
  <c r="E32" i="13"/>
  <c r="E31" i="13"/>
  <c r="E29" i="13"/>
  <c r="E28" i="13"/>
  <c r="E26" i="13"/>
  <c r="E25" i="13"/>
  <c r="E23" i="13"/>
  <c r="E22" i="13"/>
  <c r="E14" i="13"/>
  <c r="E15" i="13"/>
  <c r="E16" i="13"/>
  <c r="E17" i="13"/>
  <c r="E18" i="13"/>
  <c r="E19" i="13"/>
  <c r="E20" i="13"/>
  <c r="E13" i="13"/>
  <c r="S62" i="13"/>
  <c r="AA81" i="13"/>
  <c r="AB81" i="13"/>
  <c r="W81" i="13"/>
  <c r="X81" i="13"/>
  <c r="AF81" i="13" s="1"/>
  <c r="J13" i="13"/>
  <c r="K13" i="13"/>
  <c r="J14" i="13"/>
  <c r="K14" i="13"/>
  <c r="J15" i="13"/>
  <c r="K15" i="13"/>
  <c r="J16" i="13"/>
  <c r="K16" i="13"/>
  <c r="J17" i="13"/>
  <c r="K17" i="13"/>
  <c r="J18" i="13"/>
  <c r="K18" i="13"/>
  <c r="J19" i="13"/>
  <c r="K19" i="13"/>
  <c r="J22" i="13"/>
  <c r="K22" i="13"/>
  <c r="J28" i="13"/>
  <c r="K28" i="13"/>
  <c r="J31" i="13"/>
  <c r="W31" i="13" s="1"/>
  <c r="K31" i="13"/>
  <c r="AA31" i="13" s="1"/>
  <c r="J34" i="13"/>
  <c r="K34" i="13"/>
  <c r="K41" i="13"/>
  <c r="J62" i="13"/>
  <c r="K62" i="13"/>
  <c r="J69" i="13"/>
  <c r="K69" i="13"/>
  <c r="AB80" i="13"/>
  <c r="AA80" i="13"/>
  <c r="X80" i="13"/>
  <c r="W80" i="13"/>
  <c r="Q80" i="13"/>
  <c r="AB79" i="13"/>
  <c r="AA79" i="13"/>
  <c r="X79" i="13"/>
  <c r="W79" i="13"/>
  <c r="Q79" i="13"/>
  <c r="AB78" i="13"/>
  <c r="AA78" i="13"/>
  <c r="X78" i="13"/>
  <c r="W78" i="13"/>
  <c r="Q78" i="13"/>
  <c r="AB77" i="13"/>
  <c r="AA77" i="13"/>
  <c r="X77" i="13"/>
  <c r="W77" i="13"/>
  <c r="Q77" i="13"/>
  <c r="S76" i="13"/>
  <c r="Q76" i="13"/>
  <c r="AB74" i="13"/>
  <c r="AA74" i="13"/>
  <c r="X74" i="13"/>
  <c r="W74" i="13"/>
  <c r="AB73" i="13"/>
  <c r="AA73" i="13"/>
  <c r="X73" i="13"/>
  <c r="W73" i="13"/>
  <c r="AB72" i="13"/>
  <c r="AA72" i="13"/>
  <c r="X72" i="13"/>
  <c r="W72" i="13"/>
  <c r="AB71" i="13"/>
  <c r="AA71" i="13"/>
  <c r="X71" i="13"/>
  <c r="W71" i="13"/>
  <c r="AB70" i="13"/>
  <c r="AA70" i="13"/>
  <c r="X70" i="13"/>
  <c r="W70" i="13"/>
  <c r="Q70" i="13"/>
  <c r="S69" i="13"/>
  <c r="Q69" i="13"/>
  <c r="AB67" i="13"/>
  <c r="AA67" i="13"/>
  <c r="X67" i="13"/>
  <c r="W67" i="13"/>
  <c r="AB66" i="13"/>
  <c r="AA66" i="13"/>
  <c r="X66" i="13"/>
  <c r="W66" i="13"/>
  <c r="AB65" i="13"/>
  <c r="AA65" i="13"/>
  <c r="X65" i="13"/>
  <c r="W65" i="13"/>
  <c r="Q65" i="13"/>
  <c r="AB64" i="13"/>
  <c r="AA64" i="13"/>
  <c r="X64" i="13"/>
  <c r="W64" i="13"/>
  <c r="Q64" i="13"/>
  <c r="AB63" i="13"/>
  <c r="AA63" i="13"/>
  <c r="X63" i="13"/>
  <c r="W63" i="13"/>
  <c r="Q63" i="13"/>
  <c r="Q62" i="13"/>
  <c r="AB53" i="13"/>
  <c r="AA53" i="13"/>
  <c r="X53" i="13"/>
  <c r="W53" i="13"/>
  <c r="AB52" i="13"/>
  <c r="AA52" i="13"/>
  <c r="X52" i="13"/>
  <c r="W52" i="13"/>
  <c r="Q52" i="13"/>
  <c r="AB51" i="13"/>
  <c r="AA51" i="13"/>
  <c r="X51" i="13"/>
  <c r="W51" i="13"/>
  <c r="Q51" i="13"/>
  <c r="AB50" i="13"/>
  <c r="AA50" i="13"/>
  <c r="X50" i="13"/>
  <c r="W50" i="13"/>
  <c r="AB49" i="13"/>
  <c r="AA49" i="13"/>
  <c r="X49" i="13"/>
  <c r="W49" i="13"/>
  <c r="Q49" i="13"/>
  <c r="S48" i="13"/>
  <c r="X48" i="13"/>
  <c r="Q48" i="13"/>
  <c r="AB46" i="13"/>
  <c r="AA46" i="13"/>
  <c r="X46" i="13"/>
  <c r="W46" i="13"/>
  <c r="AB45" i="13"/>
  <c r="AA45" i="13"/>
  <c r="X45" i="13"/>
  <c r="W45" i="13"/>
  <c r="AB44" i="13"/>
  <c r="AA44" i="13"/>
  <c r="X44" i="13"/>
  <c r="W44" i="13"/>
  <c r="AB43" i="13"/>
  <c r="AA43" i="13"/>
  <c r="X43" i="13"/>
  <c r="W43" i="13"/>
  <c r="Q43" i="13"/>
  <c r="AB42" i="13"/>
  <c r="AA42" i="13"/>
  <c r="X42" i="13"/>
  <c r="W42" i="13"/>
  <c r="Q42" i="13"/>
  <c r="AB41" i="13"/>
  <c r="X41" i="13"/>
  <c r="S41" i="13"/>
  <c r="Q41" i="13"/>
  <c r="AB39" i="13"/>
  <c r="AA39" i="13"/>
  <c r="X39" i="13"/>
  <c r="W39" i="13"/>
  <c r="AB38" i="13"/>
  <c r="AA38" i="13"/>
  <c r="X38" i="13"/>
  <c r="W38" i="13"/>
  <c r="AB37" i="13"/>
  <c r="AA37" i="13"/>
  <c r="X37" i="13"/>
  <c r="W37" i="13"/>
  <c r="Q37" i="13"/>
  <c r="AB36" i="13"/>
  <c r="AA36" i="13"/>
  <c r="X36" i="13"/>
  <c r="W36" i="13"/>
  <c r="Q36" i="13"/>
  <c r="AB35" i="13"/>
  <c r="AA35" i="13"/>
  <c r="X35" i="13"/>
  <c r="W35" i="13"/>
  <c r="Q35" i="13"/>
  <c r="AB34" i="13"/>
  <c r="X34" i="13"/>
  <c r="S34" i="13"/>
  <c r="AB32" i="13"/>
  <c r="AA32" i="13"/>
  <c r="X32" i="13"/>
  <c r="W32" i="13"/>
  <c r="AB31" i="13"/>
  <c r="AB33" i="13" s="1"/>
  <c r="X31" i="13"/>
  <c r="AB29" i="13"/>
  <c r="AA29" i="13"/>
  <c r="X29" i="13"/>
  <c r="W29" i="13"/>
  <c r="Q29" i="13"/>
  <c r="AB28" i="13"/>
  <c r="X28" i="13"/>
  <c r="X30" i="13" s="1"/>
  <c r="S28" i="13"/>
  <c r="Q28" i="13"/>
  <c r="AB26" i="13"/>
  <c r="AA26" i="13"/>
  <c r="X26" i="13"/>
  <c r="W26" i="13"/>
  <c r="Q26" i="13"/>
  <c r="AB25" i="13"/>
  <c r="X25" i="13"/>
  <c r="S25" i="13"/>
  <c r="Q25" i="13"/>
  <c r="AB23" i="13"/>
  <c r="AA23" i="13"/>
  <c r="X23" i="13"/>
  <c r="W23" i="13"/>
  <c r="AB22" i="13"/>
  <c r="AB24" i="13" s="1"/>
  <c r="X22" i="13"/>
  <c r="X24" i="13" s="1"/>
  <c r="S22" i="13"/>
  <c r="Q22" i="13"/>
  <c r="AB20" i="13"/>
  <c r="AA20" i="13"/>
  <c r="X20" i="13"/>
  <c r="W20" i="13"/>
  <c r="Q20" i="13"/>
  <c r="AB19" i="13"/>
  <c r="X19" i="13"/>
  <c r="X21" i="13" s="1"/>
  <c r="S19" i="13"/>
  <c r="Q19" i="13"/>
  <c r="AB18" i="13"/>
  <c r="X18" i="13"/>
  <c r="S18" i="13"/>
  <c r="Q18" i="13"/>
  <c r="AB17" i="13"/>
  <c r="X17" i="13"/>
  <c r="S17" i="13"/>
  <c r="Q17" i="13"/>
  <c r="AB16" i="13"/>
  <c r="X16" i="13"/>
  <c r="S16" i="13"/>
  <c r="Q16" i="13"/>
  <c r="AB15" i="13"/>
  <c r="X15" i="13"/>
  <c r="S15" i="13"/>
  <c r="Q15" i="13"/>
  <c r="AB14" i="13"/>
  <c r="X14" i="13"/>
  <c r="S14" i="13"/>
  <c r="Q14" i="13"/>
  <c r="AB13" i="13"/>
  <c r="X13" i="13"/>
  <c r="S13" i="13"/>
  <c r="Q13" i="13"/>
  <c r="A8" i="13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2" i="13" s="1"/>
  <c r="A23" i="13" s="1"/>
  <c r="A25" i="13" s="1"/>
  <c r="A26" i="13" s="1"/>
  <c r="A28" i="13" s="1"/>
  <c r="A29" i="13" s="1"/>
  <c r="A31" i="13" s="1"/>
  <c r="A32" i="13" s="1"/>
  <c r="A34" i="13" s="1"/>
  <c r="A35" i="13" s="1"/>
  <c r="A36" i="13" s="1"/>
  <c r="A37" i="13" s="1"/>
  <c r="A38" i="13" s="1"/>
  <c r="A39" i="13" s="1"/>
  <c r="A41" i="13" s="1"/>
  <c r="A42" i="13" s="1"/>
  <c r="A43" i="13" s="1"/>
  <c r="A44" i="13" s="1"/>
  <c r="A45" i="13" s="1"/>
  <c r="A46" i="13" s="1"/>
  <c r="A48" i="13" s="1"/>
  <c r="A49" i="13" s="1"/>
  <c r="A50" i="13" s="1"/>
  <c r="A51" i="13" s="1"/>
  <c r="A52" i="13" s="1"/>
  <c r="A53" i="13" s="1"/>
  <c r="A3" i="13"/>
  <c r="A2" i="13"/>
  <c r="A1" i="13"/>
  <c r="R7" i="3"/>
  <c r="I72" i="3"/>
  <c r="M72" i="3" s="1"/>
  <c r="I71" i="3"/>
  <c r="I70" i="3"/>
  <c r="M70" i="3" s="1"/>
  <c r="N70" i="3" s="1"/>
  <c r="I69" i="3"/>
  <c r="M69" i="3" s="1"/>
  <c r="N69" i="3" s="1"/>
  <c r="I68" i="3"/>
  <c r="M68" i="3" s="1"/>
  <c r="I67" i="3"/>
  <c r="M67" i="3" s="1"/>
  <c r="N67" i="3" s="1"/>
  <c r="I66" i="3"/>
  <c r="M66" i="3" s="1"/>
  <c r="N66" i="3" s="1"/>
  <c r="I65" i="3"/>
  <c r="I46" i="3"/>
  <c r="M46" i="3" s="1"/>
  <c r="I45" i="3"/>
  <c r="I44" i="3"/>
  <c r="M44" i="3" s="1"/>
  <c r="N44" i="3" s="1"/>
  <c r="I43" i="3"/>
  <c r="I42" i="3"/>
  <c r="M42" i="3" s="1"/>
  <c r="I41" i="3"/>
  <c r="M41" i="3" s="1"/>
  <c r="N41" i="3" s="1"/>
  <c r="I24" i="3"/>
  <c r="M24" i="3" s="1"/>
  <c r="N24" i="3" s="1"/>
  <c r="I23" i="3"/>
  <c r="J72" i="8"/>
  <c r="J71" i="8"/>
  <c r="J59" i="8"/>
  <c r="J53" i="8"/>
  <c r="J35" i="8"/>
  <c r="J29" i="8"/>
  <c r="J27" i="8"/>
  <c r="J25" i="8"/>
  <c r="J21" i="8"/>
  <c r="J19" i="8"/>
  <c r="J18" i="8"/>
  <c r="J17" i="8"/>
  <c r="J16" i="8"/>
  <c r="J15" i="8"/>
  <c r="J14" i="8"/>
  <c r="J13" i="8"/>
  <c r="G14" i="8"/>
  <c r="G15" i="8"/>
  <c r="G16" i="8"/>
  <c r="G17" i="8"/>
  <c r="G18" i="8"/>
  <c r="G19" i="8"/>
  <c r="G20" i="8"/>
  <c r="G21" i="8"/>
  <c r="G22" i="8"/>
  <c r="F23" i="8"/>
  <c r="G23" i="8"/>
  <c r="F24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F41" i="8"/>
  <c r="G41" i="8"/>
  <c r="F42" i="8"/>
  <c r="G42" i="8"/>
  <c r="F43" i="8"/>
  <c r="G43" i="8"/>
  <c r="F44" i="8"/>
  <c r="G44" i="8"/>
  <c r="F45" i="8"/>
  <c r="G45" i="8"/>
  <c r="F46" i="8"/>
  <c r="G46" i="8"/>
  <c r="G53" i="8"/>
  <c r="G54" i="8"/>
  <c r="G55" i="8"/>
  <c r="G56" i="8"/>
  <c r="G57" i="8"/>
  <c r="G58" i="8"/>
  <c r="G59" i="8"/>
  <c r="G60" i="8"/>
  <c r="G61" i="8"/>
  <c r="G62" i="8"/>
  <c r="G63" i="8"/>
  <c r="G64" i="8"/>
  <c r="F65" i="8"/>
  <c r="G65" i="8"/>
  <c r="F66" i="8"/>
  <c r="G66" i="8"/>
  <c r="F67" i="8"/>
  <c r="G67" i="8"/>
  <c r="F68" i="8"/>
  <c r="G68" i="8"/>
  <c r="F69" i="8"/>
  <c r="G69" i="8"/>
  <c r="F70" i="8"/>
  <c r="G70" i="8"/>
  <c r="F71" i="8"/>
  <c r="G71" i="8"/>
  <c r="F72" i="8"/>
  <c r="G72" i="8"/>
  <c r="G13" i="8"/>
  <c r="I8" i="11"/>
  <c r="S8" i="12"/>
  <c r="R8" i="12"/>
  <c r="Q8" i="12"/>
  <c r="P8" i="12"/>
  <c r="O8" i="12"/>
  <c r="N8" i="12"/>
  <c r="M8" i="12"/>
  <c r="L8" i="12"/>
  <c r="AA41" i="13" l="1"/>
  <c r="AA47" i="13" s="1"/>
  <c r="X27" i="13"/>
  <c r="M45" i="3"/>
  <c r="N45" i="3" s="1"/>
  <c r="M71" i="3"/>
  <c r="N71" i="3" s="1"/>
  <c r="G81" i="13"/>
  <c r="H81" i="13" s="1"/>
  <c r="Z81" i="13" s="1"/>
  <c r="A55" i="13"/>
  <c r="A56" i="13" s="1"/>
  <c r="A57" i="13" s="1"/>
  <c r="A58" i="13" s="1"/>
  <c r="A59" i="13" s="1"/>
  <c r="A60" i="13" s="1"/>
  <c r="A62" i="13" s="1"/>
  <c r="A63" i="13" s="1"/>
  <c r="A64" i="13" s="1"/>
  <c r="A65" i="13" s="1"/>
  <c r="A66" i="13" s="1"/>
  <c r="A67" i="13" s="1"/>
  <c r="A69" i="13" s="1"/>
  <c r="A70" i="13" s="1"/>
  <c r="A71" i="13" s="1"/>
  <c r="A72" i="13" s="1"/>
  <c r="A73" i="13" s="1"/>
  <c r="A74" i="13" s="1"/>
  <c r="A76" i="13" s="1"/>
  <c r="A77" i="13" s="1"/>
  <c r="A78" i="13" s="1"/>
  <c r="A79" i="13" s="1"/>
  <c r="A80" i="13" s="1"/>
  <c r="A81" i="13" s="1"/>
  <c r="A83" i="13" s="1"/>
  <c r="A84" i="13" s="1"/>
  <c r="A85" i="13" s="1"/>
  <c r="A86" i="13" s="1"/>
  <c r="A87" i="13" s="1"/>
  <c r="A88" i="13" s="1"/>
  <c r="A89" i="13" s="1"/>
  <c r="G26" i="13"/>
  <c r="H26" i="13" s="1"/>
  <c r="Z26" i="13" s="1"/>
  <c r="G77" i="13"/>
  <c r="H77" i="13" s="1"/>
  <c r="G51" i="13"/>
  <c r="H51" i="13" s="1"/>
  <c r="N42" i="3"/>
  <c r="G49" i="13"/>
  <c r="N46" i="3"/>
  <c r="G53" i="13"/>
  <c r="H53" i="13" s="1"/>
  <c r="N68" i="3"/>
  <c r="G79" i="13"/>
  <c r="H79" i="13" s="1"/>
  <c r="Z79" i="13" s="1"/>
  <c r="N72" i="3"/>
  <c r="G84" i="13"/>
  <c r="H84" i="13" s="1"/>
  <c r="G80" i="13"/>
  <c r="H80" i="13" s="1"/>
  <c r="G78" i="13"/>
  <c r="G52" i="13"/>
  <c r="H52" i="13" s="1"/>
  <c r="G48" i="13"/>
  <c r="H48" i="13" s="1"/>
  <c r="AA33" i="13"/>
  <c r="AB27" i="13"/>
  <c r="AB21" i="13"/>
  <c r="X47" i="13"/>
  <c r="AE81" i="13"/>
  <c r="AA22" i="13"/>
  <c r="AA24" i="13" s="1"/>
  <c r="W33" i="13"/>
  <c r="AB30" i="13"/>
  <c r="X40" i="13"/>
  <c r="AB47" i="13"/>
  <c r="AE44" i="13"/>
  <c r="X54" i="13"/>
  <c r="X33" i="13"/>
  <c r="AB40" i="13"/>
  <c r="AB82" i="13"/>
  <c r="X82" i="13"/>
  <c r="AA14" i="13"/>
  <c r="AA13" i="13"/>
  <c r="W62" i="13"/>
  <c r="W68" i="13" s="1"/>
  <c r="AF53" i="13"/>
  <c r="AA69" i="13"/>
  <c r="AA75" i="13" s="1"/>
  <c r="AF16" i="13"/>
  <c r="AE26" i="13"/>
  <c r="W34" i="13"/>
  <c r="W40" i="13" s="1"/>
  <c r="AF36" i="13"/>
  <c r="AF71" i="13"/>
  <c r="W15" i="13"/>
  <c r="AB62" i="13"/>
  <c r="AB68" i="13" s="1"/>
  <c r="AE77" i="13"/>
  <c r="W22" i="13"/>
  <c r="W14" i="13"/>
  <c r="AF29" i="13"/>
  <c r="AE50" i="13"/>
  <c r="AE52" i="13"/>
  <c r="AF20" i="13"/>
  <c r="AF31" i="13"/>
  <c r="AA62" i="13"/>
  <c r="AA68" i="13" s="1"/>
  <c r="AF66" i="13"/>
  <c r="AE67" i="13"/>
  <c r="AF35" i="13"/>
  <c r="AE38" i="13"/>
  <c r="AE42" i="13"/>
  <c r="AE43" i="13"/>
  <c r="AF52" i="13"/>
  <c r="AF64" i="13"/>
  <c r="AF65" i="13"/>
  <c r="AE66" i="13"/>
  <c r="AF67" i="13"/>
  <c r="AF79" i="13"/>
  <c r="AA15" i="13"/>
  <c r="AF38" i="13"/>
  <c r="AE39" i="13"/>
  <c r="AF42" i="13"/>
  <c r="AF45" i="13"/>
  <c r="AE49" i="13"/>
  <c r="AE51" i="13"/>
  <c r="AE63" i="13"/>
  <c r="AF70" i="13"/>
  <c r="AF73" i="13"/>
  <c r="AF41" i="13"/>
  <c r="AB48" i="13"/>
  <c r="AE53" i="13"/>
  <c r="W69" i="13"/>
  <c r="W75" i="13" s="1"/>
  <c r="AF74" i="13"/>
  <c r="AE80" i="13"/>
  <c r="AF22" i="13"/>
  <c r="AF25" i="13"/>
  <c r="W28" i="13"/>
  <c r="W30" i="13" s="1"/>
  <c r="AF13" i="13"/>
  <c r="W18" i="13"/>
  <c r="W19" i="13"/>
  <c r="W21" i="13" s="1"/>
  <c r="AF39" i="13"/>
  <c r="AF44" i="13"/>
  <c r="AF28" i="13"/>
  <c r="AF30" i="13" s="1"/>
  <c r="AE31" i="13"/>
  <c r="AF34" i="13"/>
  <c r="AF15" i="13"/>
  <c r="W16" i="13"/>
  <c r="AA19" i="13"/>
  <c r="AA21" i="13" s="1"/>
  <c r="AF23" i="13"/>
  <c r="AF46" i="13"/>
  <c r="AF49" i="13"/>
  <c r="AF51" i="13"/>
  <c r="AE65" i="13"/>
  <c r="AB69" i="13"/>
  <c r="AB75" i="13" s="1"/>
  <c r="AE71" i="13"/>
  <c r="AF72" i="13"/>
  <c r="AE78" i="13"/>
  <c r="AE79" i="13"/>
  <c r="W13" i="13"/>
  <c r="AA16" i="13"/>
  <c r="AF17" i="13"/>
  <c r="AE20" i="13"/>
  <c r="AA28" i="13"/>
  <c r="AA30" i="13" s="1"/>
  <c r="AE29" i="13"/>
  <c r="AF32" i="13"/>
  <c r="AA34" i="13"/>
  <c r="AA40" i="13" s="1"/>
  <c r="AE35" i="13"/>
  <c r="AE36" i="13"/>
  <c r="AF43" i="13"/>
  <c r="AE45" i="13"/>
  <c r="AF63" i="13"/>
  <c r="AE64" i="13"/>
  <c r="AE72" i="13"/>
  <c r="AE73" i="13"/>
  <c r="AF76" i="13"/>
  <c r="AF37" i="13"/>
  <c r="AF14" i="13"/>
  <c r="W17" i="13"/>
  <c r="AA18" i="13"/>
  <c r="AF19" i="13"/>
  <c r="AA17" i="13"/>
  <c r="AF18" i="13"/>
  <c r="AE23" i="13"/>
  <c r="AF77" i="13"/>
  <c r="AE37" i="13"/>
  <c r="W41" i="13"/>
  <c r="AE70" i="13"/>
  <c r="AF78" i="13"/>
  <c r="AF26" i="13"/>
  <c r="AE32" i="13"/>
  <c r="AE46" i="13"/>
  <c r="AF50" i="13"/>
  <c r="AE74" i="13"/>
  <c r="AF80" i="13"/>
  <c r="M23" i="3"/>
  <c r="G25" i="13" s="1"/>
  <c r="M43" i="3"/>
  <c r="G50" i="13" s="1"/>
  <c r="H50" i="13" s="1"/>
  <c r="M65" i="3"/>
  <c r="G76" i="13" s="1"/>
  <c r="H76" i="13" s="1"/>
  <c r="Z76" i="13" s="1"/>
  <c r="B34" i="2"/>
  <c r="G83" i="13" l="1"/>
  <c r="H83" i="13" s="1"/>
  <c r="A92" i="13"/>
  <c r="A93" i="13" s="1"/>
  <c r="A90" i="13"/>
  <c r="A91" i="13" s="1"/>
  <c r="V81" i="13"/>
  <c r="AD81" i="13" s="1"/>
  <c r="H78" i="13"/>
  <c r="V78" i="13"/>
  <c r="V77" i="13"/>
  <c r="AF21" i="13"/>
  <c r="V26" i="13"/>
  <c r="AD26" i="13" s="1"/>
  <c r="AI26" i="13" s="1"/>
  <c r="V79" i="13"/>
  <c r="AD79" i="13" s="1"/>
  <c r="AI79" i="13" s="1"/>
  <c r="V80" i="13"/>
  <c r="V25" i="13"/>
  <c r="Z53" i="13"/>
  <c r="H25" i="13"/>
  <c r="Z25" i="13" s="1"/>
  <c r="V49" i="13"/>
  <c r="Z78" i="13"/>
  <c r="AD78" i="13" s="1"/>
  <c r="AI78" i="13" s="1"/>
  <c r="H49" i="13"/>
  <c r="Z49" i="13" s="1"/>
  <c r="V53" i="13"/>
  <c r="AF82" i="13"/>
  <c r="AE33" i="13"/>
  <c r="AE15" i="13"/>
  <c r="AF40" i="13"/>
  <c r="AF24" i="13"/>
  <c r="AE22" i="13"/>
  <c r="AE24" i="13" s="1"/>
  <c r="W24" i="13"/>
  <c r="AE41" i="13"/>
  <c r="AE47" i="13" s="1"/>
  <c r="W47" i="13"/>
  <c r="AF48" i="13"/>
  <c r="AF54" i="13" s="1"/>
  <c r="AB54" i="13"/>
  <c r="AB3" i="13" s="1"/>
  <c r="AF33" i="13"/>
  <c r="AF27" i="13"/>
  <c r="AF47" i="13"/>
  <c r="AE14" i="13"/>
  <c r="AE13" i="13"/>
  <c r="X69" i="13"/>
  <c r="X62" i="13"/>
  <c r="X68" i="13" s="1"/>
  <c r="AE69" i="13"/>
  <c r="AE75" i="13" s="1"/>
  <c r="AE62" i="13"/>
  <c r="AE68" i="13" s="1"/>
  <c r="AE34" i="13"/>
  <c r="AE40" i="13" s="1"/>
  <c r="AE17" i="13"/>
  <c r="AE19" i="13"/>
  <c r="AE21" i="13" s="1"/>
  <c r="AE28" i="13"/>
  <c r="AE30" i="13" s="1"/>
  <c r="AE18" i="13"/>
  <c r="AE16" i="13"/>
  <c r="Z48" i="13"/>
  <c r="V48" i="13"/>
  <c r="V50" i="13"/>
  <c r="Z50" i="13"/>
  <c r="Z80" i="13"/>
  <c r="Z51" i="13"/>
  <c r="V51" i="13"/>
  <c r="Z77" i="13"/>
  <c r="V52" i="13"/>
  <c r="V76" i="13"/>
  <c r="N43" i="3"/>
  <c r="N65" i="3"/>
  <c r="N23" i="3"/>
  <c r="T14" i="3"/>
  <c r="T15" i="3"/>
  <c r="T16" i="3"/>
  <c r="T17" i="3"/>
  <c r="T18" i="3"/>
  <c r="T19" i="3"/>
  <c r="T21" i="3"/>
  <c r="T25" i="3"/>
  <c r="T27" i="3"/>
  <c r="T29" i="3"/>
  <c r="T35" i="3"/>
  <c r="T53" i="3"/>
  <c r="T59" i="3"/>
  <c r="T13" i="3"/>
  <c r="U14" i="3"/>
  <c r="U15" i="3"/>
  <c r="U16" i="3"/>
  <c r="U17" i="3"/>
  <c r="U18" i="3"/>
  <c r="U19" i="3"/>
  <c r="U21" i="3"/>
  <c r="U25" i="3"/>
  <c r="U27" i="3"/>
  <c r="U29" i="3"/>
  <c r="U35" i="3"/>
  <c r="U53" i="3"/>
  <c r="U59" i="3"/>
  <c r="U13" i="3"/>
  <c r="V54" i="13" l="1"/>
  <c r="V82" i="13"/>
  <c r="V27" i="13"/>
  <c r="AD53" i="13"/>
  <c r="AD49" i="13"/>
  <c r="AI49" i="13" s="1"/>
  <c r="AD25" i="13"/>
  <c r="AI25" i="13" s="1"/>
  <c r="Z27" i="13"/>
  <c r="AF62" i="13"/>
  <c r="AF68" i="13" s="1"/>
  <c r="AF3" i="13" s="1"/>
  <c r="AL5" i="13" s="1"/>
  <c r="AF69" i="13"/>
  <c r="AF75" i="13" s="1"/>
  <c r="X75" i="13"/>
  <c r="X3" i="13" s="1"/>
  <c r="Z52" i="13"/>
  <c r="Z54" i="13" s="1"/>
  <c r="AD77" i="13"/>
  <c r="AI77" i="13" s="1"/>
  <c r="AD51" i="13"/>
  <c r="AI51" i="13" s="1"/>
  <c r="AI52" i="13" s="1"/>
  <c r="AI53" i="13" s="1"/>
  <c r="AD80" i="13"/>
  <c r="AI80" i="13" s="1"/>
  <c r="AI81" i="13" s="1"/>
  <c r="AD48" i="13"/>
  <c r="AI48" i="13" s="1"/>
  <c r="Z82" i="13"/>
  <c r="AD50" i="13"/>
  <c r="AI50" i="13" s="1"/>
  <c r="AD27" i="13" l="1"/>
  <c r="AI27" i="13" s="1"/>
  <c r="AD52" i="13"/>
  <c r="AD76" i="13"/>
  <c r="AI76" i="13" s="1"/>
  <c r="AD54" i="13" l="1"/>
  <c r="AI54" i="13" s="1"/>
  <c r="AD82" i="13"/>
  <c r="AI82" i="13" s="1"/>
  <c r="I27" i="1" l="1"/>
  <c r="I21" i="1"/>
  <c r="T22" i="13" s="1"/>
  <c r="F13" i="1" l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53" i="1"/>
  <c r="D60" i="12" s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I14" i="1"/>
  <c r="T14" i="13" s="1"/>
  <c r="I15" i="1"/>
  <c r="T15" i="13" s="1"/>
  <c r="I16" i="1"/>
  <c r="T16" i="13" s="1"/>
  <c r="I17" i="1"/>
  <c r="T17" i="13" s="1"/>
  <c r="I18" i="1"/>
  <c r="T18" i="13" s="1"/>
  <c r="I13" i="1"/>
  <c r="T13" i="13" s="1"/>
  <c r="I71" i="1"/>
  <c r="I72" i="1"/>
  <c r="I65" i="1" l="1"/>
  <c r="T76" i="13" s="1"/>
  <c r="I35" i="1"/>
  <c r="T41" i="13" s="1"/>
  <c r="I53" i="1"/>
  <c r="T62" i="13" s="1"/>
  <c r="I23" i="1"/>
  <c r="T25" i="13" s="1"/>
  <c r="I59" i="1"/>
  <c r="T69" i="13" s="1"/>
  <c r="I41" i="1"/>
  <c r="T48" i="13" s="1"/>
  <c r="I25" i="1"/>
  <c r="T28" i="13" s="1"/>
  <c r="I29" i="1"/>
  <c r="T34" i="13" s="1"/>
  <c r="F74" i="1"/>
  <c r="I19" i="1"/>
  <c r="T19" i="13" s="1"/>
  <c r="H76" i="12" l="1"/>
  <c r="J76" i="13" s="1"/>
  <c r="W76" i="13" s="1"/>
  <c r="W82" i="13" s="1"/>
  <c r="H48" i="12"/>
  <c r="J48" i="13" s="1"/>
  <c r="W48" i="13" s="1"/>
  <c r="W54" i="13" s="1"/>
  <c r="H25" i="12"/>
  <c r="J25" i="13" s="1"/>
  <c r="W25" i="13" s="1"/>
  <c r="W27" i="13" s="1"/>
  <c r="N84" i="12"/>
  <c r="N83" i="12"/>
  <c r="N77" i="12"/>
  <c r="N78" i="12"/>
  <c r="N79" i="12"/>
  <c r="N80" i="12"/>
  <c r="N81" i="12"/>
  <c r="N76" i="12"/>
  <c r="N49" i="12"/>
  <c r="N50" i="12"/>
  <c r="N51" i="12"/>
  <c r="N52" i="12"/>
  <c r="N53" i="12"/>
  <c r="N48" i="12"/>
  <c r="N26" i="12"/>
  <c r="N25" i="12"/>
  <c r="W3" i="13" l="1"/>
  <c r="T23" i="3"/>
  <c r="J23" i="8"/>
  <c r="T41" i="3"/>
  <c r="J41" i="8"/>
  <c r="T65" i="3"/>
  <c r="J65" i="8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53" i="11"/>
  <c r="E54" i="11"/>
  <c r="E55" i="11"/>
  <c r="E56" i="11"/>
  <c r="E57" i="11"/>
  <c r="E58" i="11"/>
  <c r="E59" i="11"/>
  <c r="E60" i="11"/>
  <c r="E61" i="11"/>
  <c r="E62" i="11"/>
  <c r="E63" i="11"/>
  <c r="E64" i="11"/>
  <c r="E65" i="11"/>
  <c r="E66" i="11"/>
  <c r="E67" i="11"/>
  <c r="E68" i="11"/>
  <c r="E69" i="11"/>
  <c r="E70" i="11"/>
  <c r="E71" i="11"/>
  <c r="E72" i="11"/>
  <c r="E13" i="11"/>
  <c r="U10" i="8" l="1"/>
  <c r="R10" i="8"/>
  <c r="O10" i="8"/>
  <c r="U8" i="8"/>
  <c r="R8" i="8"/>
  <c r="T9" i="8"/>
  <c r="Q9" i="8"/>
  <c r="N9" i="8"/>
  <c r="T7" i="8" l="1"/>
  <c r="Q7" i="8"/>
  <c r="Q8" i="8" l="1"/>
  <c r="Q10" i="8" s="1"/>
  <c r="T8" i="8"/>
  <c r="T10" i="8" s="1"/>
  <c r="D12" i="2" l="1"/>
  <c r="D10" i="2"/>
  <c r="H74" i="1" l="1"/>
  <c r="K53" i="8" l="1"/>
  <c r="K25" i="8"/>
  <c r="K21" i="8"/>
  <c r="D8" i="11" l="1"/>
  <c r="E13" i="3" l="1"/>
  <c r="F13" i="3"/>
  <c r="N8" i="8"/>
  <c r="N10" i="8" s="1"/>
  <c r="AL8" i="13" s="1"/>
  <c r="D25" i="12"/>
  <c r="K16" i="8"/>
  <c r="K13" i="8"/>
  <c r="K14" i="8"/>
  <c r="K15" i="8"/>
  <c r="K17" i="8"/>
  <c r="K18" i="8"/>
  <c r="K19" i="8"/>
  <c r="K23" i="8"/>
  <c r="K27" i="8"/>
  <c r="K29" i="8"/>
  <c r="K35" i="8"/>
  <c r="D42" i="8"/>
  <c r="K41" i="8"/>
  <c r="K59" i="8"/>
  <c r="K65" i="8"/>
  <c r="K71" i="8"/>
  <c r="K72" i="8"/>
  <c r="E23" i="8"/>
  <c r="E24" i="8"/>
  <c r="E41" i="8"/>
  <c r="E42" i="8"/>
  <c r="E43" i="8"/>
  <c r="E44" i="8"/>
  <c r="E45" i="8"/>
  <c r="E46" i="8"/>
  <c r="E65" i="8"/>
  <c r="E66" i="8"/>
  <c r="E67" i="8"/>
  <c r="E68" i="8"/>
  <c r="E69" i="8"/>
  <c r="E70" i="8"/>
  <c r="E71" i="8"/>
  <c r="E72" i="8"/>
  <c r="O8" i="8"/>
  <c r="A8" i="3"/>
  <c r="A9" i="3" s="1"/>
  <c r="A10" i="3" s="1"/>
  <c r="A11" i="3" s="1"/>
  <c r="A12" i="3" s="1"/>
  <c r="A13" i="3" s="1"/>
  <c r="A14" i="3" s="1"/>
  <c r="A15" i="3" s="1"/>
  <c r="G25" i="12"/>
  <c r="K25" i="13" s="1"/>
  <c r="AA25" i="13" s="1"/>
  <c r="N7" i="8"/>
  <c r="A3" i="8"/>
  <c r="A2" i="8"/>
  <c r="A1" i="8"/>
  <c r="G76" i="12"/>
  <c r="K76" i="13" s="1"/>
  <c r="AA76" i="13" s="1"/>
  <c r="F31" i="12"/>
  <c r="F84" i="12"/>
  <c r="F83" i="12"/>
  <c r="J8" i="12"/>
  <c r="A8" i="8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G48" i="12"/>
  <c r="K48" i="13" s="1"/>
  <c r="AA48" i="13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1" i="2"/>
  <c r="A2" i="2"/>
  <c r="A3" i="2"/>
  <c r="A9" i="2"/>
  <c r="A10" i="2" s="1"/>
  <c r="A11" i="2" s="1"/>
  <c r="A12" i="2" s="1"/>
  <c r="A1" i="3"/>
  <c r="A2" i="3"/>
  <c r="A3" i="3"/>
  <c r="A1" i="11"/>
  <c r="A2" i="11"/>
  <c r="A3" i="11"/>
  <c r="A8" i="11"/>
  <c r="A9" i="11" s="1"/>
  <c r="A10" i="11" s="1"/>
  <c r="A11" i="11" s="1"/>
  <c r="A12" i="11" s="1"/>
  <c r="A13" i="11" s="1"/>
  <c r="A1" i="12"/>
  <c r="A2" i="12"/>
  <c r="A3" i="12"/>
  <c r="A8" i="12"/>
  <c r="A9" i="12" s="1"/>
  <c r="A10" i="12" s="1"/>
  <c r="A11" i="12" s="1"/>
  <c r="AA54" i="13" l="1"/>
  <c r="AE48" i="13"/>
  <c r="AE54" i="13" s="1"/>
  <c r="AH54" i="13" s="1"/>
  <c r="AE76" i="13"/>
  <c r="AE82" i="13" s="1"/>
  <c r="AH82" i="13" s="1"/>
  <c r="AA82" i="13"/>
  <c r="AA27" i="13"/>
  <c r="AE25" i="13"/>
  <c r="AE27" i="13" s="1"/>
  <c r="A47" i="8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47" i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13" i="2"/>
  <c r="A14" i="2" s="1"/>
  <c r="A15" i="2" s="1"/>
  <c r="A16" i="2" s="1"/>
  <c r="A17" i="2" s="1"/>
  <c r="A18" i="2" s="1"/>
  <c r="A19" i="2" s="1"/>
  <c r="A20" i="2" s="1"/>
  <c r="A21" i="2" s="1"/>
  <c r="F15" i="3"/>
  <c r="F13" i="8"/>
  <c r="U23" i="3"/>
  <c r="U41" i="3"/>
  <c r="U65" i="3"/>
  <c r="E59" i="3"/>
  <c r="I49" i="12"/>
  <c r="I53" i="12"/>
  <c r="I79" i="12"/>
  <c r="I84" i="12"/>
  <c r="J84" i="12" s="1"/>
  <c r="O84" i="12" s="1"/>
  <c r="P84" i="12" s="1"/>
  <c r="I48" i="12"/>
  <c r="I83" i="12"/>
  <c r="J83" i="12" s="1"/>
  <c r="O83" i="12" s="1"/>
  <c r="P83" i="12" s="1"/>
  <c r="I26" i="12"/>
  <c r="I81" i="12"/>
  <c r="I25" i="12"/>
  <c r="I50" i="12"/>
  <c r="I76" i="12"/>
  <c r="I80" i="12"/>
  <c r="D26" i="12"/>
  <c r="D81" i="12"/>
  <c r="D51" i="12"/>
  <c r="D49" i="12"/>
  <c r="D84" i="12"/>
  <c r="F16" i="3"/>
  <c r="E16" i="3"/>
  <c r="H69" i="8"/>
  <c r="H65" i="8"/>
  <c r="H45" i="8"/>
  <c r="H41" i="8"/>
  <c r="H23" i="8"/>
  <c r="D79" i="12"/>
  <c r="D53" i="12"/>
  <c r="F25" i="12"/>
  <c r="D65" i="8"/>
  <c r="E14" i="3"/>
  <c r="E30" i="3"/>
  <c r="I30" i="3" s="1"/>
  <c r="F17" i="3"/>
  <c r="E39" i="3"/>
  <c r="D44" i="8"/>
  <c r="F76" i="12"/>
  <c r="E20" i="3"/>
  <c r="E34" i="3"/>
  <c r="I34" i="3" s="1"/>
  <c r="M34" i="3" s="1"/>
  <c r="E63" i="3"/>
  <c r="E60" i="3"/>
  <c r="I60" i="3" s="1"/>
  <c r="E28" i="3"/>
  <c r="I28" i="3" s="1"/>
  <c r="E37" i="3"/>
  <c r="E18" i="3"/>
  <c r="E32" i="3"/>
  <c r="I32" i="3" s="1"/>
  <c r="E61" i="3"/>
  <c r="E35" i="3"/>
  <c r="D41" i="8"/>
  <c r="D78" i="12"/>
  <c r="D77" i="12"/>
  <c r="D80" i="12"/>
  <c r="D76" i="12"/>
  <c r="D24" i="8"/>
  <c r="D45" i="8"/>
  <c r="D43" i="8"/>
  <c r="D83" i="12"/>
  <c r="D52" i="12"/>
  <c r="D50" i="12"/>
  <c r="D48" i="12"/>
  <c r="F48" i="12"/>
  <c r="D69" i="8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14" i="1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16" i="3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D36" i="12"/>
  <c r="D34" i="8"/>
  <c r="D30" i="8"/>
  <c r="E17" i="3"/>
  <c r="E19" i="3"/>
  <c r="E27" i="3"/>
  <c r="I27" i="3" s="1"/>
  <c r="E29" i="3"/>
  <c r="E31" i="3"/>
  <c r="I31" i="3" s="1"/>
  <c r="E33" i="3"/>
  <c r="E36" i="3"/>
  <c r="I36" i="3" s="1"/>
  <c r="E38" i="3"/>
  <c r="E40" i="3"/>
  <c r="I40" i="3" s="1"/>
  <c r="E62" i="3"/>
  <c r="E64" i="3"/>
  <c r="E15" i="3"/>
  <c r="E58" i="3"/>
  <c r="E56" i="3"/>
  <c r="E54" i="3"/>
  <c r="E22" i="3"/>
  <c r="E26" i="3"/>
  <c r="E57" i="3"/>
  <c r="E55" i="3"/>
  <c r="E53" i="3"/>
  <c r="E21" i="3"/>
  <c r="E25" i="3"/>
  <c r="D43" i="12"/>
  <c r="D46" i="12"/>
  <c r="D38" i="8"/>
  <c r="D42" i="12"/>
  <c r="I77" i="12"/>
  <c r="I52" i="12"/>
  <c r="I78" i="12"/>
  <c r="I51" i="12"/>
  <c r="H68" i="8"/>
  <c r="H66" i="8"/>
  <c r="H46" i="8"/>
  <c r="H44" i="8"/>
  <c r="H42" i="8"/>
  <c r="H24" i="8"/>
  <c r="F14" i="3"/>
  <c r="F18" i="3"/>
  <c r="D72" i="8"/>
  <c r="D71" i="8"/>
  <c r="D70" i="8"/>
  <c r="D67" i="8"/>
  <c r="D46" i="8"/>
  <c r="D23" i="8"/>
  <c r="H70" i="8"/>
  <c r="H72" i="8"/>
  <c r="H71" i="8"/>
  <c r="H67" i="8"/>
  <c r="H43" i="8"/>
  <c r="D68" i="8"/>
  <c r="D66" i="8"/>
  <c r="AA3" i="13" l="1"/>
  <c r="N13" i="12"/>
  <c r="AE3" i="13"/>
  <c r="AL4" i="13" s="1"/>
  <c r="AH27" i="13"/>
  <c r="A55" i="12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47" i="1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47" i="3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I15" i="3"/>
  <c r="M36" i="3"/>
  <c r="M27" i="3"/>
  <c r="M32" i="3"/>
  <c r="M60" i="3"/>
  <c r="M30" i="3"/>
  <c r="E13" i="8"/>
  <c r="M40" i="3"/>
  <c r="M31" i="3"/>
  <c r="M28" i="3"/>
  <c r="I16" i="3"/>
  <c r="N16" i="12" s="1"/>
  <c r="F54" i="8"/>
  <c r="I54" i="3"/>
  <c r="N70" i="12"/>
  <c r="E60" i="8"/>
  <c r="I70" i="12"/>
  <c r="F35" i="8"/>
  <c r="I35" i="3"/>
  <c r="F37" i="8"/>
  <c r="I37" i="3"/>
  <c r="F63" i="8"/>
  <c r="I63" i="3"/>
  <c r="N35" i="12"/>
  <c r="E30" i="8"/>
  <c r="I35" i="12"/>
  <c r="F55" i="8"/>
  <c r="I55" i="3"/>
  <c r="F64" i="8"/>
  <c r="I64" i="3"/>
  <c r="N42" i="12"/>
  <c r="E36" i="8"/>
  <c r="I42" i="12"/>
  <c r="N31" i="12"/>
  <c r="O33" i="12" s="1"/>
  <c r="E27" i="8"/>
  <c r="N37" i="12"/>
  <c r="I37" i="12"/>
  <c r="E32" i="8"/>
  <c r="F20" i="8"/>
  <c r="I20" i="3"/>
  <c r="F25" i="8"/>
  <c r="I25" i="3"/>
  <c r="F57" i="8"/>
  <c r="I57" i="3"/>
  <c r="F56" i="8"/>
  <c r="I56" i="3"/>
  <c r="F62" i="8"/>
  <c r="I62" i="3"/>
  <c r="F33" i="8"/>
  <c r="I33" i="3"/>
  <c r="F19" i="8"/>
  <c r="I19" i="3"/>
  <c r="I18" i="3"/>
  <c r="F59" i="8"/>
  <c r="I59" i="3"/>
  <c r="F21" i="8"/>
  <c r="I21" i="3"/>
  <c r="F26" i="8"/>
  <c r="I26" i="3"/>
  <c r="F58" i="8"/>
  <c r="I58" i="3"/>
  <c r="N46" i="12"/>
  <c r="I46" i="12"/>
  <c r="E40" i="8"/>
  <c r="N36" i="12"/>
  <c r="E31" i="8"/>
  <c r="I17" i="3"/>
  <c r="F53" i="8"/>
  <c r="I53" i="3"/>
  <c r="F22" i="8"/>
  <c r="I22" i="3"/>
  <c r="F38" i="8"/>
  <c r="I38" i="3"/>
  <c r="F29" i="8"/>
  <c r="I29" i="3"/>
  <c r="F61" i="8"/>
  <c r="I61" i="3"/>
  <c r="N32" i="12"/>
  <c r="I32" i="12"/>
  <c r="E28" i="8"/>
  <c r="N39" i="12"/>
  <c r="E34" i="8"/>
  <c r="I39" i="12"/>
  <c r="F39" i="8"/>
  <c r="I39" i="3"/>
  <c r="I14" i="3"/>
  <c r="F15" i="8"/>
  <c r="F17" i="8"/>
  <c r="F16" i="8"/>
  <c r="F30" i="8"/>
  <c r="F36" i="8"/>
  <c r="F27" i="8"/>
  <c r="F28" i="8"/>
  <c r="F34" i="8"/>
  <c r="F14" i="8"/>
  <c r="F40" i="8"/>
  <c r="F31" i="8"/>
  <c r="F18" i="8"/>
  <c r="F60" i="8"/>
  <c r="F32" i="8"/>
  <c r="O54" i="12"/>
  <c r="J54" i="12"/>
  <c r="O27" i="12"/>
  <c r="J27" i="12"/>
  <c r="O82" i="12"/>
  <c r="J82" i="12"/>
  <c r="I72" i="8"/>
  <c r="L72" i="8" s="1"/>
  <c r="D38" i="12"/>
  <c r="D33" i="8"/>
  <c r="D39" i="12"/>
  <c r="D39" i="8"/>
  <c r="D40" i="8"/>
  <c r="D31" i="8"/>
  <c r="D37" i="8"/>
  <c r="D34" i="12"/>
  <c r="D37" i="12"/>
  <c r="D29" i="8"/>
  <c r="D32" i="8"/>
  <c r="D17" i="8"/>
  <c r="D17" i="12"/>
  <c r="F34" i="12"/>
  <c r="D41" i="12"/>
  <c r="D35" i="12"/>
  <c r="D35" i="8"/>
  <c r="L41" i="8"/>
  <c r="I71" i="8"/>
  <c r="L71" i="8" s="1"/>
  <c r="L65" i="8"/>
  <c r="D26" i="8"/>
  <c r="D29" i="12"/>
  <c r="F28" i="12"/>
  <c r="D28" i="12"/>
  <c r="D25" i="8"/>
  <c r="I23" i="8"/>
  <c r="L23" i="8"/>
  <c r="I65" i="8"/>
  <c r="F41" i="12"/>
  <c r="D45" i="12"/>
  <c r="D36" i="8"/>
  <c r="D14" i="8"/>
  <c r="F14" i="12"/>
  <c r="D14" i="12"/>
  <c r="D44" i="12"/>
  <c r="F17" i="12"/>
  <c r="I41" i="8"/>
  <c r="D16" i="8"/>
  <c r="F16" i="12"/>
  <c r="D16" i="12"/>
  <c r="F15" i="12"/>
  <c r="D15" i="12"/>
  <c r="D15" i="8"/>
  <c r="F13" i="12"/>
  <c r="D13" i="12"/>
  <c r="D13" i="8"/>
  <c r="G13" i="13" l="1"/>
  <c r="H13" i="13" s="1"/>
  <c r="N28" i="3"/>
  <c r="G32" i="13"/>
  <c r="H32" i="13" s="1"/>
  <c r="N30" i="3"/>
  <c r="G35" i="13"/>
  <c r="H35" i="13" s="1"/>
  <c r="N36" i="3"/>
  <c r="G42" i="13"/>
  <c r="H42" i="13" s="1"/>
  <c r="Z13" i="13"/>
  <c r="V13" i="13"/>
  <c r="N31" i="3"/>
  <c r="G36" i="13"/>
  <c r="H36" i="13" s="1"/>
  <c r="N60" i="3"/>
  <c r="G70" i="13"/>
  <c r="H70" i="13" s="1"/>
  <c r="N40" i="3"/>
  <c r="G46" i="13"/>
  <c r="H46" i="13" s="1"/>
  <c r="N32" i="3"/>
  <c r="G37" i="13"/>
  <c r="H37" i="13" s="1"/>
  <c r="N34" i="3"/>
  <c r="G39" i="13"/>
  <c r="H39" i="13" s="1"/>
  <c r="N27" i="3"/>
  <c r="G31" i="13"/>
  <c r="H31" i="13" s="1"/>
  <c r="I36" i="12"/>
  <c r="I31" i="12"/>
  <c r="J33" i="12" s="1"/>
  <c r="P33" i="12" s="1"/>
  <c r="I13" i="12"/>
  <c r="J13" i="12" s="1"/>
  <c r="N15" i="12"/>
  <c r="O15" i="12" s="1"/>
  <c r="E15" i="8"/>
  <c r="H15" i="8" s="1"/>
  <c r="I15" i="8" s="1"/>
  <c r="L15" i="8" s="1"/>
  <c r="I16" i="12"/>
  <c r="J16" i="12" s="1"/>
  <c r="M15" i="3"/>
  <c r="E16" i="8"/>
  <c r="H16" i="8" s="1"/>
  <c r="I16" i="8" s="1"/>
  <c r="L16" i="8" s="1"/>
  <c r="H32" i="8"/>
  <c r="M39" i="3"/>
  <c r="M29" i="3"/>
  <c r="M19" i="3"/>
  <c r="M57" i="3"/>
  <c r="M37" i="3"/>
  <c r="M16" i="3"/>
  <c r="G16" i="13" s="1"/>
  <c r="H16" i="13" s="1"/>
  <c r="M61" i="3"/>
  <c r="M38" i="3"/>
  <c r="M22" i="3"/>
  <c r="M17" i="3"/>
  <c r="M33" i="3"/>
  <c r="M56" i="3"/>
  <c r="M25" i="3"/>
  <c r="M55" i="3"/>
  <c r="M63" i="3"/>
  <c r="M35" i="3"/>
  <c r="M53" i="3"/>
  <c r="M62" i="3"/>
  <c r="M20" i="3"/>
  <c r="M64" i="3"/>
  <c r="M26" i="3"/>
  <c r="M59" i="3"/>
  <c r="M54" i="3"/>
  <c r="M14" i="3"/>
  <c r="M58" i="3"/>
  <c r="M21" i="3"/>
  <c r="N21" i="3" s="1"/>
  <c r="M18" i="3"/>
  <c r="H60" i="8"/>
  <c r="H34" i="8"/>
  <c r="H36" i="8"/>
  <c r="H27" i="8"/>
  <c r="N62" i="12"/>
  <c r="E53" i="8"/>
  <c r="H53" i="8" s="1"/>
  <c r="N19" i="12"/>
  <c r="E19" i="8"/>
  <c r="H19" i="8" s="1"/>
  <c r="N66" i="12"/>
  <c r="E57" i="8"/>
  <c r="H57" i="8" s="1"/>
  <c r="N20" i="12"/>
  <c r="E20" i="8"/>
  <c r="H20" i="8" s="1"/>
  <c r="I20" i="12"/>
  <c r="N74" i="12"/>
  <c r="I74" i="12"/>
  <c r="E64" i="8"/>
  <c r="H64" i="8" s="1"/>
  <c r="N43" i="12"/>
  <c r="E37" i="8"/>
  <c r="H37" i="8" s="1"/>
  <c r="N29" i="12"/>
  <c r="I29" i="12"/>
  <c r="E26" i="8"/>
  <c r="H26" i="8" s="1"/>
  <c r="H31" i="8"/>
  <c r="H30" i="8"/>
  <c r="N71" i="12"/>
  <c r="E61" i="8"/>
  <c r="H61" i="8" s="1"/>
  <c r="N44" i="12"/>
  <c r="E38" i="8"/>
  <c r="H38" i="8" s="1"/>
  <c r="I44" i="12"/>
  <c r="N23" i="12"/>
  <c r="I23" i="12"/>
  <c r="E22" i="8"/>
  <c r="H22" i="8" s="1"/>
  <c r="N17" i="12"/>
  <c r="O17" i="12" s="1"/>
  <c r="E17" i="8"/>
  <c r="H17" i="8" s="1"/>
  <c r="I17" i="8" s="1"/>
  <c r="L17" i="8" s="1"/>
  <c r="N38" i="12"/>
  <c r="E33" i="8"/>
  <c r="H33" i="8" s="1"/>
  <c r="N65" i="12"/>
  <c r="I65" i="12"/>
  <c r="E56" i="8"/>
  <c r="H56" i="8" s="1"/>
  <c r="N28" i="12"/>
  <c r="E25" i="8"/>
  <c r="H25" i="8" s="1"/>
  <c r="N64" i="12"/>
  <c r="E55" i="8"/>
  <c r="H55" i="8" s="1"/>
  <c r="N73" i="12"/>
  <c r="E63" i="8"/>
  <c r="H63" i="8" s="1"/>
  <c r="N41" i="12"/>
  <c r="O47" i="12" s="1"/>
  <c r="E35" i="8"/>
  <c r="H35" i="8" s="1"/>
  <c r="N63" i="12"/>
  <c r="I63" i="12"/>
  <c r="E54" i="8"/>
  <c r="H54" i="8" s="1"/>
  <c r="N45" i="12"/>
  <c r="E39" i="8"/>
  <c r="H39" i="8" s="1"/>
  <c r="N34" i="12"/>
  <c r="O40" i="12" s="1"/>
  <c r="E29" i="8"/>
  <c r="H29" i="8" s="1"/>
  <c r="N72" i="12"/>
  <c r="I72" i="12"/>
  <c r="E62" i="8"/>
  <c r="H62" i="8" s="1"/>
  <c r="N69" i="12"/>
  <c r="E59" i="8"/>
  <c r="H59" i="8" s="1"/>
  <c r="H40" i="8"/>
  <c r="H28" i="8"/>
  <c r="N14" i="12"/>
  <c r="O14" i="12" s="1"/>
  <c r="E14" i="8"/>
  <c r="H14" i="8" s="1"/>
  <c r="I14" i="8" s="1"/>
  <c r="L14" i="8" s="1"/>
  <c r="I14" i="12"/>
  <c r="J14" i="12" s="1"/>
  <c r="N67" i="12"/>
  <c r="I67" i="12"/>
  <c r="E58" i="8"/>
  <c r="H58" i="8" s="1"/>
  <c r="N22" i="12"/>
  <c r="E21" i="8"/>
  <c r="H21" i="8" s="1"/>
  <c r="N18" i="12"/>
  <c r="E18" i="8"/>
  <c r="H18" i="8" s="1"/>
  <c r="I18" i="12"/>
  <c r="A22" i="2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P27" i="12"/>
  <c r="P54" i="12"/>
  <c r="P82" i="12"/>
  <c r="O16" i="12"/>
  <c r="O13" i="12"/>
  <c r="D18" i="12"/>
  <c r="D18" i="8"/>
  <c r="F18" i="12"/>
  <c r="G22" i="13" l="1"/>
  <c r="H22" i="13" s="1"/>
  <c r="N59" i="3"/>
  <c r="G69" i="13"/>
  <c r="H69" i="13" s="1"/>
  <c r="N62" i="3"/>
  <c r="G72" i="13"/>
  <c r="H72" i="13" s="1"/>
  <c r="N55" i="3"/>
  <c r="G64" i="13"/>
  <c r="H64" i="13" s="1"/>
  <c r="N17" i="3"/>
  <c r="G17" i="13"/>
  <c r="H17" i="13" s="1"/>
  <c r="Z16" i="13"/>
  <c r="V16" i="13"/>
  <c r="N29" i="3"/>
  <c r="G34" i="13"/>
  <c r="N15" i="3"/>
  <c r="G15" i="13"/>
  <c r="H15" i="13" s="1"/>
  <c r="Z31" i="13"/>
  <c r="V31" i="13"/>
  <c r="Z37" i="13"/>
  <c r="V37" i="13"/>
  <c r="Z70" i="13"/>
  <c r="V70" i="13"/>
  <c r="Z35" i="13"/>
  <c r="V35" i="13"/>
  <c r="N58" i="3"/>
  <c r="G67" i="13"/>
  <c r="H67" i="13" s="1"/>
  <c r="N26" i="3"/>
  <c r="G29" i="13"/>
  <c r="H29" i="13" s="1"/>
  <c r="N53" i="3"/>
  <c r="G62" i="13"/>
  <c r="H62" i="13" s="1"/>
  <c r="N25" i="3"/>
  <c r="G28" i="13"/>
  <c r="H28" i="13" s="1"/>
  <c r="N22" i="3"/>
  <c r="G23" i="13"/>
  <c r="H23" i="13" s="1"/>
  <c r="N37" i="3"/>
  <c r="G43" i="13"/>
  <c r="H43" i="13" s="1"/>
  <c r="N39" i="3"/>
  <c r="G45" i="13"/>
  <c r="H45" i="13" s="1"/>
  <c r="AD13" i="13"/>
  <c r="N14" i="3"/>
  <c r="G14" i="13"/>
  <c r="H14" i="13" s="1"/>
  <c r="N64" i="3"/>
  <c r="G74" i="13"/>
  <c r="H74" i="13" s="1"/>
  <c r="N35" i="3"/>
  <c r="G41" i="13"/>
  <c r="H41" i="13" s="1"/>
  <c r="Z41" i="13" s="1"/>
  <c r="N56" i="3"/>
  <c r="G65" i="13"/>
  <c r="H65" i="13" s="1"/>
  <c r="N38" i="3"/>
  <c r="G44" i="13"/>
  <c r="H44" i="13" s="1"/>
  <c r="N57" i="3"/>
  <c r="G66" i="13"/>
  <c r="H66" i="13" s="1"/>
  <c r="Z39" i="13"/>
  <c r="V39" i="13"/>
  <c r="Z46" i="13"/>
  <c r="V46" i="13"/>
  <c r="Z36" i="13"/>
  <c r="V36" i="13"/>
  <c r="Z42" i="13"/>
  <c r="V42" i="13"/>
  <c r="Z32" i="13"/>
  <c r="V32" i="13"/>
  <c r="N18" i="3"/>
  <c r="G18" i="13"/>
  <c r="H18" i="13" s="1"/>
  <c r="N54" i="3"/>
  <c r="G63" i="13"/>
  <c r="H63" i="13" s="1"/>
  <c r="N20" i="3"/>
  <c r="G20" i="13"/>
  <c r="H20" i="13" s="1"/>
  <c r="N63" i="3"/>
  <c r="G73" i="13"/>
  <c r="H73" i="13" s="1"/>
  <c r="N33" i="3"/>
  <c r="G38" i="13"/>
  <c r="H38" i="13" s="1"/>
  <c r="N61" i="3"/>
  <c r="G71" i="13"/>
  <c r="H71" i="13" s="1"/>
  <c r="N19" i="3"/>
  <c r="G19" i="13"/>
  <c r="H19" i="13" s="1"/>
  <c r="I41" i="12"/>
  <c r="J47" i="12" s="1"/>
  <c r="P47" i="12" s="1"/>
  <c r="I38" i="12"/>
  <c r="I17" i="12"/>
  <c r="J17" i="12" s="1"/>
  <c r="I66" i="12"/>
  <c r="I22" i="12"/>
  <c r="I45" i="12"/>
  <c r="I71" i="12"/>
  <c r="I43" i="12"/>
  <c r="I15" i="12"/>
  <c r="J15" i="12" s="1"/>
  <c r="I34" i="12"/>
  <c r="J40" i="12" s="1"/>
  <c r="P40" i="12" s="1"/>
  <c r="I19" i="12"/>
  <c r="I62" i="12"/>
  <c r="I69" i="12"/>
  <c r="I73" i="12"/>
  <c r="I64" i="12"/>
  <c r="I28" i="12"/>
  <c r="J30" i="12"/>
  <c r="O30" i="12"/>
  <c r="N16" i="3"/>
  <c r="L29" i="8"/>
  <c r="I29" i="8"/>
  <c r="I35" i="8"/>
  <c r="I25" i="8"/>
  <c r="L25" i="8"/>
  <c r="L35" i="8"/>
  <c r="I18" i="8"/>
  <c r="L18" i="8" s="1"/>
  <c r="P14" i="12"/>
  <c r="P13" i="12"/>
  <c r="O18" i="12"/>
  <c r="J18" i="12"/>
  <c r="P16" i="12"/>
  <c r="H34" i="13" l="1"/>
  <c r="V34" i="13"/>
  <c r="AH13" i="13"/>
  <c r="AI13" i="13"/>
  <c r="P17" i="12"/>
  <c r="AD35" i="13"/>
  <c r="AI35" i="13" s="1"/>
  <c r="AD42" i="13"/>
  <c r="AI42" i="13" s="1"/>
  <c r="AD46" i="13"/>
  <c r="Z15" i="13"/>
  <c r="V15" i="13"/>
  <c r="Z64" i="13"/>
  <c r="V64" i="13"/>
  <c r="Z69" i="13"/>
  <c r="V69" i="13"/>
  <c r="Z71" i="13"/>
  <c r="V71" i="13"/>
  <c r="Z73" i="13"/>
  <c r="V73" i="13"/>
  <c r="Z63" i="13"/>
  <c r="V63" i="13"/>
  <c r="Z44" i="13"/>
  <c r="V44" i="13"/>
  <c r="V41" i="13"/>
  <c r="AD41" i="13" s="1"/>
  <c r="Z14" i="13"/>
  <c r="V14" i="13"/>
  <c r="Z45" i="13"/>
  <c r="V45" i="13"/>
  <c r="Z23" i="13"/>
  <c r="V23" i="13"/>
  <c r="Z62" i="13"/>
  <c r="V62" i="13"/>
  <c r="Z67" i="13"/>
  <c r="V67" i="13"/>
  <c r="AD37" i="13"/>
  <c r="AI37" i="13" s="1"/>
  <c r="AI38" i="13" s="1"/>
  <c r="AI39" i="13" s="1"/>
  <c r="AD16" i="13"/>
  <c r="AI16" i="13" s="1"/>
  <c r="AD32" i="13"/>
  <c r="AD36" i="13"/>
  <c r="AI36" i="13" s="1"/>
  <c r="AD39" i="13"/>
  <c r="V33" i="13"/>
  <c r="Z34" i="13"/>
  <c r="Z17" i="13"/>
  <c r="V17" i="13"/>
  <c r="Z72" i="13"/>
  <c r="V72" i="13"/>
  <c r="Z22" i="13"/>
  <c r="V22" i="13"/>
  <c r="Z19" i="13"/>
  <c r="V19" i="13"/>
  <c r="Z38" i="13"/>
  <c r="V38" i="13"/>
  <c r="Z20" i="13"/>
  <c r="V20" i="13"/>
  <c r="Z18" i="13"/>
  <c r="V18" i="13"/>
  <c r="Z66" i="13"/>
  <c r="V66" i="13"/>
  <c r="Z65" i="13"/>
  <c r="V65" i="13"/>
  <c r="Z74" i="13"/>
  <c r="V74" i="13"/>
  <c r="Z43" i="13"/>
  <c r="V43" i="13"/>
  <c r="Z28" i="13"/>
  <c r="V28" i="13"/>
  <c r="Z29" i="13"/>
  <c r="V29" i="13"/>
  <c r="AD70" i="13"/>
  <c r="AI70" i="13" s="1"/>
  <c r="AI71" i="13" s="1"/>
  <c r="AI72" i="13" s="1"/>
  <c r="AI73" i="13" s="1"/>
  <c r="AI74" i="13" s="1"/>
  <c r="Z33" i="13"/>
  <c r="AD31" i="13"/>
  <c r="P15" i="12"/>
  <c r="P30" i="12"/>
  <c r="P18" i="12"/>
  <c r="D20" i="8"/>
  <c r="V21" i="13" l="1"/>
  <c r="AH16" i="13"/>
  <c r="V40" i="13"/>
  <c r="V75" i="13"/>
  <c r="AD28" i="13"/>
  <c r="AI28" i="13" s="1"/>
  <c r="AD74" i="13"/>
  <c r="AD66" i="13"/>
  <c r="Z21" i="13"/>
  <c r="AD20" i="13"/>
  <c r="AI20" i="13" s="1"/>
  <c r="AD19" i="13"/>
  <c r="AI19" i="13" s="1"/>
  <c r="AD72" i="13"/>
  <c r="AD34" i="13"/>
  <c r="AI34" i="13" s="1"/>
  <c r="Z40" i="13"/>
  <c r="AD67" i="13"/>
  <c r="AD23" i="13"/>
  <c r="AD14" i="13"/>
  <c r="AD44" i="13"/>
  <c r="AD73" i="13"/>
  <c r="Z75" i="13"/>
  <c r="AD69" i="13"/>
  <c r="AI69" i="13" s="1"/>
  <c r="AD15" i="13"/>
  <c r="AI15" i="13" s="1"/>
  <c r="V30" i="13"/>
  <c r="V24" i="13"/>
  <c r="V68" i="13"/>
  <c r="V47" i="13"/>
  <c r="AD33" i="13"/>
  <c r="Z30" i="13"/>
  <c r="AD29" i="13"/>
  <c r="AI29" i="13" s="1"/>
  <c r="AD43" i="13"/>
  <c r="AI43" i="13" s="1"/>
  <c r="AI44" i="13" s="1"/>
  <c r="AI45" i="13" s="1"/>
  <c r="AI46" i="13" s="1"/>
  <c r="AD65" i="13"/>
  <c r="AI65" i="13" s="1"/>
  <c r="AI66" i="13" s="1"/>
  <c r="AI67" i="13" s="1"/>
  <c r="AD18" i="13"/>
  <c r="AI18" i="13" s="1"/>
  <c r="AD38" i="13"/>
  <c r="Z24" i="13"/>
  <c r="AD22" i="13"/>
  <c r="AD17" i="13"/>
  <c r="AI17" i="13" s="1"/>
  <c r="AD62" i="13"/>
  <c r="AI62" i="13" s="1"/>
  <c r="Z68" i="13"/>
  <c r="AD45" i="13"/>
  <c r="AI41" i="13"/>
  <c r="Z47" i="13"/>
  <c r="AD63" i="13"/>
  <c r="AI63" i="13" s="1"/>
  <c r="AD71" i="13"/>
  <c r="AD64" i="13"/>
  <c r="AI64" i="13" s="1"/>
  <c r="D19" i="12"/>
  <c r="D19" i="8"/>
  <c r="F19" i="12"/>
  <c r="D20" i="12"/>
  <c r="Z3" i="13" l="1"/>
  <c r="AB5" i="13" s="1"/>
  <c r="V3" i="13"/>
  <c r="X5" i="13" s="1"/>
  <c r="AI23" i="13"/>
  <c r="AI32" i="13"/>
  <c r="AI31" i="13"/>
  <c r="AI22" i="13"/>
  <c r="AH14" i="13"/>
  <c r="AI14" i="13"/>
  <c r="AH15" i="13"/>
  <c r="AH17" i="13"/>
  <c r="AH18" i="13"/>
  <c r="AD24" i="13"/>
  <c r="AD68" i="13"/>
  <c r="AI68" i="13" s="1"/>
  <c r="AD30" i="13"/>
  <c r="AI30" i="13" s="1"/>
  <c r="AD75" i="13"/>
  <c r="AI75" i="13" s="1"/>
  <c r="AD21" i="13"/>
  <c r="AI21" i="13" s="1"/>
  <c r="AD47" i="13"/>
  <c r="AI47" i="13" s="1"/>
  <c r="AD40" i="13"/>
  <c r="O21" i="12"/>
  <c r="J21" i="12"/>
  <c r="I19" i="8"/>
  <c r="L19" i="8"/>
  <c r="F22" i="12"/>
  <c r="E74" i="1"/>
  <c r="D55" i="8"/>
  <c r="D62" i="8"/>
  <c r="D54" i="8"/>
  <c r="AD3" i="13" l="1"/>
  <c r="AF5" i="13" s="1"/>
  <c r="AI40" i="13"/>
  <c r="AH21" i="13"/>
  <c r="AH30" i="13"/>
  <c r="AH47" i="13"/>
  <c r="AH75" i="13"/>
  <c r="AH68" i="13"/>
  <c r="AH40" i="13"/>
  <c r="P21" i="12"/>
  <c r="O24" i="12"/>
  <c r="J24" i="12"/>
  <c r="D57" i="8"/>
  <c r="D64" i="8"/>
  <c r="D67" i="12"/>
  <c r="D58" i="8"/>
  <c r="D56" i="8"/>
  <c r="D28" i="8"/>
  <c r="D64" i="12"/>
  <c r="F62" i="12"/>
  <c r="D62" i="12"/>
  <c r="D23" i="12"/>
  <c r="D22" i="8"/>
  <c r="D53" i="8"/>
  <c r="D63" i="8"/>
  <c r="D73" i="12"/>
  <c r="D69" i="12"/>
  <c r="D59" i="8"/>
  <c r="D32" i="12"/>
  <c r="D27" i="8"/>
  <c r="F69" i="12"/>
  <c r="D60" i="8"/>
  <c r="D70" i="12"/>
  <c r="D63" i="12"/>
  <c r="D71" i="12"/>
  <c r="D61" i="8"/>
  <c r="D65" i="12"/>
  <c r="D74" i="12"/>
  <c r="D66" i="12"/>
  <c r="D72" i="12"/>
  <c r="D31" i="12"/>
  <c r="AL3" i="13" l="1"/>
  <c r="AL6" i="13" s="1"/>
  <c r="AL9" i="13" s="1"/>
  <c r="P24" i="12"/>
  <c r="O75" i="12"/>
  <c r="J75" i="12"/>
  <c r="O68" i="12"/>
  <c r="J68" i="12"/>
  <c r="L53" i="8"/>
  <c r="I53" i="8"/>
  <c r="I27" i="8"/>
  <c r="L27" i="8"/>
  <c r="I59" i="8"/>
  <c r="L59" i="8"/>
  <c r="D22" i="12"/>
  <c r="D21" i="8"/>
  <c r="P68" i="12" l="1"/>
  <c r="P75" i="12"/>
  <c r="L21" i="8"/>
  <c r="D75" i="8"/>
  <c r="I21" i="8"/>
  <c r="H13" i="8" l="1"/>
  <c r="I13" i="8" s="1"/>
  <c r="L13" i="8" s="1"/>
  <c r="N75" i="8" l="1"/>
  <c r="O47" i="8" s="1"/>
  <c r="Q75" i="8"/>
  <c r="R47" i="8" s="1"/>
  <c r="T75" i="8"/>
  <c r="U47" i="8" s="1"/>
  <c r="L75" i="8"/>
  <c r="I75" i="8"/>
  <c r="S51" i="8" l="1"/>
  <c r="P51" i="3" s="1"/>
  <c r="S49" i="8"/>
  <c r="P49" i="3" s="1"/>
  <c r="S47" i="8"/>
  <c r="P47" i="3" s="1"/>
  <c r="S52" i="8"/>
  <c r="P52" i="3" s="1"/>
  <c r="S50" i="8"/>
  <c r="P50" i="3" s="1"/>
  <c r="S48" i="8"/>
  <c r="P48" i="3" s="1"/>
  <c r="V49" i="8"/>
  <c r="Q49" i="3" s="1"/>
  <c r="V47" i="8"/>
  <c r="Q47" i="3" s="1"/>
  <c r="V52" i="8"/>
  <c r="Q52" i="3" s="1"/>
  <c r="V50" i="8"/>
  <c r="Q50" i="3" s="1"/>
  <c r="V48" i="8"/>
  <c r="Q48" i="3" s="1"/>
  <c r="V51" i="8"/>
  <c r="Q51" i="3" s="1"/>
  <c r="P51" i="8"/>
  <c r="O51" i="3" s="1"/>
  <c r="P49" i="8"/>
  <c r="O49" i="3" s="1"/>
  <c r="P52" i="8"/>
  <c r="O52" i="3" s="1"/>
  <c r="P50" i="8"/>
  <c r="P48" i="8"/>
  <c r="O48" i="3" s="1"/>
  <c r="P47" i="8"/>
  <c r="O47" i="3" s="1"/>
  <c r="U71" i="8"/>
  <c r="V71" i="8" s="1"/>
  <c r="U17" i="8"/>
  <c r="U27" i="8"/>
  <c r="U16" i="8"/>
  <c r="V16" i="8" s="1"/>
  <c r="U18" i="8"/>
  <c r="U29" i="8"/>
  <c r="U23" i="8"/>
  <c r="U35" i="8"/>
  <c r="U19" i="8"/>
  <c r="U14" i="8"/>
  <c r="U21" i="8"/>
  <c r="U15" i="8"/>
  <c r="V15" i="8" s="1"/>
  <c r="U25" i="8"/>
  <c r="U72" i="8"/>
  <c r="V72" i="8" s="1"/>
  <c r="U53" i="8"/>
  <c r="U59" i="8"/>
  <c r="U41" i="8"/>
  <c r="U65" i="8"/>
  <c r="O18" i="8"/>
  <c r="O19" i="8"/>
  <c r="O35" i="8"/>
  <c r="O17" i="8"/>
  <c r="O21" i="8"/>
  <c r="O41" i="8"/>
  <c r="O53" i="8"/>
  <c r="O65" i="8"/>
  <c r="O27" i="8"/>
  <c r="O71" i="8"/>
  <c r="P71" i="8" s="1"/>
  <c r="O72" i="8"/>
  <c r="P72" i="8" s="1"/>
  <c r="O25" i="8"/>
  <c r="O59" i="8"/>
  <c r="O29" i="8"/>
  <c r="O15" i="8"/>
  <c r="P15" i="8" s="1"/>
  <c r="O16" i="8"/>
  <c r="P16" i="8" s="1"/>
  <c r="O23" i="8"/>
  <c r="O14" i="8"/>
  <c r="O13" i="8"/>
  <c r="R18" i="8"/>
  <c r="R16" i="8"/>
  <c r="S16" i="8" s="1"/>
  <c r="R71" i="8"/>
  <c r="S71" i="8" s="1"/>
  <c r="R72" i="8"/>
  <c r="S72" i="8" s="1"/>
  <c r="R17" i="8"/>
  <c r="R14" i="8"/>
  <c r="R59" i="8"/>
  <c r="R35" i="8"/>
  <c r="R19" i="8"/>
  <c r="R23" i="8"/>
  <c r="R15" i="8"/>
  <c r="S15" i="8" s="1"/>
  <c r="R53" i="8"/>
  <c r="R21" i="8"/>
  <c r="R29" i="8"/>
  <c r="R65" i="8"/>
  <c r="R25" i="8"/>
  <c r="R27" i="8"/>
  <c r="R41" i="8"/>
  <c r="U13" i="8"/>
  <c r="R13" i="8"/>
  <c r="K60" i="12" l="1"/>
  <c r="K57" i="12"/>
  <c r="K59" i="12"/>
  <c r="K55" i="12"/>
  <c r="K56" i="12"/>
  <c r="Y50" i="8"/>
  <c r="O50" i="3"/>
  <c r="K58" i="12" s="1"/>
  <c r="F52" i="11"/>
  <c r="F47" i="11"/>
  <c r="F49" i="11"/>
  <c r="F48" i="11"/>
  <c r="F51" i="11"/>
  <c r="Y49" i="8"/>
  <c r="Y48" i="8"/>
  <c r="Y52" i="8"/>
  <c r="Y47" i="8"/>
  <c r="Y51" i="8"/>
  <c r="P71" i="3"/>
  <c r="Q15" i="3"/>
  <c r="P16" i="3"/>
  <c r="Q72" i="3"/>
  <c r="P15" i="3"/>
  <c r="Q16" i="3"/>
  <c r="P72" i="3"/>
  <c r="Q71" i="3"/>
  <c r="S13" i="8"/>
  <c r="R75" i="8"/>
  <c r="S25" i="8"/>
  <c r="S26" i="8"/>
  <c r="S58" i="8"/>
  <c r="S54" i="8"/>
  <c r="S53" i="8"/>
  <c r="S56" i="8"/>
  <c r="S55" i="8"/>
  <c r="S57" i="8"/>
  <c r="S36" i="8"/>
  <c r="S38" i="8"/>
  <c r="S37" i="8"/>
  <c r="S39" i="8"/>
  <c r="S35" i="8"/>
  <c r="S40" i="8"/>
  <c r="O75" i="8"/>
  <c r="P13" i="8"/>
  <c r="O13" i="3" s="1"/>
  <c r="Y15" i="8"/>
  <c r="O15" i="3"/>
  <c r="Y72" i="8"/>
  <c r="O72" i="3"/>
  <c r="P54" i="8"/>
  <c r="P58" i="8"/>
  <c r="P55" i="8"/>
  <c r="P57" i="8"/>
  <c r="P53" i="8"/>
  <c r="P56" i="8"/>
  <c r="P37" i="8"/>
  <c r="P36" i="8"/>
  <c r="P39" i="8"/>
  <c r="P38" i="8"/>
  <c r="P40" i="8"/>
  <c r="P35" i="8"/>
  <c r="V44" i="8"/>
  <c r="V45" i="8"/>
  <c r="V46" i="8"/>
  <c r="V41" i="8"/>
  <c r="V43" i="8"/>
  <c r="V42" i="8"/>
  <c r="V25" i="8"/>
  <c r="V26" i="8"/>
  <c r="V19" i="8"/>
  <c r="V20" i="8"/>
  <c r="V18" i="8"/>
  <c r="U75" i="8"/>
  <c r="V13" i="8"/>
  <c r="S66" i="8"/>
  <c r="S70" i="8"/>
  <c r="S69" i="8"/>
  <c r="S68" i="8"/>
  <c r="S65" i="8"/>
  <c r="S67" i="8"/>
  <c r="S63" i="8"/>
  <c r="S64" i="8"/>
  <c r="S61" i="8"/>
  <c r="S62" i="8"/>
  <c r="S60" i="8"/>
  <c r="S59" i="8"/>
  <c r="P14" i="8"/>
  <c r="P34" i="8"/>
  <c r="P32" i="8"/>
  <c r="P33" i="8"/>
  <c r="P29" i="8"/>
  <c r="P31" i="8"/>
  <c r="P30" i="8"/>
  <c r="Y71" i="8"/>
  <c r="O71" i="3"/>
  <c r="P45" i="8"/>
  <c r="P46" i="8"/>
  <c r="P44" i="8"/>
  <c r="P42" i="8"/>
  <c r="P43" i="8"/>
  <c r="P41" i="8"/>
  <c r="P20" i="8"/>
  <c r="P19" i="8"/>
  <c r="V60" i="8"/>
  <c r="V63" i="8"/>
  <c r="V64" i="8"/>
  <c r="V59" i="8"/>
  <c r="V61" i="8"/>
  <c r="V62" i="8"/>
  <c r="V37" i="8"/>
  <c r="V39" i="8"/>
  <c r="V40" i="8"/>
  <c r="V35" i="8"/>
  <c r="V36" i="8"/>
  <c r="V38" i="8"/>
  <c r="S43" i="8"/>
  <c r="S42" i="8"/>
  <c r="S46" i="8"/>
  <c r="S45" i="8"/>
  <c r="S41" i="8"/>
  <c r="S44" i="8"/>
  <c r="S34" i="8"/>
  <c r="S29" i="8"/>
  <c r="S32" i="8"/>
  <c r="S31" i="8"/>
  <c r="S33" i="8"/>
  <c r="S30" i="8"/>
  <c r="S24" i="8"/>
  <c r="S23" i="8"/>
  <c r="S14" i="8"/>
  <c r="P23" i="8"/>
  <c r="P24" i="8"/>
  <c r="P60" i="8"/>
  <c r="P62" i="8"/>
  <c r="P59" i="8"/>
  <c r="P64" i="8"/>
  <c r="P61" i="8"/>
  <c r="P63" i="8"/>
  <c r="P27" i="8"/>
  <c r="P28" i="8"/>
  <c r="P22" i="8"/>
  <c r="P21" i="8"/>
  <c r="P18" i="8"/>
  <c r="V56" i="8"/>
  <c r="V55" i="8"/>
  <c r="V57" i="8"/>
  <c r="V54" i="8"/>
  <c r="V58" i="8"/>
  <c r="V53" i="8"/>
  <c r="V21" i="8"/>
  <c r="V22" i="8"/>
  <c r="V24" i="8"/>
  <c r="V23" i="8"/>
  <c r="V27" i="8"/>
  <c r="V28" i="8"/>
  <c r="S27" i="8"/>
  <c r="S28" i="8"/>
  <c r="S22" i="8"/>
  <c r="S21" i="8"/>
  <c r="S19" i="8"/>
  <c r="S20" i="8"/>
  <c r="S17" i="8"/>
  <c r="S18" i="8"/>
  <c r="Y16" i="8"/>
  <c r="O16" i="3"/>
  <c r="P25" i="8"/>
  <c r="P26" i="8"/>
  <c r="P67" i="8"/>
  <c r="P68" i="8"/>
  <c r="P65" i="8"/>
  <c r="P66" i="8"/>
  <c r="P70" i="8"/>
  <c r="P69" i="8"/>
  <c r="P17" i="8"/>
  <c r="V67" i="8"/>
  <c r="V68" i="8"/>
  <c r="V66" i="8"/>
  <c r="V70" i="8"/>
  <c r="V69" i="8"/>
  <c r="V65" i="8"/>
  <c r="V14" i="8"/>
  <c r="V30" i="8"/>
  <c r="V32" i="8"/>
  <c r="V29" i="8"/>
  <c r="V34" i="8"/>
  <c r="V33" i="8"/>
  <c r="V31" i="8"/>
  <c r="V17" i="8"/>
  <c r="R15" i="3" l="1"/>
  <c r="L61" i="12"/>
  <c r="M61" i="12" s="1"/>
  <c r="K84" i="12"/>
  <c r="F50" i="11"/>
  <c r="R51" i="3"/>
  <c r="R50" i="3"/>
  <c r="R52" i="3"/>
  <c r="R49" i="3"/>
  <c r="R47" i="3"/>
  <c r="R48" i="3"/>
  <c r="K16" i="12"/>
  <c r="Q24" i="3"/>
  <c r="Q55" i="3"/>
  <c r="P31" i="3"/>
  <c r="Q35" i="3"/>
  <c r="Q63" i="3"/>
  <c r="P65" i="3"/>
  <c r="Q18" i="3"/>
  <c r="P36" i="3"/>
  <c r="P25" i="3"/>
  <c r="Q31" i="3"/>
  <c r="P18" i="3"/>
  <c r="Q28" i="3"/>
  <c r="Q58" i="3"/>
  <c r="Q56" i="3"/>
  <c r="P32" i="3"/>
  <c r="Q40" i="3"/>
  <c r="Q60" i="3"/>
  <c r="P64" i="3"/>
  <c r="Q25" i="3"/>
  <c r="Q46" i="3"/>
  <c r="P57" i="3"/>
  <c r="Q33" i="3"/>
  <c r="Q65" i="3"/>
  <c r="Q68" i="3"/>
  <c r="P20" i="3"/>
  <c r="P22" i="3"/>
  <c r="Q27" i="3"/>
  <c r="Q21" i="3"/>
  <c r="Q54" i="3"/>
  <c r="P14" i="3"/>
  <c r="P30" i="3"/>
  <c r="P29" i="3"/>
  <c r="P45" i="3"/>
  <c r="Q38" i="3"/>
  <c r="Q39" i="3"/>
  <c r="Q59" i="3"/>
  <c r="K83" i="12"/>
  <c r="P60" i="3"/>
  <c r="P63" i="3"/>
  <c r="P69" i="3"/>
  <c r="Q13" i="3"/>
  <c r="Q20" i="3"/>
  <c r="Q42" i="3"/>
  <c r="Q45" i="3"/>
  <c r="K15" i="12"/>
  <c r="P37" i="3"/>
  <c r="P55" i="3"/>
  <c r="P58" i="3"/>
  <c r="Q29" i="3"/>
  <c r="Q70" i="3"/>
  <c r="P21" i="3"/>
  <c r="P27" i="3"/>
  <c r="Q53" i="3"/>
  <c r="P23" i="3"/>
  <c r="P44" i="3"/>
  <c r="P42" i="3"/>
  <c r="Q62" i="3"/>
  <c r="P61" i="3"/>
  <c r="P66" i="3"/>
  <c r="Q26" i="3"/>
  <c r="Q41" i="3"/>
  <c r="P35" i="3"/>
  <c r="P53" i="3"/>
  <c r="Q32" i="3"/>
  <c r="Q66" i="3"/>
  <c r="Q22" i="3"/>
  <c r="P24" i="3"/>
  <c r="P41" i="3"/>
  <c r="P43" i="3"/>
  <c r="Q61" i="3"/>
  <c r="P59" i="3"/>
  <c r="P68" i="3"/>
  <c r="P39" i="3"/>
  <c r="P54" i="3"/>
  <c r="Q17" i="3"/>
  <c r="Q30" i="3"/>
  <c r="Q34" i="3"/>
  <c r="Q14" i="3"/>
  <c r="Q69" i="3"/>
  <c r="Q67" i="3"/>
  <c r="P17" i="3"/>
  <c r="P19" i="3"/>
  <c r="P28" i="3"/>
  <c r="Q23" i="3"/>
  <c r="Q57" i="3"/>
  <c r="P33" i="3"/>
  <c r="P34" i="3"/>
  <c r="P46" i="3"/>
  <c r="Q36" i="3"/>
  <c r="Q37" i="3"/>
  <c r="Q64" i="3"/>
  <c r="P62" i="3"/>
  <c r="P67" i="3"/>
  <c r="P70" i="3"/>
  <c r="Q19" i="3"/>
  <c r="Q43" i="3"/>
  <c r="Q44" i="3"/>
  <c r="P40" i="3"/>
  <c r="P38" i="3"/>
  <c r="P56" i="3"/>
  <c r="P26" i="3"/>
  <c r="P13" i="3"/>
  <c r="R72" i="3"/>
  <c r="F72" i="11"/>
  <c r="R71" i="3"/>
  <c r="F71" i="11"/>
  <c r="F15" i="11"/>
  <c r="R16" i="3"/>
  <c r="F16" i="11"/>
  <c r="Y69" i="8"/>
  <c r="O69" i="3"/>
  <c r="O68" i="3"/>
  <c r="Y68" i="8"/>
  <c r="O18" i="3"/>
  <c r="Y18" i="8"/>
  <c r="Y61" i="8"/>
  <c r="O61" i="3"/>
  <c r="Y60" i="8"/>
  <c r="O60" i="3"/>
  <c r="Y19" i="8"/>
  <c r="O19" i="3"/>
  <c r="Y42" i="8"/>
  <c r="O42" i="3"/>
  <c r="O31" i="3"/>
  <c r="Y31" i="8"/>
  <c r="Y34" i="8"/>
  <c r="O34" i="3"/>
  <c r="Y40" i="8"/>
  <c r="O40" i="3"/>
  <c r="Y37" i="8"/>
  <c r="O37" i="3"/>
  <c r="Y55" i="8"/>
  <c r="O55" i="3"/>
  <c r="Y17" i="8"/>
  <c r="O17" i="3"/>
  <c r="Y70" i="8"/>
  <c r="O70" i="3"/>
  <c r="Y67" i="8"/>
  <c r="O67" i="3"/>
  <c r="Y28" i="8"/>
  <c r="O28" i="3"/>
  <c r="Y64" i="8"/>
  <c r="O64" i="3"/>
  <c r="O24" i="3"/>
  <c r="Y24" i="8"/>
  <c r="O20" i="3"/>
  <c r="Y20" i="8"/>
  <c r="Y44" i="8"/>
  <c r="O44" i="3"/>
  <c r="O29" i="3"/>
  <c r="Y29" i="8"/>
  <c r="O14" i="3"/>
  <c r="Y14" i="8"/>
  <c r="Y38" i="8"/>
  <c r="O38" i="3"/>
  <c r="Y56" i="8"/>
  <c r="O56" i="3"/>
  <c r="Y58" i="8"/>
  <c r="O58" i="3"/>
  <c r="Y13" i="8"/>
  <c r="Y66" i="8"/>
  <c r="O66" i="3"/>
  <c r="O26" i="3"/>
  <c r="Y26" i="8"/>
  <c r="Y21" i="8"/>
  <c r="O21" i="3"/>
  <c r="Y27" i="8"/>
  <c r="O27" i="3"/>
  <c r="Y59" i="8"/>
  <c r="O59" i="3"/>
  <c r="O23" i="3"/>
  <c r="Y23" i="8"/>
  <c r="Y41" i="8"/>
  <c r="O41" i="3"/>
  <c r="Y46" i="8"/>
  <c r="O46" i="3"/>
  <c r="Y33" i="8"/>
  <c r="O33" i="3"/>
  <c r="Y39" i="8"/>
  <c r="O39" i="3"/>
  <c r="Y53" i="8"/>
  <c r="O53" i="3"/>
  <c r="O54" i="3"/>
  <c r="Y54" i="8"/>
  <c r="O65" i="3"/>
  <c r="Y65" i="8"/>
  <c r="O25" i="3"/>
  <c r="Y25" i="8"/>
  <c r="O22" i="3"/>
  <c r="Y22" i="8"/>
  <c r="Y63" i="8"/>
  <c r="O63" i="3"/>
  <c r="O62" i="3"/>
  <c r="Y62" i="8"/>
  <c r="Y43" i="8"/>
  <c r="O43" i="3"/>
  <c r="O45" i="3"/>
  <c r="Y45" i="8"/>
  <c r="Y30" i="8"/>
  <c r="O30" i="3"/>
  <c r="O32" i="3"/>
  <c r="Y32" i="8"/>
  <c r="Y35" i="8"/>
  <c r="O35" i="3"/>
  <c r="O36" i="3"/>
  <c r="Y36" i="8"/>
  <c r="Y57" i="8"/>
  <c r="O57" i="3"/>
  <c r="R13" i="3" l="1"/>
  <c r="K38" i="12"/>
  <c r="K43" i="12"/>
  <c r="K71" i="12"/>
  <c r="K28" i="12"/>
  <c r="K25" i="12"/>
  <c r="K48" i="12"/>
  <c r="K67" i="12"/>
  <c r="K78" i="12"/>
  <c r="K34" i="12"/>
  <c r="K79" i="12"/>
  <c r="K69" i="12"/>
  <c r="K77" i="12"/>
  <c r="K44" i="12"/>
  <c r="K74" i="12"/>
  <c r="K17" i="12"/>
  <c r="K19" i="12"/>
  <c r="K23" i="12"/>
  <c r="K76" i="12"/>
  <c r="K20" i="12"/>
  <c r="K62" i="12"/>
  <c r="K22" i="12"/>
  <c r="K64" i="12"/>
  <c r="K80" i="12"/>
  <c r="K42" i="12"/>
  <c r="K52" i="12"/>
  <c r="K36" i="12"/>
  <c r="K66" i="12"/>
  <c r="K41" i="12"/>
  <c r="K35" i="12"/>
  <c r="K50" i="12"/>
  <c r="K73" i="12"/>
  <c r="K45" i="12"/>
  <c r="K53" i="12"/>
  <c r="K31" i="12"/>
  <c r="K65" i="12"/>
  <c r="K51" i="12"/>
  <c r="K32" i="12"/>
  <c r="K81" i="12"/>
  <c r="K46" i="12"/>
  <c r="K39" i="12"/>
  <c r="K49" i="12"/>
  <c r="K70" i="12"/>
  <c r="K37" i="12"/>
  <c r="K72" i="12"/>
  <c r="K63" i="12"/>
  <c r="K29" i="12"/>
  <c r="K14" i="12"/>
  <c r="K26" i="12"/>
  <c r="K18" i="12"/>
  <c r="R35" i="3"/>
  <c r="F35" i="11"/>
  <c r="R43" i="3"/>
  <c r="F43" i="11"/>
  <c r="R39" i="3"/>
  <c r="F39" i="11"/>
  <c r="R27" i="3"/>
  <c r="F27" i="11"/>
  <c r="R29" i="3"/>
  <c r="F29" i="11"/>
  <c r="R20" i="3"/>
  <c r="F20" i="11"/>
  <c r="R31" i="3"/>
  <c r="F31" i="11"/>
  <c r="R19" i="3"/>
  <c r="F19" i="11"/>
  <c r="R61" i="3"/>
  <c r="F61" i="11"/>
  <c r="R25" i="3"/>
  <c r="F25" i="11"/>
  <c r="R54" i="3"/>
  <c r="F54" i="11"/>
  <c r="R23" i="3"/>
  <c r="F23" i="11"/>
  <c r="F13" i="11"/>
  <c r="R56" i="3"/>
  <c r="F56" i="11"/>
  <c r="R44" i="3"/>
  <c r="F44" i="11"/>
  <c r="R28" i="3"/>
  <c r="F28" i="11"/>
  <c r="R70" i="3"/>
  <c r="F70" i="11"/>
  <c r="R55" i="3"/>
  <c r="F55" i="11"/>
  <c r="R40" i="3"/>
  <c r="F40" i="11"/>
  <c r="R34" i="3"/>
  <c r="F34" i="11"/>
  <c r="R68" i="3"/>
  <c r="F68" i="11"/>
  <c r="R53" i="3"/>
  <c r="F53" i="11"/>
  <c r="R33" i="3"/>
  <c r="F33" i="11"/>
  <c r="R41" i="3"/>
  <c r="F41" i="11"/>
  <c r="R59" i="3"/>
  <c r="F59" i="11"/>
  <c r="R21" i="3"/>
  <c r="F21" i="11"/>
  <c r="R26" i="3"/>
  <c r="F26" i="11"/>
  <c r="R14" i="3"/>
  <c r="F14" i="11"/>
  <c r="R24" i="3"/>
  <c r="F24" i="11"/>
  <c r="R42" i="3"/>
  <c r="F42" i="11"/>
  <c r="R60" i="3"/>
  <c r="F60" i="11"/>
  <c r="R69" i="3"/>
  <c r="F69" i="11"/>
  <c r="R57" i="3"/>
  <c r="F57" i="11"/>
  <c r="R30" i="3"/>
  <c r="F30" i="11"/>
  <c r="R63" i="3"/>
  <c r="F63" i="11"/>
  <c r="R46" i="3"/>
  <c r="F46" i="11"/>
  <c r="R36" i="3"/>
  <c r="F36" i="11"/>
  <c r="R32" i="3"/>
  <c r="F32" i="11"/>
  <c r="R45" i="3"/>
  <c r="F45" i="11"/>
  <c r="R62" i="3"/>
  <c r="F62" i="11"/>
  <c r="R22" i="3"/>
  <c r="F22" i="11"/>
  <c r="R65" i="3"/>
  <c r="F65" i="11"/>
  <c r="R66" i="3"/>
  <c r="F66" i="11"/>
  <c r="R58" i="3"/>
  <c r="F58" i="11"/>
  <c r="R38" i="3"/>
  <c r="F38" i="11"/>
  <c r="R64" i="3"/>
  <c r="F64" i="11"/>
  <c r="R67" i="3"/>
  <c r="F67" i="11"/>
  <c r="R17" i="3"/>
  <c r="F17" i="11"/>
  <c r="R37" i="3"/>
  <c r="F37" i="11"/>
  <c r="R18" i="3"/>
  <c r="F18" i="11"/>
  <c r="K13" i="12"/>
  <c r="L15" i="12"/>
  <c r="M15" i="12" s="1"/>
  <c r="L84" i="12"/>
  <c r="M84" i="12" s="1"/>
  <c r="L16" i="12"/>
  <c r="M16" i="12" s="1"/>
  <c r="Y73" i="8"/>
  <c r="Y74" i="8" s="1"/>
  <c r="L83" i="12"/>
  <c r="M83" i="12" s="1"/>
  <c r="L18" i="12" l="1"/>
  <c r="M18" i="12" s="1"/>
  <c r="L14" i="12"/>
  <c r="M14" i="12" s="1"/>
  <c r="L17" i="12"/>
  <c r="M17" i="12" s="1"/>
  <c r="L13" i="12"/>
  <c r="M13" i="12" s="1"/>
  <c r="L33" i="12"/>
  <c r="M33" i="12" s="1"/>
  <c r="L24" i="12"/>
  <c r="L75" i="12" l="1"/>
  <c r="M75" i="12" s="1"/>
  <c r="L54" i="12"/>
  <c r="M54" i="12" s="1"/>
  <c r="L27" i="12"/>
  <c r="M27" i="12" s="1"/>
  <c r="L30" i="12"/>
  <c r="M30" i="12" s="1"/>
  <c r="L21" i="12"/>
  <c r="M21" i="12" s="1"/>
  <c r="L68" i="12"/>
  <c r="M68" i="12" s="1"/>
  <c r="L82" i="12"/>
  <c r="M82" i="12" s="1"/>
  <c r="L40" i="12"/>
  <c r="M40" i="12" s="1"/>
  <c r="L47" i="12"/>
  <c r="M47" i="12" s="1"/>
  <c r="M24" i="12"/>
  <c r="H13" i="11" l="1"/>
  <c r="I13" i="11" s="1"/>
  <c r="Q13" i="12" l="1"/>
  <c r="R13" i="12" s="1"/>
  <c r="S13" i="12" s="1"/>
  <c r="H53" i="11" l="1"/>
  <c r="I53" i="11" s="1"/>
  <c r="H26" i="11"/>
  <c r="I26" i="11" s="1"/>
  <c r="Q29" i="12" s="1"/>
  <c r="H16" i="11"/>
  <c r="I16" i="11" s="1"/>
  <c r="H57" i="11"/>
  <c r="I57" i="11" s="1"/>
  <c r="H21" i="11"/>
  <c r="I21" i="11" s="1"/>
  <c r="Q22" i="12" s="1"/>
  <c r="R24" i="12" s="1"/>
  <c r="S24" i="12" s="1"/>
  <c r="H22" i="11"/>
  <c r="I22" i="11" s="1"/>
  <c r="Q23" i="12" s="1"/>
  <c r="H54" i="11"/>
  <c r="I54" i="11" s="1"/>
  <c r="H55" i="11"/>
  <c r="I55" i="11" s="1"/>
  <c r="H71" i="11"/>
  <c r="I71" i="11" s="1"/>
  <c r="H72" i="11"/>
  <c r="I72" i="11" s="1"/>
  <c r="Q84" i="12" l="1"/>
  <c r="R84" i="12" s="1"/>
  <c r="Q66" i="12"/>
  <c r="Q16" i="12"/>
  <c r="Q62" i="12"/>
  <c r="Q63" i="12"/>
  <c r="Q83" i="12"/>
  <c r="R83" i="12" s="1"/>
  <c r="Q64" i="12"/>
  <c r="H15" i="11"/>
  <c r="I15" i="11" s="1"/>
  <c r="H65" i="11"/>
  <c r="I65" i="11" s="1"/>
  <c r="H35" i="11"/>
  <c r="I35" i="11" s="1"/>
  <c r="Q41" i="12" s="1"/>
  <c r="H28" i="11"/>
  <c r="I28" i="11" s="1"/>
  <c r="Q32" i="12" s="1"/>
  <c r="H67" i="11"/>
  <c r="I67" i="11" s="1"/>
  <c r="H39" i="11"/>
  <c r="I39" i="11" s="1"/>
  <c r="Q45" i="12" s="1"/>
  <c r="H44" i="11"/>
  <c r="H43" i="11"/>
  <c r="H58" i="11"/>
  <c r="I58" i="11" s="1"/>
  <c r="H14" i="11"/>
  <c r="I14" i="11" s="1"/>
  <c r="H20" i="11"/>
  <c r="I20" i="11" s="1"/>
  <c r="Q20" i="12" s="1"/>
  <c r="H18" i="11"/>
  <c r="I18" i="11" s="1"/>
  <c r="Q18" i="12" s="1"/>
  <c r="R18" i="12" s="1"/>
  <c r="S18" i="12" s="1"/>
  <c r="H34" i="11"/>
  <c r="I34" i="11" s="1"/>
  <c r="Q39" i="12" s="1"/>
  <c r="H29" i="11"/>
  <c r="I29" i="11" s="1"/>
  <c r="Q34" i="12" s="1"/>
  <c r="H41" i="11"/>
  <c r="H19" i="11"/>
  <c r="I19" i="11" s="1"/>
  <c r="Q19" i="12" s="1"/>
  <c r="H38" i="11"/>
  <c r="I38" i="11" s="1"/>
  <c r="Q44" i="12" s="1"/>
  <c r="H62" i="11"/>
  <c r="I62" i="11" s="1"/>
  <c r="H24" i="11"/>
  <c r="I24" i="11" s="1"/>
  <c r="Q26" i="12" s="1"/>
  <c r="H17" i="11"/>
  <c r="I17" i="11" s="1"/>
  <c r="Q17" i="12" s="1"/>
  <c r="R17" i="12" s="1"/>
  <c r="S17" i="12" s="1"/>
  <c r="H31" i="11"/>
  <c r="I31" i="11" s="1"/>
  <c r="Q36" i="12" s="1"/>
  <c r="H60" i="11"/>
  <c r="I60" i="11" s="1"/>
  <c r="H64" i="11"/>
  <c r="I64" i="11" s="1"/>
  <c r="H37" i="11"/>
  <c r="I37" i="11" s="1"/>
  <c r="Q43" i="12" s="1"/>
  <c r="H25" i="11"/>
  <c r="I25" i="11" s="1"/>
  <c r="Q28" i="12" s="1"/>
  <c r="R30" i="12" s="1"/>
  <c r="S30" i="12" s="1"/>
  <c r="H36" i="11"/>
  <c r="I36" i="11" s="1"/>
  <c r="Q42" i="12" s="1"/>
  <c r="H63" i="11"/>
  <c r="I63" i="11" s="1"/>
  <c r="H32" i="11"/>
  <c r="I32" i="11" s="1"/>
  <c r="Q37" i="12" s="1"/>
  <c r="H45" i="11"/>
  <c r="H33" i="11"/>
  <c r="I33" i="11" s="1"/>
  <c r="Q38" i="12" s="1"/>
  <c r="H23" i="11"/>
  <c r="I23" i="11" s="1"/>
  <c r="Q25" i="12" s="1"/>
  <c r="H46" i="11"/>
  <c r="H30" i="11"/>
  <c r="I30" i="11" s="1"/>
  <c r="Q35" i="12" s="1"/>
  <c r="H40" i="11"/>
  <c r="I40" i="11" s="1"/>
  <c r="Q46" i="12" s="1"/>
  <c r="H42" i="11"/>
  <c r="H66" i="11"/>
  <c r="I66" i="11" s="1"/>
  <c r="H61" i="11"/>
  <c r="I61" i="11" s="1"/>
  <c r="H27" i="11"/>
  <c r="I27" i="11" s="1"/>
  <c r="Q31" i="12" s="1"/>
  <c r="R33" i="12" s="1"/>
  <c r="S33" i="12" s="1"/>
  <c r="H70" i="11"/>
  <c r="I70" i="11" s="1"/>
  <c r="H69" i="11"/>
  <c r="I69" i="11" s="1"/>
  <c r="H59" i="11"/>
  <c r="I59" i="11" s="1"/>
  <c r="H68" i="11"/>
  <c r="I68" i="11" s="1"/>
  <c r="H56" i="11"/>
  <c r="I56" i="11" s="1"/>
  <c r="R21" i="12" l="1"/>
  <c r="S21" i="12" s="1"/>
  <c r="S16" i="12"/>
  <c r="H49" i="11"/>
  <c r="I49" i="11" s="1"/>
  <c r="I43" i="11"/>
  <c r="H50" i="11"/>
  <c r="I50" i="11" s="1"/>
  <c r="I44" i="11"/>
  <c r="Q14" i="12"/>
  <c r="S14" i="12" s="1"/>
  <c r="Q81" i="12"/>
  <c r="Q79" i="12"/>
  <c r="Q69" i="12"/>
  <c r="H51" i="11"/>
  <c r="I51" i="11" s="1"/>
  <c r="I45" i="11"/>
  <c r="Q76" i="12"/>
  <c r="Q73" i="12"/>
  <c r="Q65" i="12"/>
  <c r="R68" i="12" s="1"/>
  <c r="S68" i="12" s="1"/>
  <c r="Q80" i="12"/>
  <c r="Q71" i="12"/>
  <c r="Q74" i="12"/>
  <c r="H47" i="11"/>
  <c r="I47" i="11" s="1"/>
  <c r="Q55" i="12" s="1"/>
  <c r="I41" i="11"/>
  <c r="Q48" i="12" s="1"/>
  <c r="R40" i="12"/>
  <c r="S40" i="12" s="1"/>
  <c r="Q67" i="12"/>
  <c r="R47" i="12"/>
  <c r="S47" i="12" s="1"/>
  <c r="Q15" i="12"/>
  <c r="Q72" i="12"/>
  <c r="Q77" i="12"/>
  <c r="H52" i="11"/>
  <c r="I52" i="11" s="1"/>
  <c r="I46" i="11"/>
  <c r="Q70" i="12"/>
  <c r="H48" i="11"/>
  <c r="I48" i="11" s="1"/>
  <c r="Q56" i="12" s="1"/>
  <c r="I42" i="11"/>
  <c r="Q49" i="12" s="1"/>
  <c r="R27" i="12"/>
  <c r="S27" i="12" s="1"/>
  <c r="Q78" i="12"/>
  <c r="R82" i="12" l="1"/>
  <c r="S82" i="12" s="1"/>
  <c r="Q52" i="12"/>
  <c r="Q59" i="12"/>
  <c r="Q53" i="12"/>
  <c r="R75" i="12"/>
  <c r="S75" i="12" s="1"/>
  <c r="Q51" i="12"/>
  <c r="Q58" i="12"/>
  <c r="Q50" i="12"/>
  <c r="Q60" i="12"/>
  <c r="Q57" i="12"/>
  <c r="R54" i="12" l="1"/>
  <c r="S54" i="12" s="1"/>
  <c r="S15" i="12"/>
  <c r="R61" i="12"/>
  <c r="S61" i="12" s="1"/>
</calcChain>
</file>

<file path=xl/sharedStrings.xml><?xml version="1.0" encoding="utf-8"?>
<sst xmlns="http://schemas.openxmlformats.org/spreadsheetml/2006/main" count="1026" uniqueCount="292">
  <si>
    <t>NW Natural</t>
  </si>
  <si>
    <t>Rates &amp; Regulatory Affairs</t>
  </si>
  <si>
    <t>Schedule</t>
  </si>
  <si>
    <t>Block</t>
  </si>
  <si>
    <t>1R</t>
  </si>
  <si>
    <t>1C</t>
  </si>
  <si>
    <t>Block 1</t>
  </si>
  <si>
    <t>Block 2</t>
  </si>
  <si>
    <t>Block 3</t>
  </si>
  <si>
    <t>Block 4</t>
  </si>
  <si>
    <t>Block 5</t>
  </si>
  <si>
    <t>Block 6</t>
  </si>
  <si>
    <t>3 CFS</t>
  </si>
  <si>
    <t>3 IFS</t>
  </si>
  <si>
    <t>2R</t>
  </si>
  <si>
    <t>PGA Volumes</t>
  </si>
  <si>
    <t>C</t>
  </si>
  <si>
    <t>Item</t>
  </si>
  <si>
    <t>Source</t>
  </si>
  <si>
    <t>Amount</t>
  </si>
  <si>
    <t>Revenue Sensitive Rate</t>
  </si>
  <si>
    <t>Temporary Increments</t>
  </si>
  <si>
    <t>Billing</t>
  </si>
  <si>
    <t>Rates</t>
  </si>
  <si>
    <t>REMOVE</t>
  </si>
  <si>
    <t>Current</t>
  </si>
  <si>
    <t>WACOG</t>
  </si>
  <si>
    <t>FIRM</t>
  </si>
  <si>
    <t>Demand</t>
  </si>
  <si>
    <t>INTERR</t>
  </si>
  <si>
    <t>ADD</t>
  </si>
  <si>
    <t>Proposed</t>
  </si>
  <si>
    <t>Allocation Method</t>
  </si>
  <si>
    <t>Allocated to Rate Schedules</t>
  </si>
  <si>
    <t>Multiplier</t>
  </si>
  <si>
    <t>Increment</t>
  </si>
  <si>
    <t>Revenue Sensitive Multiplier:</t>
  </si>
  <si>
    <t>Amount to Amortize:</t>
  </si>
  <si>
    <t>Residential</t>
  </si>
  <si>
    <t>Commercial</t>
  </si>
  <si>
    <t>MARGIN</t>
  </si>
  <si>
    <t>Rate</t>
  </si>
  <si>
    <t>Proposed Amount:</t>
  </si>
  <si>
    <t>WACOG &amp;</t>
  </si>
  <si>
    <t>Temporary</t>
  </si>
  <si>
    <t>Margin</t>
  </si>
  <si>
    <t>add revenue sensitive factor</t>
  </si>
  <si>
    <t>Total</t>
  </si>
  <si>
    <t>Calculation of Increments Allocated on the EQUAL PERCENTAGE OF MARGIN BASIS</t>
  </si>
  <si>
    <t>Column D</t>
  </si>
  <si>
    <t>Column A</t>
  </si>
  <si>
    <t>N/A</t>
  </si>
  <si>
    <t>Volumes page,</t>
  </si>
  <si>
    <t>Rate from</t>
  </si>
  <si>
    <t>Rates page,</t>
  </si>
  <si>
    <t>Demand from</t>
  </si>
  <si>
    <t>Increment  page,</t>
  </si>
  <si>
    <t>Temps from</t>
  </si>
  <si>
    <t>A</t>
  </si>
  <si>
    <t>B</t>
  </si>
  <si>
    <t>D</t>
  </si>
  <si>
    <t>E</t>
  </si>
  <si>
    <t>F</t>
  </si>
  <si>
    <t>G</t>
  </si>
  <si>
    <t>H</t>
  </si>
  <si>
    <t>I</t>
  </si>
  <si>
    <t>L</t>
  </si>
  <si>
    <t>E=B-C-D</t>
  </si>
  <si>
    <t>Column B+C+D</t>
  </si>
  <si>
    <t>Temporaries</t>
  </si>
  <si>
    <t>41 FS Block 1</t>
  </si>
  <si>
    <t>41 FS Block 2</t>
  </si>
  <si>
    <t>41 FT Block 1</t>
  </si>
  <si>
    <t>41 FT Block 2</t>
  </si>
  <si>
    <t>41 IS Block 1</t>
  </si>
  <si>
    <t>41 IS Block 2</t>
  </si>
  <si>
    <t>42 CFS Block 1</t>
  </si>
  <si>
    <t>42 CFS Block 2</t>
  </si>
  <si>
    <t>42 CFS Block 3</t>
  </si>
  <si>
    <t>42 CFS Block 4</t>
  </si>
  <si>
    <t>42 CFS Block 5</t>
  </si>
  <si>
    <t>42 CFS Block 6</t>
  </si>
  <si>
    <t>42 IFS Block 1</t>
  </si>
  <si>
    <t>42 IFS Block 2</t>
  </si>
  <si>
    <t>42 IFS Block 3</t>
  </si>
  <si>
    <t>42 IFS Block 4</t>
  </si>
  <si>
    <t>42 IFS Block 5</t>
  </si>
  <si>
    <t>42 IFS Block 6</t>
  </si>
  <si>
    <t>42 FT Block 1</t>
  </si>
  <si>
    <t>42 FT Block 2</t>
  </si>
  <si>
    <t>42 FT Block 3</t>
  </si>
  <si>
    <t>42 FT Block 4</t>
  </si>
  <si>
    <t>42 FT Block 5</t>
  </si>
  <si>
    <t>42 FT Block 6</t>
  </si>
  <si>
    <t>42 IS Block 1</t>
  </si>
  <si>
    <t>42 IS Block 2</t>
  </si>
  <si>
    <t>42 IS Block 3</t>
  </si>
  <si>
    <t>42 IS Block 4</t>
  </si>
  <si>
    <t>42 IS Block 5</t>
  </si>
  <si>
    <t>42 IS Block 6</t>
  </si>
  <si>
    <t>42 IT Block 1</t>
  </si>
  <si>
    <t>42 IT Block 2</t>
  </si>
  <si>
    <t>42 IT Block 3</t>
  </si>
  <si>
    <t>42 IT Block 4</t>
  </si>
  <si>
    <t>42 IT Block 5</t>
  </si>
  <si>
    <t>42 IT Block 6</t>
  </si>
  <si>
    <t>43 FT</t>
  </si>
  <si>
    <t>43 IT</t>
  </si>
  <si>
    <t>NCS field</t>
  </si>
  <si>
    <t>41 Firm Trans</t>
  </si>
  <si>
    <t>42C Firm Sales</t>
  </si>
  <si>
    <t>42I Firm Sales</t>
  </si>
  <si>
    <t>42 Inter Trans</t>
  </si>
  <si>
    <t>43 Firm Trans</t>
  </si>
  <si>
    <t>43 Interr Trans</t>
  </si>
  <si>
    <t>Sources:</t>
  </si>
  <si>
    <t>Direct Inputs</t>
  </si>
  <si>
    <t>Equal % of margin</t>
  </si>
  <si>
    <t>Totals</t>
  </si>
  <si>
    <t>Column G</t>
  </si>
  <si>
    <t>Washington</t>
  </si>
  <si>
    <t>Rates in detail</t>
  </si>
  <si>
    <t>Rates in summary</t>
  </si>
  <si>
    <t>Calculation of Proposed Rates - SUMMARY</t>
  </si>
  <si>
    <t>Calculation of Proposed Rates - DETAIL</t>
  </si>
  <si>
    <t>Therms in</t>
  </si>
  <si>
    <t>Therms</t>
  </si>
  <si>
    <t>Average use</t>
  </si>
  <si>
    <t>Minimum</t>
  </si>
  <si>
    <t>Monthly</t>
  </si>
  <si>
    <t>Charge</t>
  </si>
  <si>
    <t>Average Bill</t>
  </si>
  <si>
    <t>% Bill Change</t>
  </si>
  <si>
    <t>all additional</t>
  </si>
  <si>
    <t>Customers</t>
  </si>
  <si>
    <t>Average Use</t>
  </si>
  <si>
    <t>per Tariff</t>
  </si>
  <si>
    <t>TOTAL</t>
  </si>
  <si>
    <t>F=D+(C * E)</t>
  </si>
  <si>
    <t>Sources for line 2 above:</t>
  </si>
  <si>
    <t>Inputs page</t>
  </si>
  <si>
    <t>PGA Normalized</t>
  </si>
  <si>
    <t>Normal</t>
  </si>
  <si>
    <t>Calculation of Effect on Customer Average Bill by Rate Schedule [1]</t>
  </si>
  <si>
    <t>Intentionally blank</t>
  </si>
  <si>
    <t>Tariff</t>
  </si>
  <si>
    <t>Rates [1]</t>
  </si>
  <si>
    <t>Demand - Firm Volumetric</t>
  </si>
  <si>
    <t>Demand - Interruptible Volumetric</t>
  </si>
  <si>
    <t>Customer</t>
  </si>
  <si>
    <t>[1] Rate Schedule 41 and 42 customers may choose demand charges at a volumetric rate or based on MDDV.  For convenience of presentation, demand charges are not shown for those schedules.</t>
  </si>
  <si>
    <t>[1] Rate Schedule 41 and 42 customers may choose demand charges at a volumetric rate or based on MDDV.  For convenience of presentation, demand charges are not included in the calculations for those schedules.</t>
  </si>
  <si>
    <t>Note: Allocation to rate schedules or blocks with zero volumes is calculated on an overall margin percentage change basis.</t>
  </si>
  <si>
    <t>PGA Effects on Average Bill by Rate Schedule</t>
  </si>
  <si>
    <t>Equal percentage of margin</t>
  </si>
  <si>
    <t>Volumetric</t>
  </si>
  <si>
    <t>Allocation to RS</t>
  </si>
  <si>
    <t>F = E * A</t>
  </si>
  <si>
    <t>H = (F/G)/12</t>
  </si>
  <si>
    <t>Year Ended</t>
  </si>
  <si>
    <t>R</t>
  </si>
  <si>
    <t>Winter Sales WACOG</t>
  </si>
  <si>
    <t>Base Rate</t>
  </si>
  <si>
    <t>I = (G*H*12)+F</t>
  </si>
  <si>
    <t>Line 50</t>
  </si>
  <si>
    <t>Gas Cost File</t>
  </si>
  <si>
    <t>41C Firm Sales</t>
  </si>
  <si>
    <t>41C Interr Sales</t>
  </si>
  <si>
    <t>41I Firm Sales</t>
  </si>
  <si>
    <t>41I Interr Sales</t>
  </si>
  <si>
    <t>42C Interr Sales</t>
  </si>
  <si>
    <t>42I Interr Sales</t>
  </si>
  <si>
    <t>GRAND TOTAL</t>
  </si>
  <si>
    <t>S</t>
  </si>
  <si>
    <t>T</t>
  </si>
  <si>
    <t>U</t>
  </si>
  <si>
    <t>Tariff Schedules:</t>
  </si>
  <si>
    <t>Schedule #</t>
  </si>
  <si>
    <t>Sched 220</t>
  </si>
  <si>
    <t>Column I</t>
  </si>
  <si>
    <t>Column N</t>
  </si>
  <si>
    <t xml:space="preserve">U </t>
  </si>
  <si>
    <t>V</t>
  </si>
  <si>
    <t xml:space="preserve">[1] Rate Schedule 41 and 42 customers may choose demand charges at a volumetric rate or based on MDDV. </t>
  </si>
  <si>
    <t>All Customers</t>
  </si>
  <si>
    <t>Plant EDIT</t>
  </si>
  <si>
    <t>Non-Plant EDIT</t>
  </si>
  <si>
    <t>Interim Period Tax Deferral</t>
  </si>
  <si>
    <t>Test</t>
  </si>
  <si>
    <t>Sept. 30, 2018</t>
  </si>
  <si>
    <t>Washington Volumes (therms)</t>
  </si>
  <si>
    <t>TCJA Amort.</t>
  </si>
  <si>
    <t>WA GRC</t>
  </si>
  <si>
    <t>Change</t>
  </si>
  <si>
    <t>2018 Rate Case Model - Final.xlsx</t>
  </si>
  <si>
    <t>2018-19 PGA</t>
  </si>
  <si>
    <t>W</t>
  </si>
  <si>
    <t>X</t>
  </si>
  <si>
    <t>W=D+(C * S)</t>
  </si>
  <si>
    <t>X=(W - F)/F</t>
  </si>
  <si>
    <t>MDDV</t>
  </si>
  <si>
    <t>PROOF</t>
  </si>
  <si>
    <t>Variable Rate</t>
  </si>
  <si>
    <t>Fixed Monthly Charge</t>
  </si>
  <si>
    <t>MDDV Margin</t>
  </si>
  <si>
    <t xml:space="preserve">  Total Rev. Requirement</t>
  </si>
  <si>
    <t xml:space="preserve">   Less:</t>
  </si>
  <si>
    <t xml:space="preserve">      Net TCJA Credits</t>
  </si>
  <si>
    <t>WA GRC Initial Filing</t>
  </si>
  <si>
    <t>Average Customer</t>
  </si>
  <si>
    <t>Bill Increase</t>
  </si>
  <si>
    <t>Class</t>
  </si>
  <si>
    <t>Industrial Firm Sales</t>
  </si>
  <si>
    <t>Interruptible Sales</t>
  </si>
  <si>
    <t>Average Class</t>
  </si>
  <si>
    <t>2018-19 PGA Filing</t>
  </si>
  <si>
    <t>Variance</t>
  </si>
  <si>
    <t>Collection</t>
  </si>
  <si>
    <t>Demand - Firm MDDV</t>
  </si>
  <si>
    <t>Interruptible Sales Service Storage Charge (per therm of MDDV per month)</t>
  </si>
  <si>
    <t>Firm Service Distribution Capacity Charge (per therm of MDDV per month)</t>
  </si>
  <si>
    <t>Firm Sales Service Storage Charge (per therm of MDDV per month)</t>
  </si>
  <si>
    <t>WA GRC - Settlement</t>
  </si>
  <si>
    <t>Base Rates</t>
  </si>
  <si>
    <t>(Less Temps)</t>
  </si>
  <si>
    <t>UG-181053</t>
  </si>
  <si>
    <t>Amortization</t>
  </si>
  <si>
    <t>REVENUE REQUIREMENT PROOF</t>
  </si>
  <si>
    <t>Distribution Capacity</t>
  </si>
  <si>
    <t>Storage</t>
  </si>
  <si>
    <t>Rate Case</t>
  </si>
  <si>
    <t xml:space="preserve">Rate Case </t>
  </si>
  <si>
    <t>Average</t>
  </si>
  <si>
    <t>Annual</t>
  </si>
  <si>
    <t>Volumes (therms)</t>
  </si>
  <si>
    <t>Use Per Customer</t>
  </si>
  <si>
    <t>MDDV (therms)</t>
  </si>
  <si>
    <t>VOLUMETRIC</t>
  </si>
  <si>
    <t>FIXED CHARGE</t>
  </si>
  <si>
    <t>MARGIN AT CURRENT RATES</t>
  </si>
  <si>
    <t>MARGIN AT SETTLEMENT RATES</t>
  </si>
  <si>
    <t>2019 WA GRC UG-181053</t>
  </si>
  <si>
    <t>Rate Impacts Associated with Proposed Settlement</t>
  </si>
  <si>
    <t>18-19 PGA</t>
  </si>
  <si>
    <t>CURRENT</t>
  </si>
  <si>
    <t>PROPOSED Volumetric Rates</t>
  </si>
  <si>
    <t>Ug-181053 Rate Design</t>
  </si>
  <si>
    <t>Test Year</t>
  </si>
  <si>
    <t>PROPOSED Fixed Charges and Demand Rates</t>
  </si>
  <si>
    <t>Derivation of Rev Req Under Proposed Rates</t>
  </si>
  <si>
    <t>MARGIN RATES</t>
  </si>
  <si>
    <t>VOLUMES AND CUSTOMERS</t>
  </si>
  <si>
    <t>Fixed Charges and Demand Rates</t>
  </si>
  <si>
    <t>EXISTING</t>
  </si>
  <si>
    <t>PROPOSED UG-181053</t>
  </si>
  <si>
    <t>CHANGE</t>
  </si>
  <si>
    <t>PERCENTAGE</t>
  </si>
  <si>
    <t>J</t>
  </si>
  <si>
    <t>K</t>
  </si>
  <si>
    <t>M</t>
  </si>
  <si>
    <t>N</t>
  </si>
  <si>
    <t>O</t>
  </si>
  <si>
    <t>P</t>
  </si>
  <si>
    <t>Q</t>
  </si>
  <si>
    <t>Stipulation</t>
  </si>
  <si>
    <t>42C Firm Trans</t>
  </si>
  <si>
    <t>42I Firm Trans</t>
  </si>
  <si>
    <t>SCHEDULE</t>
  </si>
  <si>
    <t>n/a</t>
  </si>
  <si>
    <t>Transportation</t>
  </si>
  <si>
    <t>CURRENT BASE RATES w/ 19-20 PGA &amp; EE from Order</t>
  </si>
  <si>
    <t>PGA</t>
  </si>
  <si>
    <t>Subtotal</t>
  </si>
  <si>
    <t>2019-20 PGA</t>
  </si>
  <si>
    <t>Change in</t>
  </si>
  <si>
    <t>Bench Request 3</t>
  </si>
  <si>
    <t>Temps</t>
  </si>
  <si>
    <t xml:space="preserve">Change in </t>
  </si>
  <si>
    <t>Gas Costs</t>
  </si>
  <si>
    <t>F=A+B+C+D+E</t>
  </si>
  <si>
    <t>2019-20 PGA Filing</t>
  </si>
  <si>
    <t>Rate Case Increments</t>
  </si>
  <si>
    <t>[2]</t>
  </si>
  <si>
    <t>[2] 2019-20 PGA Temporaries plus Energy Efficiency amortization and forecast</t>
  </si>
  <si>
    <t>F=sum A to E</t>
  </si>
  <si>
    <t>M = Sum I to L + F - H</t>
  </si>
  <si>
    <t>[2] 2019-20 PGA net effect of Temporaries from prior year</t>
  </si>
  <si>
    <t>Average Monthly</t>
  </si>
  <si>
    <t>Bill Change</t>
  </si>
  <si>
    <t>Y</t>
  </si>
  <si>
    <t>PRIOR YEAR Temporaries</t>
  </si>
  <si>
    <t>Y = W -F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</si>
</sst>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_);\(0.00\)"/>
    <numFmt numFmtId="165" formatCode="_(* #,##0.0_);_(* \(#,##0.0\);_(* &quot;-&quot;??_);_(@_)"/>
    <numFmt numFmtId="166" formatCode="0.0%"/>
    <numFmt numFmtId="167" formatCode="_(* #,##0_);_(* \(#,##0\);_(* &quot;-&quot;??_);_(@_)"/>
    <numFmt numFmtId="168" formatCode="&quot;$&quot;#,##0.00000_);\(&quot;$&quot;#,##0.00000\)"/>
    <numFmt numFmtId="169" formatCode="0.000%"/>
    <numFmt numFmtId="170" formatCode="#,##0.0_);\(#,##0.0\)"/>
    <numFmt numFmtId="171" formatCode="#,##0.00000_);\(#,##0.00000\)"/>
    <numFmt numFmtId="172" formatCode="&quot;$&quot;#,##0.00000"/>
    <numFmt numFmtId="173" formatCode="&quot;$&quot;#,##0.00"/>
    <numFmt numFmtId="174" formatCode="#,##0.0"/>
    <numFmt numFmtId="175" formatCode="_-* #,##0.00\ _D_M_-;\-* #,##0.00\ _D_M_-;_-* &quot;-&quot;??\ _D_M_-;_-@_-"/>
    <numFmt numFmtId="176" formatCode="&quot;$&quot;#,##0"/>
    <numFmt numFmtId="177" formatCode="[$-409]mmmm\ d\,\ yyyy;@"/>
    <numFmt numFmtId="178" formatCode="_-* #,##0.00\ &quot;DM&quot;_-;\-* #,##0.00\ &quot;DM&quot;_-;_-* &quot;-&quot;??\ &quot;DM&quot;_-;_-@_-"/>
    <numFmt numFmtId="179" formatCode="#.00"/>
    <numFmt numFmtId="180" formatCode="#,##0_);\-#,##0_);\-_)"/>
    <numFmt numFmtId="181" formatCode="#,##0.00_);\-#,##0.00_);\-_)"/>
    <numFmt numFmtId="182" formatCode="#,##0.0_);\-#,##0.0_);\-_)"/>
    <numFmt numFmtId="183" formatCode="&quot;$&quot;#,##0.000000"/>
    <numFmt numFmtId="184" formatCode="_(&quot;$&quot;* #,##0_);_(&quot;$&quot;* \(#,##0\);_(&quot;$&quot;* &quot;-&quot;??_);_(@_)"/>
    <numFmt numFmtId="185" formatCode="_(* #,##0.00000_);_(* \(#,##0.00000\);_(* &quot;-&quot;??_);_(@_)"/>
  </numFmts>
  <fonts count="40" x14ac:knownFonts="1">
    <font>
      <sz val="10"/>
      <name val="Times New Roman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name val="Tahoma"/>
      <family val="2"/>
    </font>
    <font>
      <sz val="10"/>
      <name val="Tahoma"/>
      <family val="2"/>
    </font>
    <font>
      <sz val="8"/>
      <name val="Tahoma"/>
      <family val="2"/>
    </font>
    <font>
      <b/>
      <sz val="10"/>
      <name val="Tahoma"/>
      <family val="2"/>
    </font>
    <font>
      <sz val="9"/>
      <name val="Tahoma"/>
      <family val="2"/>
    </font>
    <font>
      <b/>
      <u/>
      <sz val="10"/>
      <name val="Tahoma"/>
      <family val="2"/>
    </font>
    <font>
      <sz val="11"/>
      <name val="Tahoma"/>
      <family val="2"/>
    </font>
    <font>
      <b/>
      <sz val="9"/>
      <name val="Tahoma"/>
      <family val="2"/>
    </font>
    <font>
      <b/>
      <sz val="12"/>
      <name val="Tahoma"/>
      <family val="2"/>
    </font>
    <font>
      <u/>
      <sz val="10"/>
      <name val="Tahoma"/>
      <family val="2"/>
    </font>
    <font>
      <b/>
      <sz val="8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9"/>
      <color indexed="18"/>
      <name val="Arial"/>
      <family val="2"/>
    </font>
    <font>
      <sz val="10"/>
      <name val="MS Sans Serif"/>
      <family val="2"/>
    </font>
    <font>
      <b/>
      <sz val="14"/>
      <color indexed="8"/>
      <name val="Arial"/>
      <family val="2"/>
    </font>
    <font>
      <b/>
      <sz val="11"/>
      <color indexed="8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8"/>
      <color indexed="18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2"/>
      <color indexed="18"/>
      <name val="Arial"/>
      <family val="2"/>
    </font>
    <font>
      <sz val="9"/>
      <color indexed="29"/>
      <name val="Arial"/>
      <family val="2"/>
    </font>
    <font>
      <b/>
      <sz val="9"/>
      <color indexed="29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25"/>
        <bgColor indexed="64"/>
      </patternFill>
    </fill>
  </fills>
  <borders count="5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28"/>
      </left>
      <right/>
      <top/>
      <bottom style="thin">
        <color indexed="2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01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3" fontId="7" fillId="0" borderId="0"/>
    <xf numFmtId="9" fontId="2" fillId="0" borderId="0" applyFont="0" applyFill="0" applyBorder="0" applyAlignment="0" applyProtection="0"/>
    <xf numFmtId="0" fontId="4" fillId="0" borderId="0"/>
    <xf numFmtId="17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1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1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1" fillId="12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1" fillId="5" borderId="0" applyNumberFormat="0" applyBorder="0" applyAlignment="0" applyProtection="0"/>
    <xf numFmtId="0" fontId="20" fillId="13" borderId="0" applyNumberFormat="0" applyBorder="0" applyAlignment="0" applyProtection="0"/>
    <xf numFmtId="0" fontId="20" fillId="8" borderId="0" applyNumberFormat="0" applyBorder="0" applyAlignment="0" applyProtection="0"/>
    <xf numFmtId="0" fontId="21" fillId="14" borderId="0" applyNumberFormat="0" applyBorder="0" applyAlignment="0" applyProtection="0"/>
    <xf numFmtId="1" fontId="22" fillId="0" borderId="24">
      <alignment vertical="top"/>
    </xf>
    <xf numFmtId="43" fontId="23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4" fillId="0" borderId="0" applyFont="0" applyFill="0" applyBorder="0" applyAlignment="0" applyProtection="0">
      <alignment vertical="top"/>
    </xf>
    <xf numFmtId="177" fontId="4" fillId="0" borderId="0" applyFont="0" applyFill="0" applyBorder="0" applyAlignment="0" applyProtection="0">
      <alignment vertical="top"/>
    </xf>
    <xf numFmtId="174" fontId="24" fillId="0" borderId="0"/>
    <xf numFmtId="5" fontId="4" fillId="0" borderId="0">
      <alignment vertical="top"/>
    </xf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5" fontId="4" fillId="0" borderId="0" applyFont="0" applyFill="0" applyBorder="0" applyAlignment="0" applyProtection="0">
      <alignment vertical="top"/>
    </xf>
    <xf numFmtId="177" fontId="4" fillId="0" borderId="0">
      <alignment vertical="top"/>
    </xf>
    <xf numFmtId="15" fontId="4" fillId="0" borderId="0" applyFont="0" applyFill="0" applyBorder="0" applyAlignment="0" applyProtection="0">
      <alignment vertical="top"/>
    </xf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179" fontId="26" fillId="0" borderId="0">
      <protection locked="0"/>
    </xf>
    <xf numFmtId="174" fontId="8" fillId="0" borderId="0"/>
    <xf numFmtId="0" fontId="27" fillId="0" borderId="0">
      <protection locked="0"/>
    </xf>
    <xf numFmtId="0" fontId="27" fillId="0" borderId="0">
      <protection locked="0"/>
    </xf>
    <xf numFmtId="180" fontId="8" fillId="0" borderId="0"/>
    <xf numFmtId="181" fontId="8" fillId="0" borderId="0"/>
    <xf numFmtId="0" fontId="23" fillId="0" borderId="0"/>
    <xf numFmtId="10" fontId="4" fillId="0" borderId="0" applyFont="0" applyFill="0" applyBorder="0" applyAlignment="0" applyProtection="0">
      <alignment vertical="top"/>
    </xf>
    <xf numFmtId="182" fontId="28" fillId="0" borderId="0"/>
    <xf numFmtId="4" fontId="29" fillId="18" borderId="46" applyNumberFormat="0" applyProtection="0">
      <alignment vertical="center"/>
    </xf>
    <xf numFmtId="4" fontId="30" fillId="18" borderId="46" applyNumberFormat="0" applyProtection="0">
      <alignment vertical="center"/>
    </xf>
    <xf numFmtId="4" fontId="29" fillId="18" borderId="46" applyNumberFormat="0" applyProtection="0">
      <alignment horizontal="left" vertical="center" indent="1"/>
    </xf>
    <xf numFmtId="0" fontId="29" fillId="18" borderId="46" applyNumberFormat="0" applyProtection="0">
      <alignment horizontal="left" vertical="top" indent="1"/>
    </xf>
    <xf numFmtId="4" fontId="29" fillId="19" borderId="0" applyNumberFormat="0" applyProtection="0">
      <alignment horizontal="left" vertical="center" indent="1"/>
    </xf>
    <xf numFmtId="4" fontId="31" fillId="20" borderId="46" applyNumberFormat="0" applyProtection="0">
      <alignment horizontal="right" vertical="center"/>
    </xf>
    <xf numFmtId="4" fontId="31" fillId="21" borderId="46" applyNumberFormat="0" applyProtection="0">
      <alignment horizontal="right" vertical="center"/>
    </xf>
    <xf numFmtId="4" fontId="31" fillId="22" borderId="46" applyNumberFormat="0" applyProtection="0">
      <alignment horizontal="right" vertical="center"/>
    </xf>
    <xf numFmtId="4" fontId="31" fillId="23" borderId="46" applyNumberFormat="0" applyProtection="0">
      <alignment horizontal="right" vertical="center"/>
    </xf>
    <xf numFmtId="4" fontId="31" fillId="24" borderId="46" applyNumberFormat="0" applyProtection="0">
      <alignment horizontal="right" vertical="center"/>
    </xf>
    <xf numFmtId="4" fontId="31" fillId="25" borderId="46" applyNumberFormat="0" applyProtection="0">
      <alignment horizontal="right" vertical="center"/>
    </xf>
    <xf numFmtId="4" fontId="31" fillId="26" borderId="46" applyNumberFormat="0" applyProtection="0">
      <alignment horizontal="right" vertical="center"/>
    </xf>
    <xf numFmtId="4" fontId="31" fillId="27" borderId="46" applyNumberFormat="0" applyProtection="0">
      <alignment horizontal="right" vertical="center"/>
    </xf>
    <xf numFmtId="4" fontId="31" fillId="28" borderId="46" applyNumberFormat="0" applyProtection="0">
      <alignment horizontal="right" vertical="center"/>
    </xf>
    <xf numFmtId="4" fontId="29" fillId="29" borderId="47" applyNumberFormat="0" applyProtection="0">
      <alignment horizontal="left" vertical="center" indent="1"/>
    </xf>
    <xf numFmtId="4" fontId="31" fillId="30" borderId="0" applyNumberFormat="0" applyProtection="0">
      <alignment horizontal="left" vertical="center" indent="1"/>
    </xf>
    <xf numFmtId="4" fontId="32" fillId="31" borderId="0" applyNumberFormat="0" applyProtection="0">
      <alignment horizontal="left" vertical="center" indent="1"/>
    </xf>
    <xf numFmtId="4" fontId="31" fillId="19" borderId="46" applyNumberFormat="0" applyProtection="0">
      <alignment horizontal="right" vertical="center"/>
    </xf>
    <xf numFmtId="4" fontId="31" fillId="30" borderId="0" applyNumberFormat="0" applyProtection="0">
      <alignment horizontal="left" vertical="center" indent="1"/>
    </xf>
    <xf numFmtId="4" fontId="31" fillId="19" borderId="0" applyNumberFormat="0" applyProtection="0">
      <alignment horizontal="left" vertical="center" indent="1"/>
    </xf>
    <xf numFmtId="0" fontId="4" fillId="31" borderId="46" applyNumberFormat="0" applyProtection="0">
      <alignment horizontal="left" vertical="center" indent="1"/>
    </xf>
    <xf numFmtId="0" fontId="4" fillId="31" borderId="46" applyNumberFormat="0" applyProtection="0">
      <alignment horizontal="left" vertical="top" indent="1"/>
    </xf>
    <xf numFmtId="0" fontId="4" fillId="19" borderId="46" applyNumberFormat="0" applyProtection="0">
      <alignment horizontal="left" vertical="center" indent="1"/>
    </xf>
    <xf numFmtId="0" fontId="4" fillId="19" borderId="46" applyNumberFormat="0" applyProtection="0">
      <alignment horizontal="left" vertical="top" indent="1"/>
    </xf>
    <xf numFmtId="0" fontId="4" fillId="32" borderId="46" applyNumberFormat="0" applyProtection="0">
      <alignment horizontal="left" vertical="center" indent="1"/>
    </xf>
    <xf numFmtId="0" fontId="4" fillId="32" borderId="46" applyNumberFormat="0" applyProtection="0">
      <alignment horizontal="left" vertical="top" indent="1"/>
    </xf>
    <xf numFmtId="0" fontId="4" fillId="30" borderId="46" applyNumberFormat="0" applyProtection="0">
      <alignment horizontal="left" vertical="center" indent="1"/>
    </xf>
    <xf numFmtId="0" fontId="4" fillId="30" borderId="46" applyNumberFormat="0" applyProtection="0">
      <alignment horizontal="left" vertical="top" indent="1"/>
    </xf>
    <xf numFmtId="177" fontId="4" fillId="33" borderId="38" applyNumberFormat="0">
      <protection locked="0"/>
    </xf>
    <xf numFmtId="4" fontId="31" fillId="34" borderId="46" applyNumberFormat="0" applyProtection="0">
      <alignment vertical="center"/>
    </xf>
    <xf numFmtId="4" fontId="33" fillId="34" borderId="46" applyNumberFormat="0" applyProtection="0">
      <alignment vertical="center"/>
    </xf>
    <xf numFmtId="4" fontId="31" fillId="34" borderId="46" applyNumberFormat="0" applyProtection="0">
      <alignment horizontal="left" vertical="center" indent="1"/>
    </xf>
    <xf numFmtId="0" fontId="31" fillId="34" borderId="46" applyNumberFormat="0" applyProtection="0">
      <alignment horizontal="left" vertical="top" indent="1"/>
    </xf>
    <xf numFmtId="4" fontId="31" fillId="30" borderId="46" applyNumberFormat="0" applyProtection="0">
      <alignment horizontal="right" vertical="center"/>
    </xf>
    <xf numFmtId="4" fontId="33" fillId="30" borderId="46" applyNumberFormat="0" applyProtection="0">
      <alignment horizontal="right" vertical="center"/>
    </xf>
    <xf numFmtId="4" fontId="31" fillId="19" borderId="46" applyNumberFormat="0" applyProtection="0">
      <alignment horizontal="left" vertical="center" indent="1"/>
    </xf>
    <xf numFmtId="0" fontId="31" fillId="19" borderId="46" applyNumberFormat="0" applyProtection="0">
      <alignment horizontal="left" vertical="top" indent="1"/>
    </xf>
    <xf numFmtId="4" fontId="34" fillId="35" borderId="0" applyNumberFormat="0" applyProtection="0">
      <alignment horizontal="left" vertical="center" indent="1"/>
    </xf>
    <xf numFmtId="4" fontId="35" fillId="30" borderId="46" applyNumberFormat="0" applyProtection="0">
      <alignment horizontal="right" vertical="center"/>
    </xf>
    <xf numFmtId="0" fontId="36" fillId="0" borderId="0" applyNumberFormat="0" applyFill="0" applyBorder="0" applyAlignment="0" applyProtection="0"/>
    <xf numFmtId="182" fontId="37" fillId="0" borderId="0"/>
    <xf numFmtId="174" fontId="6" fillId="0" borderId="0"/>
    <xf numFmtId="182" fontId="38" fillId="36" borderId="0" applyFont="0" applyBorder="0" applyAlignment="0">
      <alignment vertical="top" wrapText="1"/>
    </xf>
    <xf numFmtId="182" fontId="39" fillId="36" borderId="48" applyBorder="0">
      <alignment horizontal="right" vertical="top" wrapText="1"/>
    </xf>
    <xf numFmtId="182" fontId="22" fillId="0" borderId="34" applyAlignment="0">
      <alignment horizontal="right"/>
    </xf>
    <xf numFmtId="180" fontId="22" fillId="0" borderId="34" applyAlignment="0"/>
    <xf numFmtId="181" fontId="22" fillId="0" borderId="34" applyAlignment="0"/>
    <xf numFmtId="0" fontId="5" fillId="0" borderId="34" applyFont="0" applyFill="0" applyBorder="0" applyAlignment="0" applyProtection="0"/>
    <xf numFmtId="0" fontId="1" fillId="0" borderId="0"/>
  </cellStyleXfs>
  <cellXfs count="483">
    <xf numFmtId="0" fontId="0" fillId="0" borderId="0" xfId="0"/>
    <xf numFmtId="0" fontId="9" fillId="0" borderId="0" xfId="0" applyFont="1" applyBorder="1"/>
    <xf numFmtId="0" fontId="10" fillId="0" borderId="0" xfId="0" applyFont="1"/>
    <xf numFmtId="0" fontId="10" fillId="0" borderId="0" xfId="0" applyFont="1" applyBorder="1"/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right"/>
    </xf>
    <xf numFmtId="0" fontId="12" fillId="0" borderId="0" xfId="0" applyFont="1" applyAlignment="1">
      <alignment horizontal="right"/>
    </xf>
    <xf numFmtId="0" fontId="12" fillId="0" borderId="0" xfId="0" applyFont="1" applyBorder="1" applyAlignment="1">
      <alignment horizontal="center"/>
    </xf>
    <xf numFmtId="0" fontId="13" fillId="0" borderId="9" xfId="0" applyFont="1" applyFill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3" fillId="0" borderId="27" xfId="0" applyFont="1" applyFill="1" applyBorder="1" applyAlignment="1">
      <alignment horizontal="center"/>
    </xf>
    <xf numFmtId="171" fontId="10" fillId="0" borderId="14" xfId="0" applyNumberFormat="1" applyFont="1" applyBorder="1"/>
    <xf numFmtId="0" fontId="11" fillId="0" borderId="27" xfId="0" applyFont="1" applyFill="1" applyBorder="1" applyAlignment="1">
      <alignment horizontal="center"/>
    </xf>
    <xf numFmtId="0" fontId="10" fillId="0" borderId="27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164" fontId="13" fillId="0" borderId="0" xfId="0" applyNumberFormat="1" applyFont="1" applyFill="1" applyBorder="1" applyAlignment="1">
      <alignment horizontal="center"/>
    </xf>
    <xf numFmtId="171" fontId="10" fillId="0" borderId="0" xfId="0" applyNumberFormat="1" applyFont="1" applyBorder="1"/>
    <xf numFmtId="0" fontId="13" fillId="0" borderId="14" xfId="0" applyFont="1" applyFill="1" applyBorder="1" applyAlignment="1">
      <alignment horizontal="center"/>
    </xf>
    <xf numFmtId="164" fontId="13" fillId="0" borderId="14" xfId="0" applyNumberFormat="1" applyFont="1" applyFill="1" applyBorder="1" applyAlignment="1">
      <alignment horizontal="center"/>
    </xf>
    <xf numFmtId="171" fontId="10" fillId="0" borderId="27" xfId="0" applyNumberFormat="1" applyFont="1" applyFill="1" applyBorder="1" applyAlignment="1"/>
    <xf numFmtId="171" fontId="10" fillId="0" borderId="14" xfId="0" applyNumberFormat="1" applyFont="1" applyFill="1" applyBorder="1" applyAlignment="1"/>
    <xf numFmtId="171" fontId="10" fillId="0" borderId="14" xfId="0" applyNumberFormat="1" applyFont="1" applyBorder="1" applyAlignment="1"/>
    <xf numFmtId="0" fontId="14" fillId="0" borderId="0" xfId="0" applyFont="1"/>
    <xf numFmtId="0" fontId="12" fillId="0" borderId="32" xfId="0" applyFont="1" applyBorder="1"/>
    <xf numFmtId="0" fontId="10" fillId="0" borderId="29" xfId="0" applyFont="1" applyBorder="1"/>
    <xf numFmtId="0" fontId="10" fillId="2" borderId="29" xfId="0" applyFont="1" applyFill="1" applyBorder="1"/>
    <xf numFmtId="0" fontId="10" fillId="0" borderId="29" xfId="0" applyFont="1" applyFill="1" applyBorder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12" fillId="0" borderId="0" xfId="0" applyFont="1"/>
    <xf numFmtId="0" fontId="12" fillId="0" borderId="0" xfId="0" quotePrefix="1" applyFont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31" xfId="0" applyFont="1" applyBorder="1"/>
    <xf numFmtId="169" fontId="10" fillId="0" borderId="36" xfId="5" applyNumberFormat="1" applyFont="1" applyBorder="1" applyAlignment="1">
      <alignment horizontal="right"/>
    </xf>
    <xf numFmtId="0" fontId="10" fillId="0" borderId="29" xfId="0" applyFont="1" applyBorder="1" applyAlignment="1">
      <alignment horizontal="left"/>
    </xf>
    <xf numFmtId="0" fontId="10" fillId="0" borderId="12" xfId="0" applyFont="1" applyBorder="1" applyAlignment="1">
      <alignment horizontal="center"/>
    </xf>
    <xf numFmtId="0" fontId="10" fillId="0" borderId="20" xfId="0" applyFont="1" applyBorder="1"/>
    <xf numFmtId="37" fontId="12" fillId="0" borderId="23" xfId="0" applyNumberFormat="1" applyFont="1" applyBorder="1"/>
    <xf numFmtId="0" fontId="12" fillId="2" borderId="2" xfId="0" applyFont="1" applyFill="1" applyBorder="1" applyAlignment="1">
      <alignment horizontal="right"/>
    </xf>
    <xf numFmtId="0" fontId="12" fillId="0" borderId="4" xfId="0" applyFont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12" fillId="2" borderId="16" xfId="0" applyFont="1" applyFill="1" applyBorder="1" applyAlignment="1">
      <alignment horizontal="center"/>
    </xf>
    <xf numFmtId="0" fontId="12" fillId="0" borderId="5" xfId="0" applyFont="1" applyBorder="1" applyAlignment="1">
      <alignment horizontal="center"/>
    </xf>
    <xf numFmtId="37" fontId="10" fillId="0" borderId="14" xfId="0" applyNumberFormat="1" applyFont="1" applyBorder="1"/>
    <xf numFmtId="171" fontId="10" fillId="2" borderId="16" xfId="0" applyNumberFormat="1" applyFont="1" applyFill="1" applyBorder="1"/>
    <xf numFmtId="171" fontId="10" fillId="0" borderId="11" xfId="0" applyNumberFormat="1" applyFont="1" applyBorder="1"/>
    <xf numFmtId="39" fontId="10" fillId="0" borderId="14" xfId="0" applyNumberFormat="1" applyFont="1" applyBorder="1"/>
    <xf numFmtId="0" fontId="10" fillId="0" borderId="0" xfId="0" applyFont="1" applyFill="1" applyBorder="1" applyAlignment="1">
      <alignment horizontal="center"/>
    </xf>
    <xf numFmtId="37" fontId="10" fillId="0" borderId="0" xfId="0" applyNumberFormat="1" applyFont="1" applyBorder="1"/>
    <xf numFmtId="171" fontId="10" fillId="2" borderId="3" xfId="0" applyNumberFormat="1" applyFont="1" applyFill="1" applyBorder="1"/>
    <xf numFmtId="171" fontId="10" fillId="0" borderId="8" xfId="0" applyNumberFormat="1" applyFont="1" applyBorder="1"/>
    <xf numFmtId="0" fontId="10" fillId="0" borderId="14" xfId="0" applyFont="1" applyFill="1" applyBorder="1" applyAlignment="1">
      <alignment horizontal="center"/>
    </xf>
    <xf numFmtId="171" fontId="10" fillId="0" borderId="0" xfId="0" applyNumberFormat="1" applyFont="1" applyBorder="1" applyAlignment="1"/>
    <xf numFmtId="171" fontId="10" fillId="2" borderId="3" xfId="0" applyNumberFormat="1" applyFont="1" applyFill="1" applyBorder="1" applyAlignment="1"/>
    <xf numFmtId="171" fontId="10" fillId="0" borderId="0" xfId="0" applyNumberFormat="1" applyFont="1" applyFill="1" applyBorder="1" applyAlignment="1"/>
    <xf numFmtId="37" fontId="10" fillId="0" borderId="0" xfId="0" applyNumberFormat="1" applyFont="1"/>
    <xf numFmtId="39" fontId="10" fillId="0" borderId="0" xfId="0" applyNumberFormat="1" applyFont="1"/>
    <xf numFmtId="171" fontId="10" fillId="2" borderId="16" xfId="0" applyNumberFormat="1" applyFont="1" applyFill="1" applyBorder="1" applyAlignment="1"/>
    <xf numFmtId="171" fontId="10" fillId="2" borderId="38" xfId="0" applyNumberFormat="1" applyFont="1" applyFill="1" applyBorder="1" applyAlignment="1"/>
    <xf numFmtId="0" fontId="10" fillId="2" borderId="29" xfId="0" applyFont="1" applyFill="1" applyBorder="1" applyAlignment="1">
      <alignment horizontal="center"/>
    </xf>
    <xf numFmtId="171" fontId="10" fillId="0" borderId="0" xfId="0" applyNumberFormat="1" applyFont="1"/>
    <xf numFmtId="0" fontId="10" fillId="0" borderId="29" xfId="0" applyFont="1" applyFill="1" applyBorder="1"/>
    <xf numFmtId="0" fontId="12" fillId="0" borderId="12" xfId="0" applyFont="1" applyBorder="1" applyAlignment="1">
      <alignment horizontal="center"/>
    </xf>
    <xf numFmtId="0" fontId="10" fillId="0" borderId="0" xfId="0" applyFont="1" applyFill="1" applyBorder="1"/>
    <xf numFmtId="0" fontId="10" fillId="0" borderId="32" xfId="0" applyFont="1" applyBorder="1"/>
    <xf numFmtId="37" fontId="12" fillId="0" borderId="0" xfId="0" applyNumberFormat="1" applyFont="1" applyAlignment="1" applyProtection="1">
      <alignment horizontal="left"/>
    </xf>
    <xf numFmtId="0" fontId="15" fillId="0" borderId="0" xfId="0" applyFont="1" applyBorder="1"/>
    <xf numFmtId="0" fontId="15" fillId="0" borderId="0" xfId="0" applyFont="1"/>
    <xf numFmtId="14" fontId="10" fillId="0" borderId="0" xfId="0" applyNumberFormat="1" applyFont="1" applyAlignment="1">
      <alignment horizontal="center"/>
    </xf>
    <xf numFmtId="0" fontId="10" fillId="0" borderId="39" xfId="0" applyFont="1" applyBorder="1" applyAlignment="1">
      <alignment horizontal="center"/>
    </xf>
    <xf numFmtId="0" fontId="12" fillId="0" borderId="40" xfId="0" applyFont="1" applyBorder="1" applyAlignment="1">
      <alignment horizontal="center"/>
    </xf>
    <xf numFmtId="0" fontId="12" fillId="0" borderId="41" xfId="0" applyFont="1" applyBorder="1" applyAlignment="1">
      <alignment horizontal="center"/>
    </xf>
    <xf numFmtId="171" fontId="10" fillId="0" borderId="14" xfId="0" applyNumberFormat="1" applyFont="1" applyBorder="1" applyAlignment="1">
      <alignment horizontal="center"/>
    </xf>
    <xf numFmtId="170" fontId="10" fillId="0" borderId="14" xfId="0" applyNumberFormat="1" applyFont="1" applyBorder="1"/>
    <xf numFmtId="166" fontId="10" fillId="0" borderId="42" xfId="5" applyNumberFormat="1" applyFont="1" applyBorder="1"/>
    <xf numFmtId="37" fontId="10" fillId="0" borderId="0" xfId="0" applyNumberFormat="1" applyFont="1" applyBorder="1" applyAlignment="1">
      <alignment horizontal="center"/>
    </xf>
    <xf numFmtId="170" fontId="10" fillId="0" borderId="0" xfId="0" applyNumberFormat="1" applyFont="1" applyBorder="1"/>
    <xf numFmtId="171" fontId="10" fillId="0" borderId="40" xfId="0" applyNumberFormat="1" applyFont="1" applyBorder="1"/>
    <xf numFmtId="164" fontId="16" fillId="0" borderId="14" xfId="0" applyNumberFormat="1" applyFont="1" applyFill="1" applyBorder="1" applyAlignment="1">
      <alignment horizontal="center"/>
    </xf>
    <xf numFmtId="37" fontId="12" fillId="0" borderId="14" xfId="0" applyNumberFormat="1" applyFont="1" applyBorder="1"/>
    <xf numFmtId="37" fontId="12" fillId="0" borderId="14" xfId="0" applyNumberFormat="1" applyFont="1" applyBorder="1" applyAlignment="1">
      <alignment horizontal="center"/>
    </xf>
    <xf numFmtId="170" fontId="12" fillId="0" borderId="14" xfId="0" applyNumberFormat="1" applyFont="1" applyBorder="1"/>
    <xf numFmtId="166" fontId="12" fillId="0" borderId="42" xfId="5" applyNumberFormat="1" applyFont="1" applyBorder="1"/>
    <xf numFmtId="37" fontId="10" fillId="0" borderId="0" xfId="0" applyNumberFormat="1" applyFont="1" applyBorder="1" applyAlignment="1"/>
    <xf numFmtId="170" fontId="10" fillId="0" borderId="0" xfId="0" applyNumberFormat="1" applyFont="1" applyBorder="1" applyAlignment="1"/>
    <xf numFmtId="171" fontId="10" fillId="0" borderId="40" xfId="0" applyNumberFormat="1" applyFont="1" applyBorder="1" applyAlignment="1"/>
    <xf numFmtId="37" fontId="10" fillId="0" borderId="0" xfId="0" applyNumberFormat="1" applyFont="1" applyFill="1" applyBorder="1" applyAlignment="1"/>
    <xf numFmtId="170" fontId="10" fillId="0" borderId="0" xfId="0" applyNumberFormat="1" applyFont="1" applyFill="1" applyBorder="1" applyAlignment="1"/>
    <xf numFmtId="171" fontId="10" fillId="0" borderId="40" xfId="0" applyNumberFormat="1" applyFont="1" applyFill="1" applyBorder="1" applyAlignment="1"/>
    <xf numFmtId="37" fontId="10" fillId="0" borderId="27" xfId="0" applyNumberFormat="1" applyFont="1" applyFill="1" applyBorder="1" applyAlignment="1"/>
    <xf numFmtId="171" fontId="10" fillId="0" borderId="27" xfId="0" applyNumberFormat="1" applyFont="1" applyFill="1" applyBorder="1" applyAlignment="1">
      <alignment horizontal="center"/>
    </xf>
    <xf numFmtId="170" fontId="10" fillId="0" borderId="27" xfId="0" applyNumberFormat="1" applyFont="1" applyFill="1" applyBorder="1" applyAlignment="1"/>
    <xf numFmtId="166" fontId="10" fillId="0" borderId="42" xfId="5" applyNumberFormat="1" applyFont="1" applyBorder="1" applyAlignment="1">
      <alignment horizontal="center"/>
    </xf>
    <xf numFmtId="37" fontId="10" fillId="0" borderId="14" xfId="0" applyNumberFormat="1" applyFont="1" applyFill="1" applyBorder="1" applyAlignment="1"/>
    <xf numFmtId="170" fontId="10" fillId="0" borderId="14" xfId="0" applyNumberFormat="1" applyFont="1" applyFill="1" applyBorder="1" applyAlignment="1"/>
    <xf numFmtId="37" fontId="10" fillId="0" borderId="14" xfId="0" applyNumberFormat="1" applyFont="1" applyBorder="1" applyAlignment="1"/>
    <xf numFmtId="170" fontId="10" fillId="0" borderId="14" xfId="0" applyNumberFormat="1" applyFont="1" applyBorder="1" applyAlignment="1"/>
    <xf numFmtId="166" fontId="10" fillId="0" borderId="41" xfId="5" applyNumberFormat="1" applyFont="1" applyBorder="1" applyAlignment="1">
      <alignment horizontal="center"/>
    </xf>
    <xf numFmtId="166" fontId="12" fillId="0" borderId="0" xfId="5" applyNumberFormat="1" applyFont="1" applyBorder="1"/>
    <xf numFmtId="0" fontId="13" fillId="0" borderId="0" xfId="0" applyFont="1" applyAlignment="1">
      <alignment horizontal="center"/>
    </xf>
    <xf numFmtId="170" fontId="10" fillId="0" borderId="0" xfId="0" applyNumberFormat="1" applyFont="1"/>
    <xf numFmtId="0" fontId="9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10" fillId="0" borderId="0" xfId="3" applyFont="1" applyAlignment="1">
      <alignment horizontal="left"/>
    </xf>
    <xf numFmtId="0" fontId="12" fillId="0" borderId="12" xfId="0" applyFont="1" applyFill="1" applyBorder="1" applyAlignment="1">
      <alignment horizontal="center"/>
    </xf>
    <xf numFmtId="170" fontId="13" fillId="0" borderId="27" xfId="0" applyNumberFormat="1" applyFont="1" applyFill="1" applyBorder="1" applyAlignment="1"/>
    <xf numFmtId="170" fontId="13" fillId="0" borderId="0" xfId="0" applyNumberFormat="1" applyFont="1" applyFill="1" applyBorder="1" applyAlignment="1"/>
    <xf numFmtId="3" fontId="10" fillId="0" borderId="0" xfId="4" applyFont="1" applyBorder="1"/>
    <xf numFmtId="167" fontId="10" fillId="0" borderId="0" xfId="1" applyNumberFormat="1" applyFont="1" applyFill="1" applyBorder="1"/>
    <xf numFmtId="4" fontId="10" fillId="0" borderId="0" xfId="4" applyNumberFormat="1" applyFont="1" applyBorder="1"/>
    <xf numFmtId="170" fontId="13" fillId="0" borderId="14" xfId="0" applyNumberFormat="1" applyFont="1" applyFill="1" applyBorder="1" applyAlignment="1"/>
    <xf numFmtId="3" fontId="10" fillId="0" borderId="0" xfId="4" applyFont="1" applyBorder="1" applyAlignment="1">
      <alignment horizontal="centerContinuous"/>
    </xf>
    <xf numFmtId="17" fontId="10" fillId="0" borderId="0" xfId="4" applyNumberFormat="1" applyFont="1" applyBorder="1" applyAlignment="1">
      <alignment horizontal="centerContinuous"/>
    </xf>
    <xf numFmtId="3" fontId="10" fillId="0" borderId="0" xfId="4" applyFont="1" applyBorder="1" applyAlignment="1">
      <alignment horizontal="center"/>
    </xf>
    <xf numFmtId="3" fontId="10" fillId="0" borderId="0" xfId="4" applyFont="1" applyFill="1" applyBorder="1" applyAlignment="1">
      <alignment horizontal="center"/>
    </xf>
    <xf numFmtId="3" fontId="10" fillId="0" borderId="0" xfId="4" applyFont="1" applyFill="1" applyBorder="1"/>
    <xf numFmtId="170" fontId="12" fillId="0" borderId="0" xfId="0" applyNumberFormat="1" applyFont="1"/>
    <xf numFmtId="170" fontId="12" fillId="0" borderId="0" xfId="0" applyNumberFormat="1" applyFont="1" applyBorder="1"/>
    <xf numFmtId="167" fontId="10" fillId="0" borderId="0" xfId="1" applyNumberFormat="1" applyFont="1"/>
    <xf numFmtId="43" fontId="10" fillId="0" borderId="0" xfId="0" applyNumberFormat="1" applyFont="1"/>
    <xf numFmtId="165" fontId="10" fillId="0" borderId="0" xfId="0" applyNumberFormat="1" applyFont="1"/>
    <xf numFmtId="165" fontId="10" fillId="0" borderId="0" xfId="0" applyNumberFormat="1" applyFont="1" applyBorder="1"/>
    <xf numFmtId="165" fontId="10" fillId="0" borderId="0" xfId="1" applyNumberFormat="1" applyFont="1" applyBorder="1"/>
    <xf numFmtId="0" fontId="10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167" fontId="10" fillId="0" borderId="0" xfId="1" applyNumberFormat="1" applyFont="1" applyBorder="1"/>
    <xf numFmtId="0" fontId="18" fillId="0" borderId="0" xfId="0" applyFont="1" applyBorder="1" applyAlignment="1">
      <alignment horizontal="center"/>
    </xf>
    <xf numFmtId="0" fontId="10" fillId="0" borderId="0" xfId="0" applyFont="1" applyFill="1"/>
    <xf numFmtId="0" fontId="12" fillId="0" borderId="0" xfId="0" applyFont="1" applyFill="1" applyAlignment="1">
      <alignment horizontal="center"/>
    </xf>
    <xf numFmtId="171" fontId="10" fillId="0" borderId="0" xfId="0" applyNumberFormat="1" applyFont="1" applyBorder="1" applyAlignment="1">
      <alignment horizontal="center"/>
    </xf>
    <xf numFmtId="171" fontId="10" fillId="2" borderId="29" xfId="0" applyNumberFormat="1" applyFont="1" applyFill="1" applyBorder="1"/>
    <xf numFmtId="170" fontId="10" fillId="0" borderId="0" xfId="1" applyNumberFormat="1" applyFont="1" applyBorder="1"/>
    <xf numFmtId="0" fontId="12" fillId="0" borderId="0" xfId="0" applyFont="1" applyBorder="1"/>
    <xf numFmtId="168" fontId="10" fillId="0" borderId="0" xfId="0" applyNumberFormat="1" applyFont="1" applyBorder="1"/>
    <xf numFmtId="7" fontId="10" fillId="0" borderId="0" xfId="0" applyNumberFormat="1" applyFont="1" applyBorder="1"/>
    <xf numFmtId="0" fontId="10" fillId="0" borderId="0" xfId="0" applyFont="1" applyAlignment="1"/>
    <xf numFmtId="0" fontId="12" fillId="0" borderId="0" xfId="0" applyFont="1" applyFill="1"/>
    <xf numFmtId="7" fontId="10" fillId="0" borderId="14" xfId="0" applyNumberFormat="1" applyFont="1" applyBorder="1"/>
    <xf numFmtId="7" fontId="10" fillId="0" borderId="0" xfId="0" applyNumberFormat="1" applyFont="1" applyBorder="1" applyAlignment="1"/>
    <xf numFmtId="7" fontId="10" fillId="0" borderId="0" xfId="0" applyNumberFormat="1" applyFont="1" applyFill="1" applyBorder="1" applyAlignment="1"/>
    <xf numFmtId="7" fontId="10" fillId="0" borderId="14" xfId="0" applyNumberFormat="1" applyFont="1" applyFill="1" applyBorder="1" applyAlignment="1"/>
    <xf numFmtId="7" fontId="10" fillId="0" borderId="27" xfId="0" applyNumberFormat="1" applyFont="1" applyFill="1" applyBorder="1" applyAlignment="1"/>
    <xf numFmtId="7" fontId="10" fillId="0" borderId="14" xfId="0" applyNumberFormat="1" applyFont="1" applyBorder="1" applyAlignment="1"/>
    <xf numFmtId="0" fontId="12" fillId="0" borderId="14" xfId="0" applyFont="1" applyFill="1" applyBorder="1" applyAlignment="1">
      <alignment horizontal="center"/>
    </xf>
    <xf numFmtId="171" fontId="10" fillId="0" borderId="14" xfId="0" applyNumberFormat="1" applyFont="1" applyFill="1" applyBorder="1"/>
    <xf numFmtId="7" fontId="10" fillId="0" borderId="14" xfId="0" applyNumberFormat="1" applyFont="1" applyFill="1" applyBorder="1"/>
    <xf numFmtId="0" fontId="12" fillId="3" borderId="32" xfId="0" applyFont="1" applyFill="1" applyBorder="1"/>
    <xf numFmtId="0" fontId="12" fillId="3" borderId="29" xfId="0" applyFont="1" applyFill="1" applyBorder="1"/>
    <xf numFmtId="0" fontId="12" fillId="3" borderId="30" xfId="0" applyFont="1" applyFill="1" applyBorder="1"/>
    <xf numFmtId="0" fontId="12" fillId="3" borderId="29" xfId="0" applyFont="1" applyFill="1" applyBorder="1" applyAlignment="1">
      <alignment horizontal="center"/>
    </xf>
    <xf numFmtId="0" fontId="12" fillId="3" borderId="30" xfId="0" applyFont="1" applyFill="1" applyBorder="1" applyAlignment="1">
      <alignment horizontal="center"/>
    </xf>
    <xf numFmtId="171" fontId="10" fillId="0" borderId="0" xfId="0" applyNumberFormat="1" applyFont="1" applyFill="1" applyBorder="1"/>
    <xf numFmtId="166" fontId="12" fillId="0" borderId="40" xfId="5" applyNumberFormat="1" applyFont="1" applyBorder="1"/>
    <xf numFmtId="166" fontId="10" fillId="0" borderId="0" xfId="5" applyNumberFormat="1" applyFont="1" applyBorder="1"/>
    <xf numFmtId="168" fontId="10" fillId="0" borderId="0" xfId="0" applyNumberFormat="1" applyFont="1"/>
    <xf numFmtId="170" fontId="10" fillId="0" borderId="0" xfId="0" quotePrefix="1" applyNumberFormat="1" applyFont="1"/>
    <xf numFmtId="37" fontId="11" fillId="0" borderId="24" xfId="0" applyNumberFormat="1" applyFont="1" applyBorder="1"/>
    <xf numFmtId="166" fontId="10" fillId="0" borderId="0" xfId="0" applyNumberFormat="1" applyFont="1" applyBorder="1"/>
    <xf numFmtId="3" fontId="10" fillId="0" borderId="0" xfId="4" applyFont="1" applyFill="1" applyBorder="1" applyAlignment="1">
      <alignment horizontal="centerContinuous"/>
    </xf>
    <xf numFmtId="17" fontId="10" fillId="0" borderId="0" xfId="4" applyNumberFormat="1" applyFont="1" applyFill="1" applyBorder="1" applyAlignment="1">
      <alignment horizontal="centerContinuous"/>
    </xf>
    <xf numFmtId="0" fontId="12" fillId="0" borderId="0" xfId="0" applyFont="1" applyFill="1" applyBorder="1" applyAlignment="1">
      <alignment horizontal="right"/>
    </xf>
    <xf numFmtId="14" fontId="10" fillId="0" borderId="39" xfId="0" applyNumberFormat="1" applyFont="1" applyBorder="1" applyAlignment="1">
      <alignment horizontal="center"/>
    </xf>
    <xf numFmtId="0" fontId="12" fillId="0" borderId="40" xfId="0" applyFont="1" applyFill="1" applyBorder="1" applyAlignment="1">
      <alignment horizontal="center"/>
    </xf>
    <xf numFmtId="0" fontId="12" fillId="0" borderId="42" xfId="0" applyFont="1" applyFill="1" applyBorder="1" applyAlignment="1">
      <alignment horizontal="center"/>
    </xf>
    <xf numFmtId="166" fontId="10" fillId="0" borderId="40" xfId="5" applyNumberFormat="1" applyFont="1" applyBorder="1"/>
    <xf numFmtId="166" fontId="10" fillId="0" borderId="43" xfId="5" applyNumberFormat="1" applyFont="1" applyBorder="1"/>
    <xf numFmtId="39" fontId="10" fillId="0" borderId="41" xfId="0" applyNumberFormat="1" applyFont="1" applyBorder="1"/>
    <xf numFmtId="0" fontId="12" fillId="0" borderId="0" xfId="0" applyFont="1" applyFill="1" applyAlignment="1">
      <alignment horizontal="right"/>
    </xf>
    <xf numFmtId="168" fontId="10" fillId="0" borderId="14" xfId="0" applyNumberFormat="1" applyFont="1" applyFill="1" applyBorder="1" applyAlignment="1"/>
    <xf numFmtId="171" fontId="10" fillId="0" borderId="0" xfId="0" applyNumberFormat="1" applyFont="1" applyFill="1"/>
    <xf numFmtId="172" fontId="10" fillId="0" borderId="14" xfId="0" applyNumberFormat="1" applyFont="1" applyFill="1" applyBorder="1"/>
    <xf numFmtId="172" fontId="10" fillId="0" borderId="14" xfId="0" applyNumberFormat="1" applyFont="1" applyBorder="1"/>
    <xf numFmtId="172" fontId="10" fillId="0" borderId="0" xfId="0" applyNumberFormat="1" applyFont="1" applyBorder="1"/>
    <xf numFmtId="172" fontId="10" fillId="0" borderId="0" xfId="0" applyNumberFormat="1" applyFont="1" applyBorder="1" applyAlignment="1"/>
    <xf numFmtId="172" fontId="10" fillId="0" borderId="0" xfId="0" applyNumberFormat="1" applyFont="1" applyFill="1" applyBorder="1" applyAlignment="1"/>
    <xf numFmtId="172" fontId="10" fillId="0" borderId="14" xfId="0" applyNumberFormat="1" applyFont="1" applyFill="1" applyBorder="1" applyAlignment="1"/>
    <xf numFmtId="172" fontId="10" fillId="0" borderId="27" xfId="0" applyNumberFormat="1" applyFont="1" applyFill="1" applyBorder="1" applyAlignment="1"/>
    <xf numFmtId="172" fontId="10" fillId="0" borderId="14" xfId="0" applyNumberFormat="1" applyFont="1" applyBorder="1" applyAlignment="1"/>
    <xf numFmtId="173" fontId="10" fillId="0" borderId="14" xfId="0" applyNumberFormat="1" applyFont="1" applyBorder="1"/>
    <xf numFmtId="168" fontId="10" fillId="0" borderId="14" xfId="0" applyNumberFormat="1" applyFont="1" applyBorder="1"/>
    <xf numFmtId="5" fontId="10" fillId="0" borderId="0" xfId="0" applyNumberFormat="1" applyFont="1"/>
    <xf numFmtId="176" fontId="10" fillId="0" borderId="0" xfId="0" applyNumberFormat="1" applyFont="1"/>
    <xf numFmtId="168" fontId="12" fillId="0" borderId="14" xfId="0" applyNumberFormat="1" applyFont="1" applyBorder="1"/>
    <xf numFmtId="168" fontId="10" fillId="0" borderId="0" xfId="0" applyNumberFormat="1" applyFont="1" applyFill="1" applyBorder="1" applyAlignment="1"/>
    <xf numFmtId="168" fontId="10" fillId="0" borderId="27" xfId="0" applyNumberFormat="1" applyFont="1" applyFill="1" applyBorder="1" applyAlignment="1"/>
    <xf numFmtId="7" fontId="12" fillId="0" borderId="14" xfId="0" applyNumberFormat="1" applyFont="1" applyBorder="1"/>
    <xf numFmtId="0" fontId="9" fillId="0" borderId="0" xfId="0" applyFont="1" applyBorder="1" applyAlignment="1">
      <alignment horizontal="centerContinuous"/>
    </xf>
    <xf numFmtId="0" fontId="9" fillId="0" borderId="0" xfId="0" applyFont="1" applyBorder="1" applyAlignment="1">
      <alignment horizontal="left"/>
    </xf>
    <xf numFmtId="44" fontId="10" fillId="0" borderId="0" xfId="2" applyFont="1" applyBorder="1"/>
    <xf numFmtId="7" fontId="9" fillId="0" borderId="0" xfId="0" applyNumberFormat="1" applyFont="1" applyBorder="1" applyAlignment="1">
      <alignment horizontal="center"/>
    </xf>
    <xf numFmtId="168" fontId="10" fillId="0" borderId="14" xfId="0" applyNumberFormat="1" applyFont="1" applyFill="1" applyBorder="1"/>
    <xf numFmtId="168" fontId="10" fillId="0" borderId="0" xfId="0" applyNumberFormat="1" applyFont="1" applyFill="1" applyBorder="1"/>
    <xf numFmtId="168" fontId="12" fillId="0" borderId="14" xfId="0" applyNumberFormat="1" applyFont="1" applyFill="1" applyBorder="1"/>
    <xf numFmtId="168" fontId="12" fillId="0" borderId="0" xfId="0" applyNumberFormat="1" applyFont="1" applyFill="1" applyBorder="1"/>
    <xf numFmtId="168" fontId="10" fillId="0" borderId="27" xfId="0" applyNumberFormat="1" applyFont="1" applyFill="1" applyBorder="1"/>
    <xf numFmtId="39" fontId="10" fillId="0" borderId="14" xfId="0" applyNumberFormat="1" applyFont="1" applyFill="1" applyBorder="1"/>
    <xf numFmtId="39" fontId="10" fillId="0" borderId="0" xfId="0" applyNumberFormat="1" applyFont="1" applyFill="1"/>
    <xf numFmtId="7" fontId="10" fillId="0" borderId="0" xfId="0" applyNumberFormat="1" applyFont="1" applyFill="1"/>
    <xf numFmtId="0" fontId="11" fillId="0" borderId="0" xfId="0" applyFont="1"/>
    <xf numFmtId="7" fontId="9" fillId="0" borderId="0" xfId="0" applyNumberFormat="1" applyFont="1" applyBorder="1" applyAlignment="1">
      <alignment horizontal="centerContinuous"/>
    </xf>
    <xf numFmtId="171" fontId="12" fillId="0" borderId="11" xfId="0" applyNumberFormat="1" applyFont="1" applyBorder="1" applyAlignment="1">
      <alignment horizontal="center"/>
    </xf>
    <xf numFmtId="171" fontId="10" fillId="0" borderId="37" xfId="0" applyNumberFormat="1" applyFont="1" applyBorder="1" applyAlignment="1">
      <alignment horizontal="left"/>
    </xf>
    <xf numFmtId="171" fontId="10" fillId="0" borderId="25" xfId="0" applyNumberFormat="1" applyFont="1" applyBorder="1"/>
    <xf numFmtId="0" fontId="10" fillId="0" borderId="34" xfId="0" applyFont="1" applyBorder="1"/>
    <xf numFmtId="171" fontId="10" fillId="0" borderId="35" xfId="0" applyNumberFormat="1" applyFont="1" applyBorder="1"/>
    <xf numFmtId="171" fontId="10" fillId="0" borderId="8" xfId="0" applyNumberFormat="1" applyFont="1" applyBorder="1" applyAlignment="1">
      <alignment horizontal="center"/>
    </xf>
    <xf numFmtId="171" fontId="10" fillId="0" borderId="8" xfId="3" applyNumberFormat="1" applyFont="1" applyBorder="1"/>
    <xf numFmtId="171" fontId="10" fillId="0" borderId="8" xfId="3" quotePrefix="1" applyNumberFormat="1" applyFont="1" applyBorder="1"/>
    <xf numFmtId="171" fontId="10" fillId="0" borderId="28" xfId="0" applyNumberFormat="1" applyFont="1" applyBorder="1"/>
    <xf numFmtId="5" fontId="10" fillId="0" borderId="14" xfId="0" applyNumberFormat="1" applyFont="1" applyBorder="1"/>
    <xf numFmtId="5" fontId="10" fillId="0" borderId="0" xfId="3" applyNumberFormat="1" applyFont="1" applyBorder="1"/>
    <xf numFmtId="5" fontId="10" fillId="0" borderId="0" xfId="3" quotePrefix="1" applyNumberFormat="1" applyFont="1" applyBorder="1"/>
    <xf numFmtId="5" fontId="10" fillId="0" borderId="0" xfId="0" applyNumberFormat="1" applyFont="1" applyBorder="1"/>
    <xf numFmtId="37" fontId="10" fillId="0" borderId="33" xfId="0" applyNumberFormat="1" applyFont="1" applyBorder="1"/>
    <xf numFmtId="0" fontId="12" fillId="0" borderId="21" xfId="0" applyFont="1" applyFill="1" applyBorder="1" applyAlignment="1">
      <alignment horizontal="center"/>
    </xf>
    <xf numFmtId="0" fontId="12" fillId="0" borderId="39" xfId="0" applyFont="1" applyBorder="1" applyAlignment="1">
      <alignment horizontal="right"/>
    </xf>
    <xf numFmtId="7" fontId="9" fillId="0" borderId="0" xfId="0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167" fontId="10" fillId="0" borderId="0" xfId="0" applyNumberFormat="1" applyFont="1"/>
    <xf numFmtId="37" fontId="10" fillId="0" borderId="0" xfId="0" applyNumberFormat="1" applyFont="1" applyFill="1" applyBorder="1"/>
    <xf numFmtId="176" fontId="10" fillId="0" borderId="14" xfId="0" applyNumberFormat="1" applyFont="1" applyFill="1" applyBorder="1"/>
    <xf numFmtId="176" fontId="10" fillId="0" borderId="14" xfId="0" applyNumberFormat="1" applyFont="1" applyBorder="1"/>
    <xf numFmtId="176" fontId="10" fillId="0" borderId="0" xfId="3" quotePrefix="1" applyNumberFormat="1" applyFont="1" applyBorder="1"/>
    <xf numFmtId="176" fontId="10" fillId="0" borderId="0" xfId="0" applyNumberFormat="1" applyFont="1" applyBorder="1"/>
    <xf numFmtId="176" fontId="10" fillId="0" borderId="0" xfId="3" applyNumberFormat="1" applyFont="1" applyBorder="1"/>
    <xf numFmtId="0" fontId="9" fillId="0" borderId="0" xfId="0" applyFont="1" applyFill="1" applyBorder="1" applyAlignment="1">
      <alignment horizontal="centerContinuous"/>
    </xf>
    <xf numFmtId="0" fontId="15" fillId="0" borderId="0" xfId="0" applyFont="1" applyFill="1"/>
    <xf numFmtId="0" fontId="10" fillId="0" borderId="12" xfId="0" applyFont="1" applyFill="1" applyBorder="1" applyAlignment="1">
      <alignment horizontal="center"/>
    </xf>
    <xf numFmtId="171" fontId="10" fillId="0" borderId="29" xfId="0" applyNumberFormat="1" applyFont="1" applyFill="1" applyBorder="1"/>
    <xf numFmtId="5" fontId="10" fillId="0" borderId="0" xfId="0" applyNumberFormat="1" applyFont="1" applyFill="1"/>
    <xf numFmtId="170" fontId="10" fillId="0" borderId="0" xfId="0" applyNumberFormat="1" applyFont="1" applyFill="1"/>
    <xf numFmtId="170" fontId="10" fillId="0" borderId="0" xfId="0" quotePrefix="1" applyNumberFormat="1" applyFont="1" applyFill="1"/>
    <xf numFmtId="170" fontId="10" fillId="0" borderId="0" xfId="0" applyNumberFormat="1" applyFont="1" applyFill="1" applyBorder="1"/>
    <xf numFmtId="37" fontId="10" fillId="0" borderId="0" xfId="0" applyNumberFormat="1" applyFont="1" applyFill="1"/>
    <xf numFmtId="0" fontId="12" fillId="0" borderId="0" xfId="1" applyNumberFormat="1" applyFont="1" applyFill="1" applyAlignment="1">
      <alignment horizontal="center"/>
    </xf>
    <xf numFmtId="0" fontId="10" fillId="0" borderId="0" xfId="1" applyNumberFormat="1" applyFont="1" applyFill="1" applyAlignment="1">
      <alignment horizontal="center"/>
    </xf>
    <xf numFmtId="168" fontId="10" fillId="0" borderId="45" xfId="0" applyNumberFormat="1" applyFont="1" applyFill="1" applyBorder="1"/>
    <xf numFmtId="44" fontId="10" fillId="0" borderId="0" xfId="2" applyFont="1" applyFill="1" applyBorder="1"/>
    <xf numFmtId="0" fontId="12" fillId="0" borderId="7" xfId="0" applyFont="1" applyBorder="1" applyAlignment="1">
      <alignment horizontal="right"/>
    </xf>
    <xf numFmtId="0" fontId="12" fillId="0" borderId="1" xfId="0" applyFont="1" applyBorder="1" applyAlignment="1">
      <alignment horizontal="right"/>
    </xf>
    <xf numFmtId="171" fontId="10" fillId="0" borderId="7" xfId="0" applyNumberFormat="1" applyFont="1" applyFill="1" applyBorder="1"/>
    <xf numFmtId="170" fontId="13" fillId="0" borderId="9" xfId="0" applyNumberFormat="1" applyFont="1" applyFill="1" applyBorder="1" applyAlignment="1"/>
    <xf numFmtId="184" fontId="10" fillId="0" borderId="0" xfId="2" applyNumberFormat="1" applyFont="1" applyFill="1"/>
    <xf numFmtId="171" fontId="12" fillId="0" borderId="0" xfId="0" applyNumberFormat="1" applyFont="1" applyBorder="1" applyAlignment="1">
      <alignment horizontal="center"/>
    </xf>
    <xf numFmtId="184" fontId="10" fillId="0" borderId="9" xfId="2" applyNumberFormat="1" applyFont="1" applyFill="1" applyBorder="1"/>
    <xf numFmtId="184" fontId="12" fillId="0" borderId="9" xfId="2" applyNumberFormat="1" applyFont="1" applyFill="1" applyBorder="1"/>
    <xf numFmtId="44" fontId="13" fillId="0" borderId="0" xfId="2" applyFont="1" applyFill="1" applyBorder="1" applyAlignment="1"/>
    <xf numFmtId="44" fontId="13" fillId="0" borderId="14" xfId="2" applyFont="1" applyFill="1" applyBorder="1" applyAlignment="1"/>
    <xf numFmtId="37" fontId="12" fillId="0" borderId="0" xfId="0" applyNumberFormat="1" applyFont="1" applyBorder="1" applyAlignment="1">
      <alignment horizontal="center"/>
    </xf>
    <xf numFmtId="171" fontId="10" fillId="0" borderId="0" xfId="0" applyNumberFormat="1" applyFont="1" applyBorder="1" applyAlignment="1">
      <alignment horizontal="left"/>
    </xf>
    <xf numFmtId="171" fontId="10" fillId="0" borderId="0" xfId="3" applyNumberFormat="1" applyFont="1" applyBorder="1"/>
    <xf numFmtId="171" fontId="10" fillId="0" borderId="0" xfId="3" quotePrefix="1" applyNumberFormat="1" applyFont="1" applyBorder="1"/>
    <xf numFmtId="0" fontId="12" fillId="0" borderId="17" xfId="0" applyFont="1" applyFill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44" fontId="10" fillId="0" borderId="1" xfId="2" applyFont="1" applyBorder="1" applyAlignment="1">
      <alignment horizontal="center"/>
    </xf>
    <xf numFmtId="44" fontId="10" fillId="0" borderId="44" xfId="0" applyNumberFormat="1" applyFont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14" fontId="10" fillId="0" borderId="0" xfId="6" applyNumberFormat="1" applyFont="1" applyBorder="1" applyAlignment="1">
      <alignment horizontal="center"/>
    </xf>
    <xf numFmtId="166" fontId="10" fillId="0" borderId="0" xfId="6" applyNumberFormat="1" applyFont="1" applyBorder="1" applyAlignment="1">
      <alignment horizontal="center"/>
    </xf>
    <xf numFmtId="171" fontId="10" fillId="0" borderId="0" xfId="0" applyNumberFormat="1" applyFont="1" applyFill="1" applyAlignment="1">
      <alignment horizontal="center"/>
    </xf>
    <xf numFmtId="166" fontId="12" fillId="0" borderId="0" xfId="6" applyNumberFormat="1" applyFont="1" applyBorder="1" applyAlignment="1">
      <alignment horizontal="center"/>
    </xf>
    <xf numFmtId="7" fontId="10" fillId="0" borderId="0" xfId="2" applyNumberFormat="1" applyFont="1" applyBorder="1"/>
    <xf numFmtId="0" fontId="10" fillId="0" borderId="0" xfId="6" applyFont="1" applyBorder="1" applyAlignment="1">
      <alignment horizontal="center"/>
    </xf>
    <xf numFmtId="5" fontId="10" fillId="0" borderId="0" xfId="2" applyNumberFormat="1" applyFont="1" applyBorder="1"/>
    <xf numFmtId="14" fontId="10" fillId="0" borderId="1" xfId="0" applyNumberFormat="1" applyFont="1" applyBorder="1" applyAlignment="1">
      <alignment horizontal="center"/>
    </xf>
    <xf numFmtId="0" fontId="13" fillId="0" borderId="0" xfId="0" applyFont="1" applyFill="1"/>
    <xf numFmtId="171" fontId="13" fillId="0" borderId="0" xfId="0" applyNumberFormat="1" applyFont="1" applyFill="1"/>
    <xf numFmtId="168" fontId="13" fillId="0" borderId="0" xfId="0" applyNumberFormat="1" applyFont="1" applyFill="1"/>
    <xf numFmtId="183" fontId="13" fillId="0" borderId="0" xfId="0" applyNumberFormat="1" applyFont="1" applyFill="1"/>
    <xf numFmtId="0" fontId="16" fillId="0" borderId="12" xfId="0" applyFont="1" applyFill="1" applyBorder="1" applyAlignment="1">
      <alignment horizontal="center"/>
    </xf>
    <xf numFmtId="0" fontId="16" fillId="0" borderId="14" xfId="0" applyFont="1" applyFill="1" applyBorder="1" applyAlignment="1">
      <alignment horizontal="center"/>
    </xf>
    <xf numFmtId="0" fontId="13" fillId="0" borderId="29" xfId="0" applyFont="1" applyFill="1" applyBorder="1"/>
    <xf numFmtId="0" fontId="12" fillId="0" borderId="7" xfId="0" applyFont="1" applyBorder="1" applyAlignment="1">
      <alignment horizontal="center"/>
    </xf>
    <xf numFmtId="0" fontId="13" fillId="0" borderId="0" xfId="0" applyFont="1" applyFill="1" applyBorder="1"/>
    <xf numFmtId="0" fontId="16" fillId="0" borderId="0" xfId="0" applyFont="1" applyFill="1" applyBorder="1" applyAlignment="1">
      <alignment horizontal="center"/>
    </xf>
    <xf numFmtId="14" fontId="12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right"/>
    </xf>
    <xf numFmtId="0" fontId="12" fillId="0" borderId="22" xfId="0" applyFont="1" applyFill="1" applyBorder="1" applyAlignment="1">
      <alignment horizontal="center"/>
    </xf>
    <xf numFmtId="171" fontId="10" fillId="0" borderId="22" xfId="0" applyNumberFormat="1" applyFont="1" applyFill="1" applyBorder="1"/>
    <xf numFmtId="171" fontId="10" fillId="0" borderId="1" xfId="0" applyNumberFormat="1" applyFont="1" applyFill="1" applyBorder="1"/>
    <xf numFmtId="171" fontId="10" fillId="0" borderId="1" xfId="0" applyNumberFormat="1" applyFont="1" applyFill="1" applyBorder="1" applyAlignment="1"/>
    <xf numFmtId="171" fontId="10" fillId="0" borderId="22" xfId="0" applyNumberFormat="1" applyFont="1" applyFill="1" applyBorder="1" applyAlignment="1"/>
    <xf numFmtId="171" fontId="10" fillId="0" borderId="50" xfId="0" applyNumberFormat="1" applyFont="1" applyFill="1" applyBorder="1" applyAlignment="1"/>
    <xf numFmtId="172" fontId="13" fillId="0" borderId="12" xfId="0" applyNumberFormat="1" applyFont="1" applyFill="1" applyBorder="1" applyAlignment="1"/>
    <xf numFmtId="171" fontId="10" fillId="0" borderId="12" xfId="0" applyNumberFormat="1" applyFont="1" applyFill="1" applyBorder="1" applyAlignment="1"/>
    <xf numFmtId="166" fontId="10" fillId="0" borderId="12" xfId="6" applyNumberFormat="1" applyFont="1" applyBorder="1" applyAlignment="1">
      <alignment horizontal="center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71" fontId="10" fillId="0" borderId="7" xfId="0" applyNumberFormat="1" applyFont="1" applyBorder="1"/>
    <xf numFmtId="171" fontId="10" fillId="0" borderId="1" xfId="0" applyNumberFormat="1" applyFont="1" applyBorder="1"/>
    <xf numFmtId="171" fontId="10" fillId="0" borderId="6" xfId="0" applyNumberFormat="1" applyFont="1" applyBorder="1" applyAlignment="1"/>
    <xf numFmtId="171" fontId="10" fillId="0" borderId="12" xfId="0" applyNumberFormat="1" applyFont="1" applyBorder="1" applyAlignment="1"/>
    <xf numFmtId="171" fontId="10" fillId="0" borderId="13" xfId="0" applyNumberFormat="1" applyFont="1" applyBorder="1" applyAlignment="1"/>
    <xf numFmtId="171" fontId="10" fillId="0" borderId="49" xfId="0" applyNumberFormat="1" applyFont="1" applyFill="1" applyBorder="1"/>
    <xf numFmtId="171" fontId="10" fillId="0" borderId="7" xfId="0" applyNumberFormat="1" applyFont="1" applyFill="1" applyBorder="1" applyAlignment="1"/>
    <xf numFmtId="171" fontId="10" fillId="0" borderId="49" xfId="0" applyNumberFormat="1" applyFont="1" applyFill="1" applyBorder="1" applyAlignment="1"/>
    <xf numFmtId="171" fontId="10" fillId="0" borderId="45" xfId="0" applyNumberFormat="1" applyFont="1" applyFill="1" applyBorder="1" applyAlignment="1"/>
    <xf numFmtId="14" fontId="12" fillId="0" borderId="7" xfId="0" applyNumberFormat="1" applyFont="1" applyBorder="1" applyAlignment="1">
      <alignment horizontal="center"/>
    </xf>
    <xf numFmtId="14" fontId="12" fillId="0" borderId="0" xfId="0" applyNumberFormat="1" applyFont="1" applyBorder="1" applyAlignment="1">
      <alignment horizontal="center"/>
    </xf>
    <xf numFmtId="14" fontId="10" fillId="0" borderId="7" xfId="6" applyNumberFormat="1" applyFont="1" applyBorder="1" applyAlignment="1">
      <alignment horizontal="center"/>
    </xf>
    <xf numFmtId="166" fontId="10" fillId="0" borderId="7" xfId="6" applyNumberFormat="1" applyFont="1" applyBorder="1" applyAlignment="1">
      <alignment horizontal="center"/>
    </xf>
    <xf numFmtId="166" fontId="10" fillId="0" borderId="6" xfId="6" applyNumberFormat="1" applyFont="1" applyBorder="1" applyAlignment="1">
      <alignment horizontal="center"/>
    </xf>
    <xf numFmtId="7" fontId="10" fillId="0" borderId="7" xfId="2" applyNumberFormat="1" applyFont="1" applyBorder="1"/>
    <xf numFmtId="0" fontId="10" fillId="0" borderId="7" xfId="0" applyFont="1" applyBorder="1"/>
    <xf numFmtId="0" fontId="10" fillId="0" borderId="7" xfId="0" applyFont="1" applyFill="1" applyBorder="1"/>
    <xf numFmtId="171" fontId="10" fillId="0" borderId="42" xfId="0" applyNumberFormat="1" applyFont="1" applyFill="1" applyBorder="1" applyAlignment="1"/>
    <xf numFmtId="171" fontId="10" fillId="0" borderId="43" xfId="0" applyNumberFormat="1" applyFont="1" applyFill="1" applyBorder="1" applyAlignment="1"/>
    <xf numFmtId="0" fontId="10" fillId="0" borderId="7" xfId="6" applyFont="1" applyBorder="1" applyAlignment="1">
      <alignment horizontal="center"/>
    </xf>
    <xf numFmtId="0" fontId="10" fillId="0" borderId="1" xfId="6" applyFont="1" applyBorder="1" applyAlignment="1">
      <alignment horizontal="center"/>
    </xf>
    <xf numFmtId="0" fontId="10" fillId="0" borderId="6" xfId="6" applyFont="1" applyBorder="1" applyAlignment="1">
      <alignment horizontal="center"/>
    </xf>
    <xf numFmtId="0" fontId="10" fillId="0" borderId="12" xfId="6" applyFont="1" applyBorder="1" applyAlignment="1">
      <alignment horizontal="center"/>
    </xf>
    <xf numFmtId="0" fontId="10" fillId="0" borderId="13" xfId="6" applyFont="1" applyBorder="1" applyAlignment="1">
      <alignment horizontal="center"/>
    </xf>
    <xf numFmtId="37" fontId="10" fillId="0" borderId="7" xfId="0" applyNumberFormat="1" applyFont="1" applyBorder="1"/>
    <xf numFmtId="170" fontId="10" fillId="0" borderId="1" xfId="0" applyNumberFormat="1" applyFont="1" applyBorder="1"/>
    <xf numFmtId="166" fontId="10" fillId="0" borderId="1" xfId="6" applyNumberFormat="1" applyFont="1" applyBorder="1" applyAlignment="1">
      <alignment horizontal="center"/>
    </xf>
    <xf numFmtId="176" fontId="10" fillId="0" borderId="52" xfId="0" applyNumberFormat="1" applyFont="1" applyFill="1" applyBorder="1"/>
    <xf numFmtId="176" fontId="10" fillId="0" borderId="24" xfId="0" applyNumberFormat="1" applyFont="1" applyFill="1" applyBorder="1"/>
    <xf numFmtId="176" fontId="10" fillId="0" borderId="53" xfId="0" applyNumberFormat="1" applyFont="1" applyFill="1" applyBorder="1"/>
    <xf numFmtId="176" fontId="10" fillId="0" borderId="0" xfId="2" applyNumberFormat="1" applyFont="1" applyBorder="1"/>
    <xf numFmtId="176" fontId="10" fillId="0" borderId="49" xfId="0" applyNumberFormat="1" applyFont="1" applyFill="1" applyBorder="1"/>
    <xf numFmtId="176" fontId="10" fillId="0" borderId="22" xfId="0" applyNumberFormat="1" applyFont="1" applyFill="1" applyBorder="1"/>
    <xf numFmtId="176" fontId="10" fillId="0" borderId="7" xfId="0" applyNumberFormat="1" applyFont="1" applyFill="1" applyBorder="1"/>
    <xf numFmtId="176" fontId="10" fillId="0" borderId="0" xfId="0" applyNumberFormat="1" applyFont="1" applyFill="1" applyBorder="1"/>
    <xf numFmtId="176" fontId="10" fillId="0" borderId="1" xfId="0" applyNumberFormat="1" applyFont="1" applyFill="1" applyBorder="1"/>
    <xf numFmtId="176" fontId="12" fillId="0" borderId="49" xfId="0" applyNumberFormat="1" applyFont="1" applyFill="1" applyBorder="1"/>
    <xf numFmtId="176" fontId="10" fillId="0" borderId="0" xfId="0" applyNumberFormat="1" applyFont="1" applyBorder="1" applyAlignment="1"/>
    <xf numFmtId="176" fontId="10" fillId="0" borderId="0" xfId="0" applyNumberFormat="1" applyFont="1" applyFill="1" applyBorder="1" applyAlignment="1"/>
    <xf numFmtId="176" fontId="10" fillId="0" borderId="45" xfId="0" applyNumberFormat="1" applyFont="1" applyFill="1" applyBorder="1" applyAlignment="1"/>
    <xf numFmtId="176" fontId="10" fillId="0" borderId="27" xfId="0" applyNumberFormat="1" applyFont="1" applyFill="1" applyBorder="1" applyAlignment="1"/>
    <xf numFmtId="176" fontId="10" fillId="0" borderId="50" xfId="0" applyNumberFormat="1" applyFont="1" applyFill="1" applyBorder="1" applyAlignment="1"/>
    <xf numFmtId="176" fontId="10" fillId="0" borderId="49" xfId="0" applyNumberFormat="1" applyFont="1" applyFill="1" applyBorder="1" applyAlignment="1"/>
    <xf numFmtId="176" fontId="10" fillId="0" borderId="14" xfId="0" applyNumberFormat="1" applyFont="1" applyFill="1" applyBorder="1" applyAlignment="1"/>
    <xf numFmtId="176" fontId="10" fillId="0" borderId="22" xfId="0" applyNumberFormat="1" applyFont="1" applyFill="1" applyBorder="1" applyAlignment="1"/>
    <xf numFmtId="176" fontId="10" fillId="0" borderId="6" xfId="0" applyNumberFormat="1" applyFont="1" applyBorder="1" applyAlignment="1"/>
    <xf numFmtId="176" fontId="10" fillId="0" borderId="12" xfId="0" applyNumberFormat="1" applyFont="1" applyBorder="1" applyAlignment="1"/>
    <xf numFmtId="176" fontId="10" fillId="0" borderId="13" xfId="0" applyNumberFormat="1" applyFont="1" applyBorder="1" applyAlignment="1"/>
    <xf numFmtId="176" fontId="12" fillId="0" borderId="14" xfId="0" applyNumberFormat="1" applyFont="1" applyFill="1" applyBorder="1"/>
    <xf numFmtId="176" fontId="12" fillId="0" borderId="22" xfId="0" applyNumberFormat="1" applyFont="1" applyFill="1" applyBorder="1"/>
    <xf numFmtId="166" fontId="10" fillId="0" borderId="17" xfId="6" applyNumberFormat="1" applyFont="1" applyBorder="1" applyAlignment="1">
      <alignment horizontal="center"/>
    </xf>
    <xf numFmtId="166" fontId="10" fillId="0" borderId="18" xfId="6" applyNumberFormat="1" applyFont="1" applyBorder="1" applyAlignment="1">
      <alignment horizontal="center"/>
    </xf>
    <xf numFmtId="166" fontId="10" fillId="0" borderId="21" xfId="6" applyNumberFormat="1" applyFont="1" applyBorder="1" applyAlignment="1">
      <alignment horizontal="center"/>
    </xf>
    <xf numFmtId="166" fontId="10" fillId="0" borderId="0" xfId="5" applyNumberFormat="1" applyFont="1" applyFill="1" applyBorder="1" applyAlignment="1">
      <alignment horizontal="center"/>
    </xf>
    <xf numFmtId="166" fontId="12" fillId="0" borderId="0" xfId="5" applyNumberFormat="1" applyFont="1" applyFill="1" applyBorder="1" applyAlignment="1">
      <alignment horizontal="center"/>
    </xf>
    <xf numFmtId="7" fontId="10" fillId="0" borderId="7" xfId="2" applyNumberFormat="1" applyFont="1" applyFill="1" applyBorder="1"/>
    <xf numFmtId="7" fontId="10" fillId="0" borderId="0" xfId="2" applyNumberFormat="1" applyFont="1" applyFill="1" applyBorder="1"/>
    <xf numFmtId="10" fontId="10" fillId="0" borderId="0" xfId="5" applyNumberFormat="1" applyFont="1" applyBorder="1"/>
    <xf numFmtId="10" fontId="10" fillId="0" borderId="0" xfId="5" applyNumberFormat="1" applyFont="1" applyBorder="1" applyAlignment="1">
      <alignment horizontal="right"/>
    </xf>
    <xf numFmtId="7" fontId="13" fillId="0" borderId="9" xfId="2" applyNumberFormat="1" applyFont="1" applyFill="1" applyBorder="1" applyAlignment="1"/>
    <xf numFmtId="0" fontId="12" fillId="0" borderId="0" xfId="0" applyFont="1" applyFill="1" applyBorder="1" applyAlignment="1"/>
    <xf numFmtId="14" fontId="10" fillId="0" borderId="0" xfId="0" applyNumberFormat="1" applyFont="1" applyFill="1" applyAlignment="1">
      <alignment horizontal="center"/>
    </xf>
    <xf numFmtId="14" fontId="10" fillId="0" borderId="39" xfId="0" applyNumberFormat="1" applyFont="1" applyFill="1" applyBorder="1" applyAlignment="1">
      <alignment horizontal="center"/>
    </xf>
    <xf numFmtId="0" fontId="12" fillId="0" borderId="41" xfId="0" applyFont="1" applyFill="1" applyBorder="1" applyAlignment="1">
      <alignment horizontal="center"/>
    </xf>
    <xf numFmtId="14" fontId="10" fillId="0" borderId="40" xfId="0" applyNumberFormat="1" applyFont="1" applyFill="1" applyBorder="1" applyAlignment="1">
      <alignment horizontal="center"/>
    </xf>
    <xf numFmtId="14" fontId="10" fillId="0" borderId="40" xfId="0" applyNumberFormat="1" applyFont="1" applyBorder="1" applyAlignment="1">
      <alignment horizontal="center"/>
    </xf>
    <xf numFmtId="166" fontId="10" fillId="0" borderId="42" xfId="5" applyNumberFormat="1" applyFont="1" applyFill="1" applyBorder="1"/>
    <xf numFmtId="168" fontId="10" fillId="0" borderId="0" xfId="0" applyNumberFormat="1" applyFont="1" applyFill="1"/>
    <xf numFmtId="169" fontId="10" fillId="0" borderId="0" xfId="0" applyNumberFormat="1" applyFont="1" applyFill="1"/>
    <xf numFmtId="172" fontId="10" fillId="0" borderId="0" xfId="0" applyNumberFormat="1" applyFont="1" applyFill="1"/>
    <xf numFmtId="173" fontId="10" fillId="0" borderId="0" xfId="0" applyNumberFormat="1" applyFont="1" applyFill="1"/>
    <xf numFmtId="0" fontId="11" fillId="0" borderId="0" xfId="0" applyFont="1" applyBorder="1" applyAlignment="1">
      <alignment horizontal="center"/>
    </xf>
    <xf numFmtId="37" fontId="13" fillId="0" borderId="27" xfId="0" applyNumberFormat="1" applyFont="1" applyFill="1" applyBorder="1" applyAlignment="1"/>
    <xf numFmtId="165" fontId="10" fillId="0" borderId="0" xfId="1" applyNumberFormat="1" applyFont="1" applyFill="1"/>
    <xf numFmtId="0" fontId="16" fillId="0" borderId="0" xfId="3" applyFont="1" applyBorder="1" applyAlignment="1">
      <alignment horizontal="left"/>
    </xf>
    <xf numFmtId="7" fontId="10" fillId="0" borderId="0" xfId="0" applyNumberFormat="1" applyFont="1" applyFill="1" applyBorder="1"/>
    <xf numFmtId="7" fontId="12" fillId="0" borderId="14" xfId="0" applyNumberFormat="1" applyFont="1" applyFill="1" applyBorder="1"/>
    <xf numFmtId="7" fontId="12" fillId="0" borderId="0" xfId="0" applyNumberFormat="1" applyFont="1" applyFill="1" applyBorder="1"/>
    <xf numFmtId="39" fontId="10" fillId="0" borderId="14" xfId="0" applyNumberFormat="1" applyFont="1" applyFill="1" applyBorder="1" applyAlignment="1"/>
    <xf numFmtId="0" fontId="11" fillId="2" borderId="29" xfId="0" applyFont="1" applyFill="1" applyBorder="1" applyAlignment="1">
      <alignment horizontal="center"/>
    </xf>
    <xf numFmtId="0" fontId="11" fillId="0" borderId="29" xfId="0" applyFont="1" applyFill="1" applyBorder="1" applyAlignment="1">
      <alignment horizontal="center"/>
    </xf>
    <xf numFmtId="0" fontId="2" fillId="0" borderId="0" xfId="0" applyFont="1" applyFill="1" applyAlignment="1">
      <alignment vertical="top"/>
    </xf>
    <xf numFmtId="0" fontId="9" fillId="0" borderId="0" xfId="0" applyFont="1" applyFill="1" applyBorder="1"/>
    <xf numFmtId="0" fontId="10" fillId="0" borderId="39" xfId="0" applyFont="1" applyFill="1" applyBorder="1"/>
    <xf numFmtId="14" fontId="12" fillId="0" borderId="40" xfId="0" applyNumberFormat="1" applyFont="1" applyFill="1" applyBorder="1" applyAlignment="1">
      <alignment horizontal="center"/>
    </xf>
    <xf numFmtId="14" fontId="12" fillId="0" borderId="0" xfId="0" applyNumberFormat="1" applyFont="1" applyFill="1" applyAlignment="1">
      <alignment horizontal="center"/>
    </xf>
    <xf numFmtId="171" fontId="10" fillId="0" borderId="42" xfId="0" applyNumberFormat="1" applyFont="1" applyFill="1" applyBorder="1"/>
    <xf numFmtId="43" fontId="10" fillId="0" borderId="0" xfId="0" applyNumberFormat="1" applyFont="1" applyFill="1" applyBorder="1"/>
    <xf numFmtId="171" fontId="10" fillId="0" borderId="14" xfId="0" quotePrefix="1" applyNumberFormat="1" applyFont="1" applyFill="1" applyBorder="1"/>
    <xf numFmtId="166" fontId="10" fillId="0" borderId="0" xfId="5" applyNumberFormat="1" applyFont="1" applyFill="1" applyBorder="1"/>
    <xf numFmtId="171" fontId="10" fillId="0" borderId="40" xfId="0" applyNumberFormat="1" applyFont="1" applyFill="1" applyBorder="1"/>
    <xf numFmtId="171" fontId="10" fillId="0" borderId="44" xfId="0" applyNumberFormat="1" applyFont="1" applyFill="1" applyBorder="1"/>
    <xf numFmtId="171" fontId="10" fillId="0" borderId="41" xfId="0" applyNumberFormat="1" applyFont="1" applyFill="1" applyBorder="1" applyAlignment="1"/>
    <xf numFmtId="0" fontId="14" fillId="0" borderId="0" xfId="0" applyFont="1" applyFill="1"/>
    <xf numFmtId="0" fontId="10" fillId="0" borderId="32" xfId="0" applyFont="1" applyFill="1" applyBorder="1"/>
    <xf numFmtId="37" fontId="10" fillId="0" borderId="0" xfId="0" applyNumberFormat="1" applyFont="1" applyFill="1" applyAlignment="1" applyProtection="1">
      <alignment horizontal="left" vertical="top"/>
    </xf>
    <xf numFmtId="0" fontId="2" fillId="0" borderId="0" xfId="0" applyFont="1"/>
    <xf numFmtId="0" fontId="18" fillId="0" borderId="7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171" fontId="10" fillId="0" borderId="13" xfId="0" applyNumberFormat="1" applyFont="1" applyFill="1" applyBorder="1" applyAlignment="1"/>
    <xf numFmtId="0" fontId="13" fillId="0" borderId="29" xfId="0" applyFont="1" applyFill="1" applyBorder="1" applyAlignment="1">
      <alignment horizontal="center"/>
    </xf>
    <xf numFmtId="0" fontId="12" fillId="0" borderId="0" xfId="0" applyFont="1" applyFill="1" applyBorder="1"/>
    <xf numFmtId="0" fontId="2" fillId="0" borderId="0" xfId="0" applyFont="1" applyFill="1"/>
    <xf numFmtId="166" fontId="12" fillId="0" borderId="0" xfId="6" applyNumberFormat="1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14" fontId="12" fillId="0" borderId="7" xfId="0" applyNumberFormat="1" applyFont="1" applyFill="1" applyBorder="1" applyAlignment="1">
      <alignment horizontal="center"/>
    </xf>
    <xf numFmtId="14" fontId="12" fillId="0" borderId="0" xfId="0" applyNumberFormat="1" applyFont="1" applyFill="1" applyBorder="1" applyAlignment="1">
      <alignment horizontal="center"/>
    </xf>
    <xf numFmtId="14" fontId="10" fillId="0" borderId="0" xfId="6" applyNumberFormat="1" applyFont="1" applyFill="1" applyBorder="1" applyAlignment="1">
      <alignment horizontal="center"/>
    </xf>
    <xf numFmtId="0" fontId="18" fillId="0" borderId="7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14" fontId="10" fillId="0" borderId="7" xfId="6" applyNumberFormat="1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166" fontId="10" fillId="0" borderId="0" xfId="6" applyNumberFormat="1" applyFont="1" applyFill="1" applyBorder="1" applyAlignment="1">
      <alignment horizontal="center"/>
    </xf>
    <xf numFmtId="166" fontId="10" fillId="0" borderId="7" xfId="6" applyNumberFormat="1" applyFont="1" applyFill="1" applyBorder="1" applyAlignment="1">
      <alignment horizontal="center"/>
    </xf>
    <xf numFmtId="0" fontId="10" fillId="0" borderId="0" xfId="0" applyFont="1" applyFill="1" applyAlignment="1"/>
    <xf numFmtId="0" fontId="12" fillId="0" borderId="6" xfId="0" applyFont="1" applyFill="1" applyBorder="1" applyAlignment="1">
      <alignment horizontal="center"/>
    </xf>
    <xf numFmtId="0" fontId="18" fillId="0" borderId="6" xfId="0" applyFont="1" applyFill="1" applyBorder="1" applyAlignment="1">
      <alignment horizontal="center"/>
    </xf>
    <xf numFmtId="0" fontId="18" fillId="0" borderId="12" xfId="0" applyFont="1" applyFill="1" applyBorder="1" applyAlignment="1">
      <alignment horizontal="center"/>
    </xf>
    <xf numFmtId="166" fontId="10" fillId="0" borderId="6" xfId="6" applyNumberFormat="1" applyFont="1" applyFill="1" applyBorder="1" applyAlignment="1">
      <alignment horizontal="center"/>
    </xf>
    <xf numFmtId="166" fontId="10" fillId="0" borderId="12" xfId="6" applyNumberFormat="1" applyFont="1" applyFill="1" applyBorder="1" applyAlignment="1">
      <alignment horizontal="center"/>
    </xf>
    <xf numFmtId="0" fontId="18" fillId="0" borderId="13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right"/>
    </xf>
    <xf numFmtId="171" fontId="10" fillId="0" borderId="9" xfId="0" applyNumberFormat="1" applyFont="1" applyFill="1" applyBorder="1"/>
    <xf numFmtId="171" fontId="10" fillId="0" borderId="51" xfId="0" applyNumberFormat="1" applyFont="1" applyFill="1" applyBorder="1" applyAlignment="1"/>
    <xf numFmtId="171" fontId="10" fillId="0" borderId="6" xfId="0" applyNumberFormat="1" applyFont="1" applyFill="1" applyBorder="1" applyAlignment="1"/>
    <xf numFmtId="37" fontId="12" fillId="0" borderId="0" xfId="0" applyNumberFormat="1" applyFont="1" applyFill="1" applyAlignment="1" applyProtection="1">
      <alignment horizontal="left"/>
    </xf>
    <xf numFmtId="37" fontId="10" fillId="0" borderId="0" xfId="0" applyNumberFormat="1" applyFont="1" applyFill="1" applyAlignment="1" applyProtection="1">
      <alignment horizontal="left"/>
    </xf>
    <xf numFmtId="5" fontId="2" fillId="0" borderId="7" xfId="0" applyNumberFormat="1" applyFont="1" applyBorder="1"/>
    <xf numFmtId="5" fontId="2" fillId="0" borderId="0" xfId="0" applyNumberFormat="1" applyFont="1" applyBorder="1"/>
    <xf numFmtId="5" fontId="2" fillId="0" borderId="1" xfId="0" applyNumberFormat="1" applyFont="1" applyBorder="1"/>
    <xf numFmtId="0" fontId="2" fillId="0" borderId="7" xfId="0" applyFont="1" applyBorder="1"/>
    <xf numFmtId="0" fontId="2" fillId="0" borderId="0" xfId="0" applyFont="1" applyBorder="1"/>
    <xf numFmtId="0" fontId="2" fillId="0" borderId="6" xfId="0" applyFont="1" applyBorder="1"/>
    <xf numFmtId="0" fontId="2" fillId="0" borderId="12" xfId="0" applyFont="1" applyBorder="1"/>
    <xf numFmtId="5" fontId="2" fillId="0" borderId="13" xfId="0" applyNumberFormat="1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21" xfId="0" applyFont="1" applyBorder="1"/>
    <xf numFmtId="170" fontId="10" fillId="0" borderId="5" xfId="0" applyNumberFormat="1" applyFont="1" applyBorder="1" applyAlignment="1">
      <alignment horizontal="center"/>
    </xf>
    <xf numFmtId="170" fontId="10" fillId="0" borderId="4" xfId="0" applyNumberFormat="1" applyFont="1" applyBorder="1" applyAlignment="1">
      <alignment horizontal="center"/>
    </xf>
    <xf numFmtId="170" fontId="10" fillId="0" borderId="26" xfId="0" applyNumberFormat="1" applyFont="1" applyBorder="1" applyAlignment="1">
      <alignment horizontal="center"/>
    </xf>
    <xf numFmtId="172" fontId="10" fillId="0" borderId="0" xfId="0" applyNumberFormat="1" applyFont="1"/>
    <xf numFmtId="173" fontId="10" fillId="0" borderId="0" xfId="0" applyNumberFormat="1" applyFont="1"/>
    <xf numFmtId="170" fontId="10" fillId="0" borderId="0" xfId="0" applyNumberFormat="1" applyFont="1" applyAlignment="1">
      <alignment horizontal="center"/>
    </xf>
    <xf numFmtId="170" fontId="10" fillId="0" borderId="0" xfId="0" applyNumberFormat="1" applyFont="1" applyFill="1" applyAlignment="1">
      <alignment horizontal="center"/>
    </xf>
    <xf numFmtId="44" fontId="10" fillId="0" borderId="13" xfId="0" applyNumberFormat="1" applyFont="1" applyBorder="1" applyAlignment="1">
      <alignment horizontal="center"/>
    </xf>
    <xf numFmtId="167" fontId="10" fillId="0" borderId="0" xfId="1" applyNumberFormat="1" applyFont="1" applyAlignment="1">
      <alignment horizontal="center"/>
    </xf>
    <xf numFmtId="167" fontId="10" fillId="0" borderId="0" xfId="1" applyNumberFormat="1" applyFont="1" applyFill="1" applyAlignment="1">
      <alignment horizontal="center"/>
    </xf>
    <xf numFmtId="10" fontId="10" fillId="0" borderId="0" xfId="5" applyNumberFormat="1" applyFont="1" applyAlignment="1">
      <alignment horizontal="center"/>
    </xf>
    <xf numFmtId="10" fontId="10" fillId="0" borderId="0" xfId="5" applyNumberFormat="1" applyFont="1" applyFill="1" applyAlignment="1">
      <alignment horizontal="center"/>
    </xf>
    <xf numFmtId="44" fontId="15" fillId="0" borderId="0" xfId="2" applyFont="1" applyBorder="1"/>
    <xf numFmtId="44" fontId="10" fillId="0" borderId="39" xfId="2" applyFont="1" applyBorder="1"/>
    <xf numFmtId="44" fontId="10" fillId="0" borderId="40" xfId="2" applyFont="1" applyBorder="1"/>
    <xf numFmtId="44" fontId="12" fillId="0" borderId="40" xfId="2" applyFont="1" applyBorder="1" applyAlignment="1">
      <alignment horizontal="center"/>
    </xf>
    <xf numFmtId="44" fontId="12" fillId="0" borderId="0" xfId="2" applyFont="1" applyBorder="1" applyAlignment="1">
      <alignment horizontal="center"/>
    </xf>
    <xf numFmtId="44" fontId="10" fillId="0" borderId="32" xfId="2" applyFont="1" applyBorder="1"/>
    <xf numFmtId="44" fontId="10" fillId="0" borderId="6" xfId="2" applyFont="1" applyFill="1" applyBorder="1"/>
    <xf numFmtId="44" fontId="10" fillId="0" borderId="32" xfId="2" applyFont="1" applyFill="1" applyBorder="1"/>
    <xf numFmtId="7" fontId="13" fillId="0" borderId="0" xfId="2" applyNumberFormat="1" applyFont="1" applyFill="1" applyBorder="1" applyAlignment="1"/>
    <xf numFmtId="7" fontId="13" fillId="0" borderId="27" xfId="2" applyNumberFormat="1" applyFont="1" applyFill="1" applyBorder="1" applyAlignment="1"/>
    <xf numFmtId="7" fontId="13" fillId="0" borderId="14" xfId="2" applyNumberFormat="1" applyFont="1" applyFill="1" applyBorder="1" applyAlignment="1"/>
    <xf numFmtId="44" fontId="13" fillId="0" borderId="27" xfId="2" applyFont="1" applyFill="1" applyBorder="1" applyAlignment="1"/>
    <xf numFmtId="44" fontId="10" fillId="0" borderId="0" xfId="2" applyFont="1" applyFill="1"/>
    <xf numFmtId="185" fontId="10" fillId="0" borderId="0" xfId="0" applyNumberFormat="1" applyFont="1" applyFill="1" applyBorder="1"/>
    <xf numFmtId="185" fontId="10" fillId="0" borderId="0" xfId="1" applyNumberFormat="1" applyFont="1" applyFill="1" applyBorder="1"/>
    <xf numFmtId="0" fontId="19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37" fontId="19" fillId="0" borderId="0" xfId="0" applyNumberFormat="1" applyFont="1" applyAlignment="1" applyProtection="1">
      <alignment horizontal="left" wrapText="1"/>
    </xf>
    <xf numFmtId="14" fontId="12" fillId="0" borderId="32" xfId="0" applyNumberFormat="1" applyFont="1" applyFill="1" applyBorder="1" applyAlignment="1">
      <alignment horizontal="center"/>
    </xf>
    <xf numFmtId="14" fontId="12" fillId="0" borderId="29" xfId="0" applyNumberFormat="1" applyFont="1" applyFill="1" applyBorder="1" applyAlignment="1">
      <alignment horizontal="center"/>
    </xf>
    <xf numFmtId="14" fontId="12" fillId="0" borderId="30" xfId="0" applyNumberFormat="1" applyFont="1" applyFill="1" applyBorder="1" applyAlignment="1">
      <alignment horizontal="center"/>
    </xf>
    <xf numFmtId="166" fontId="12" fillId="0" borderId="32" xfId="6" applyNumberFormat="1" applyFont="1" applyFill="1" applyBorder="1" applyAlignment="1">
      <alignment horizontal="center"/>
    </xf>
    <xf numFmtId="166" fontId="12" fillId="0" borderId="29" xfId="6" applyNumberFormat="1" applyFont="1" applyFill="1" applyBorder="1" applyAlignment="1">
      <alignment horizontal="center"/>
    </xf>
    <xf numFmtId="166" fontId="12" fillId="0" borderId="30" xfId="6" applyNumberFormat="1" applyFont="1" applyFill="1" applyBorder="1" applyAlignment="1">
      <alignment horizontal="center"/>
    </xf>
    <xf numFmtId="0" fontId="12" fillId="0" borderId="32" xfId="0" applyFont="1" applyFill="1" applyBorder="1" applyAlignment="1">
      <alignment horizontal="center"/>
    </xf>
    <xf numFmtId="0" fontId="12" fillId="0" borderId="29" xfId="0" applyFont="1" applyFill="1" applyBorder="1" applyAlignment="1">
      <alignment horizontal="center"/>
    </xf>
    <xf numFmtId="0" fontId="12" fillId="0" borderId="30" xfId="0" applyFont="1" applyFill="1" applyBorder="1" applyAlignment="1">
      <alignment horizontal="center"/>
    </xf>
    <xf numFmtId="0" fontId="10" fillId="0" borderId="32" xfId="0" applyFont="1" applyFill="1" applyBorder="1" applyAlignment="1">
      <alignment horizontal="center"/>
    </xf>
    <xf numFmtId="0" fontId="10" fillId="0" borderId="30" xfId="0" applyFont="1" applyFill="1" applyBorder="1" applyAlignment="1">
      <alignment horizontal="center"/>
    </xf>
    <xf numFmtId="166" fontId="12" fillId="0" borderId="32" xfId="6" applyNumberFormat="1" applyFont="1" applyBorder="1" applyAlignment="1">
      <alignment horizontal="center"/>
    </xf>
    <xf numFmtId="166" fontId="12" fillId="0" borderId="30" xfId="6" applyNumberFormat="1" applyFont="1" applyBorder="1" applyAlignment="1">
      <alignment horizontal="center"/>
    </xf>
    <xf numFmtId="166" fontId="12" fillId="0" borderId="29" xfId="6" applyNumberFormat="1" applyFont="1" applyBorder="1" applyAlignment="1">
      <alignment horizontal="center"/>
    </xf>
    <xf numFmtId="37" fontId="12" fillId="0" borderId="10" xfId="0" applyNumberFormat="1" applyFont="1" applyBorder="1" applyAlignment="1">
      <alignment horizontal="center"/>
    </xf>
    <xf numFmtId="37" fontId="12" fillId="0" borderId="9" xfId="0" applyNumberFormat="1" applyFont="1" applyBorder="1" applyAlignment="1">
      <alignment horizontal="center"/>
    </xf>
    <xf numFmtId="37" fontId="12" fillId="0" borderId="15" xfId="0" applyNumberFormat="1" applyFont="1" applyBorder="1" applyAlignment="1">
      <alignment horizontal="center"/>
    </xf>
    <xf numFmtId="0" fontId="12" fillId="0" borderId="19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</cellXfs>
  <cellStyles count="101">
    <cellStyle name="Accent1 - 20%" xfId="9"/>
    <cellStyle name="Accent1 - 40%" xfId="10"/>
    <cellStyle name="Accent1 - 60%" xfId="11"/>
    <cellStyle name="Accent2 - 20%" xfId="12"/>
    <cellStyle name="Accent2 - 40%" xfId="13"/>
    <cellStyle name="Accent2 - 60%" xfId="14"/>
    <cellStyle name="Accent3 - 20%" xfId="15"/>
    <cellStyle name="Accent3 - 40%" xfId="16"/>
    <cellStyle name="Accent3 - 60%" xfId="17"/>
    <cellStyle name="Accent4 - 20%" xfId="18"/>
    <cellStyle name="Accent4 - 40%" xfId="19"/>
    <cellStyle name="Accent4 - 60%" xfId="20"/>
    <cellStyle name="Accent5 - 20%" xfId="21"/>
    <cellStyle name="Accent5 - 40%" xfId="22"/>
    <cellStyle name="Accent5 - 60%" xfId="23"/>
    <cellStyle name="Accent6 - 20%" xfId="24"/>
    <cellStyle name="Accent6 - 40%" xfId="25"/>
    <cellStyle name="Accent6 - 60%" xfId="26"/>
    <cellStyle name="ColumnHeading" xfId="27"/>
    <cellStyle name="Comma" xfId="1" builtinId="3"/>
    <cellStyle name="Comma 2" xfId="7"/>
    <cellStyle name="Comma 3" xfId="28"/>
    <cellStyle name="Comma 4" xfId="29"/>
    <cellStyle name="Comma0" xfId="30"/>
    <cellStyle name="Comma4" xfId="31"/>
    <cellStyle name="CountryTitle" xfId="32"/>
    <cellStyle name="Currency" xfId="2" builtinId="4"/>
    <cellStyle name="currency 0" xfId="33"/>
    <cellStyle name="Currency 2" xfId="34"/>
    <cellStyle name="Currency 3" xfId="35"/>
    <cellStyle name="Currency 4" xfId="36"/>
    <cellStyle name="Currency0" xfId="37"/>
    <cellStyle name="Currency4" xfId="38"/>
    <cellStyle name="Date" xfId="39"/>
    <cellStyle name="Emphasis 1" xfId="40"/>
    <cellStyle name="Emphasis 2" xfId="41"/>
    <cellStyle name="Emphasis 3" xfId="42"/>
    <cellStyle name="Fixed" xfId="43"/>
    <cellStyle name="Footnote" xfId="44"/>
    <cellStyle name="Heading1" xfId="45"/>
    <cellStyle name="Heading2" xfId="46"/>
    <cellStyle name="Normal" xfId="0" builtinId="0"/>
    <cellStyle name="Normal [0]" xfId="47"/>
    <cellStyle name="Normal [2]" xfId="48"/>
    <cellStyle name="Normal 154" xfId="100"/>
    <cellStyle name="Normal 2" xfId="6"/>
    <cellStyle name="Normal 3" xfId="49"/>
    <cellStyle name="Normal_Book3" xfId="3"/>
    <cellStyle name="Normal_DISTBYrateMay2002" xfId="4"/>
    <cellStyle name="Percent" xfId="5" builtinId="5"/>
    <cellStyle name="Percent 2" xfId="8"/>
    <cellStyle name="Percent2" xfId="50"/>
    <cellStyle name="RowHeading" xfId="51"/>
    <cellStyle name="SAPBEXaggData" xfId="52"/>
    <cellStyle name="SAPBEXaggDataEmph" xfId="53"/>
    <cellStyle name="SAPBEXaggItem" xfId="54"/>
    <cellStyle name="SAPBEXaggItemX" xfId="55"/>
    <cellStyle name="SAPBEXchaText" xfId="56"/>
    <cellStyle name="SAPBEXexcBad7" xfId="57"/>
    <cellStyle name="SAPBEXexcBad8" xfId="58"/>
    <cellStyle name="SAPBEXexcBad9" xfId="59"/>
    <cellStyle name="SAPBEXexcCritical4" xfId="60"/>
    <cellStyle name="SAPBEXexcCritical5" xfId="61"/>
    <cellStyle name="SAPBEXexcCritical6" xfId="62"/>
    <cellStyle name="SAPBEXexcGood1" xfId="63"/>
    <cellStyle name="SAPBEXexcGood2" xfId="64"/>
    <cellStyle name="SAPBEXexcGood3" xfId="65"/>
    <cellStyle name="SAPBEXfilterDrill" xfId="66"/>
    <cellStyle name="SAPBEXfilterItem" xfId="67"/>
    <cellStyle name="SAPBEXfilterText" xfId="68"/>
    <cellStyle name="SAPBEXformats" xfId="69"/>
    <cellStyle name="SAPBEXheaderItem" xfId="70"/>
    <cellStyle name="SAPBEXheaderText" xfId="71"/>
    <cellStyle name="SAPBEXHLevel0" xfId="72"/>
    <cellStyle name="SAPBEXHLevel0X" xfId="73"/>
    <cellStyle name="SAPBEXHLevel1" xfId="74"/>
    <cellStyle name="SAPBEXHLevel1X" xfId="75"/>
    <cellStyle name="SAPBEXHLevel2" xfId="76"/>
    <cellStyle name="SAPBEXHLevel2X" xfId="77"/>
    <cellStyle name="SAPBEXHLevel3" xfId="78"/>
    <cellStyle name="SAPBEXHLevel3X" xfId="79"/>
    <cellStyle name="SAPBEXinputData" xfId="80"/>
    <cellStyle name="SAPBEXresData" xfId="81"/>
    <cellStyle name="SAPBEXresDataEmph" xfId="82"/>
    <cellStyle name="SAPBEXresItem" xfId="83"/>
    <cellStyle name="SAPBEXresItemX" xfId="84"/>
    <cellStyle name="SAPBEXstdData" xfId="85"/>
    <cellStyle name="SAPBEXstdDataEmph" xfId="86"/>
    <cellStyle name="SAPBEXstdItem" xfId="87"/>
    <cellStyle name="SAPBEXstdItemX" xfId="88"/>
    <cellStyle name="SAPBEXtitle" xfId="89"/>
    <cellStyle name="SAPBEXundefined" xfId="90"/>
    <cellStyle name="Sheet Title" xfId="91"/>
    <cellStyle name="SubHeading" xfId="92"/>
    <cellStyle name="SubsidTitle" xfId="93"/>
    <cellStyle name="Table Data" xfId="94"/>
    <cellStyle name="Table Headings Bold" xfId="95"/>
    <cellStyle name="Totals" xfId="96"/>
    <cellStyle name="Totals [0]" xfId="97"/>
    <cellStyle name="Totals [2]" xfId="98"/>
    <cellStyle name="Year" xfId="99"/>
  </cellStyles>
  <dxfs count="0"/>
  <tableStyles count="0" defaultTableStyle="TableStyleMedium9" defaultPivotStyle="PivotStyleLight16"/>
  <colors>
    <mruColors>
      <color rgb="FFFFFF66"/>
      <color rgb="FFFFCD2D"/>
      <color rgb="FF00FF00"/>
      <color rgb="FFF0B8B7"/>
      <color rgb="FF0000FF"/>
      <color rgb="FFFFFF00"/>
      <color rgb="FFFFFF99"/>
      <color rgb="FFFF3300"/>
      <color rgb="FFFF99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snt01\groups\Documents%20and%20Settings\jzs\Local%20Settings\Temporary%20Internet%20Files\OLK17C\Income%20Statement%20Budget%20-%20Version%20053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_Affairs/PGA%20-%20OREGON/2012/October%20filings/Gas%20Cost%20Development%20file%20and%20support/NWN%202012-13%20PGA%20gas%20cost%20development%20file%20October%20filing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S/Regulatory_Affairs/2018%20Washington%20General%20Rate%20Case/Compliance%20Filing/EE%20Compliance%20Filing/NWN%202019-20%20Washington%20PGA%20rate%20development%20file%20September%20filing_Rev%20092519_CompE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Version 2-10"/>
      <sheetName val="Budget Version 2-14"/>
      <sheetName val="Bud. Ver. 2-10 to 2-14"/>
      <sheetName val="Budget Version 2-21"/>
      <sheetName val="Bud. Ver. 2-14 to 2-21"/>
      <sheetName val="Budget Version 4-19"/>
      <sheetName val="Bud. Ver. 2-21 to 4-19"/>
      <sheetName val="Budget Version 5-2"/>
      <sheetName val="Bud. Ver. 4-19 to 5-2"/>
      <sheetName val="Budget Version 5-31"/>
      <sheetName val="Bud. Ver. 5-2 to 5-31"/>
      <sheetName val="Data"/>
      <sheetName val="YTD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>
        <row r="4">
          <cell r="G4" t="str">
            <v>Jan</v>
          </cell>
        </row>
      </sheetData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 to current WA"/>
      <sheetName val="Comparison to current OR"/>
      <sheetName val="Winter WACOG OR&amp;WA"/>
      <sheetName val="Derivation of Demand rates WA"/>
      <sheetName val="Derivation of Demand rates OR"/>
      <sheetName val="Demand Charges"/>
      <sheetName val="Total Commodity Summary"/>
      <sheetName val="Total Commodity Summary old"/>
      <sheetName val="Commodity Cost from Vol Pipe"/>
      <sheetName val="download for JV28A"/>
      <sheetName val="Commodity Cost from Supply VERT"/>
      <sheetName val="Hedged Spot Dispatch &amp; Cost"/>
      <sheetName val="Commodity Cost from Supply"/>
      <sheetName val="Commodity Supply Dispatch"/>
      <sheetName val="Commodity Cost from Gas Reserve"/>
      <sheetName val="Gas Reserves Dispatch"/>
      <sheetName val="Commodity Cost from Storage"/>
      <sheetName val="Storage Dispatch"/>
      <sheetName val="Index Prices"/>
      <sheetName val="Line loss"/>
      <sheetName val="Fuel factors"/>
      <sheetName val="General Inputs"/>
      <sheetName val="Gas Reserve Data"/>
      <sheetName val="Spot contracts"/>
      <sheetName val="Supply Contracts"/>
      <sheetName val="COG Inputs -FCST MGN file"/>
      <sheetName val="PGA Summary UM1286 Req'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0">
          <cell r="E10">
            <v>4.3720000000000002E-2</v>
          </cell>
        </row>
      </sheetData>
      <sheetData sheetId="22"/>
      <sheetData sheetId="23"/>
      <sheetData sheetId="24"/>
      <sheetData sheetId="25"/>
      <sheetData sheetId="2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&amp; Documentation"/>
      <sheetName val="Inputs"/>
      <sheetName val="Washington volumes"/>
      <sheetName val="Avg Bill by RS"/>
      <sheetName val="Rates in summary"/>
      <sheetName val="Rates in detail"/>
      <sheetName val="Temporaries"/>
      <sheetName val="Allocation equal ¢ per therm"/>
      <sheetName val="Allocation = % of margin"/>
      <sheetName val="Inputs for FCST MGN"/>
      <sheetName val="Amortization"/>
      <sheetName val="Rates for MAS GS"/>
      <sheetName val="Cover"/>
      <sheetName val="WA Index"/>
      <sheetName val="F Goldenrod"/>
      <sheetName val="Statement of Rates"/>
      <sheetName val="Summary of Sales Rates"/>
      <sheetName val="Summary of Transportation Rates"/>
      <sheetName val="Summary of Changes in Rate"/>
      <sheetName val="Adjs. to Residential Rates"/>
      <sheetName val="Rate Case History"/>
      <sheetName val="Annual WACOG History"/>
      <sheetName val="Winter WACOG History"/>
      <sheetName val="RS 1 BR History"/>
      <sheetName val="RS 2 BR History"/>
      <sheetName val="RS 3 BR History"/>
      <sheetName val="RS 19 BR History"/>
      <sheetName val="RS 27 BR History"/>
      <sheetName val="RS 41 Firm BR History"/>
      <sheetName val="RS 41 Intp BR History"/>
      <sheetName val="RS 42 FS BR History"/>
      <sheetName val="RS42 IS BR History"/>
      <sheetName val="RS 41T BR History"/>
      <sheetName val="RS 42T BR History"/>
      <sheetName val="RS 43T BR History"/>
      <sheetName val="BREAK"/>
      <sheetName val="RS 1 PR History"/>
      <sheetName val="RS 2 PR History"/>
      <sheetName val="RS 3 PR History"/>
      <sheetName val="RS 21 BR History"/>
      <sheetName val="RS 54 BR History"/>
      <sheetName val="wacog purch history 1988-2007"/>
      <sheetName val="Chgs in Rates by RS 1995-2004"/>
      <sheetName val="RS 3T BR History"/>
    </sheetNames>
    <sheetDataSet>
      <sheetData sheetId="0"/>
      <sheetData sheetId="1"/>
      <sheetData sheetId="2"/>
      <sheetData sheetId="3"/>
      <sheetData sheetId="4"/>
      <sheetData sheetId="5"/>
      <sheetData sheetId="6">
        <row r="13">
          <cell r="AE13">
            <v>0.10571999999999999</v>
          </cell>
          <cell r="AF13">
            <v>9.5880000000000007E-2</v>
          </cell>
        </row>
        <row r="14">
          <cell r="AE14">
            <v>8.8500000000000009E-2</v>
          </cell>
          <cell r="AF14">
            <v>8.8700000000000001E-2</v>
          </cell>
        </row>
        <row r="15">
          <cell r="AE15">
            <v>6.7580000000000001E-2</v>
          </cell>
          <cell r="AF15">
            <v>8.1519999999999995E-2</v>
          </cell>
        </row>
        <row r="16">
          <cell r="AE16">
            <v>6.0979999999999999E-2</v>
          </cell>
          <cell r="AF16">
            <v>7.9079999999999984E-2</v>
          </cell>
        </row>
        <row r="17">
          <cell r="AE17">
            <v>9.9999999999999967E-3</v>
          </cell>
          <cell r="AF17">
            <v>5.8729999999999991E-2</v>
          </cell>
        </row>
        <row r="18">
          <cell r="AE18">
            <v>4.8019999999999993E-2</v>
          </cell>
          <cell r="AF18">
            <v>7.4859999999999996E-2</v>
          </cell>
        </row>
        <row r="19">
          <cell r="AE19">
            <v>4.9299999999999997E-2</v>
          </cell>
          <cell r="AF19">
            <v>7.5240000000000001E-2</v>
          </cell>
        </row>
        <row r="20">
          <cell r="AE20">
            <v>4.4189999999999993E-2</v>
          </cell>
          <cell r="AF20">
            <v>7.3359999999999981E-2</v>
          </cell>
        </row>
        <row r="21">
          <cell r="AE21">
            <v>6.5780000000000005E-2</v>
          </cell>
          <cell r="AF21">
            <v>7.5560000000000002E-2</v>
          </cell>
        </row>
        <row r="22">
          <cell r="AE22">
            <v>6.0969999999999996E-2</v>
          </cell>
          <cell r="AF22">
            <v>7.3829999999999993E-2</v>
          </cell>
        </row>
        <row r="23">
          <cell r="AE23">
            <v>-4.8999999999999998E-4</v>
          </cell>
          <cell r="AF23">
            <v>9.0000000000000019E-5</v>
          </cell>
        </row>
        <row r="24">
          <cell r="AE24">
            <v>-4.2999999999999999E-4</v>
          </cell>
          <cell r="AF24">
            <v>8.0000000000000047E-5</v>
          </cell>
        </row>
        <row r="25">
          <cell r="AE25">
            <v>9.4599999999999962E-3</v>
          </cell>
          <cell r="AF25">
            <v>5.8779999999999992E-2</v>
          </cell>
        </row>
        <row r="26">
          <cell r="AE26">
            <v>9.099999999999997E-3</v>
          </cell>
          <cell r="AF26">
            <v>5.8879999999999995E-2</v>
          </cell>
        </row>
        <row r="27">
          <cell r="AE27">
            <v>2.8359999999999996E-2</v>
          </cell>
          <cell r="AF27">
            <v>6.0329999999999995E-2</v>
          </cell>
        </row>
        <row r="28">
          <cell r="AE28">
            <v>2.7999999999999997E-2</v>
          </cell>
          <cell r="AF28">
            <v>6.0409999999999991E-2</v>
          </cell>
        </row>
        <row r="29">
          <cell r="AE29">
            <v>2.9659999999999995E-2</v>
          </cell>
          <cell r="AF29">
            <v>6.7649999999999988E-2</v>
          </cell>
        </row>
        <row r="30">
          <cell r="AE30">
            <v>2.7229999999999997E-2</v>
          </cell>
          <cell r="AF30">
            <v>6.6809999999999994E-2</v>
          </cell>
        </row>
        <row r="31">
          <cell r="AE31">
            <v>2.2369999999999998E-2</v>
          </cell>
          <cell r="AF31">
            <v>6.5099999999999991E-2</v>
          </cell>
        </row>
        <row r="32">
          <cell r="AE32">
            <v>1.9169999999999996E-2</v>
          </cell>
          <cell r="AF32">
            <v>6.3979999999999995E-2</v>
          </cell>
        </row>
        <row r="33">
          <cell r="AE33">
            <v>1.4909999999999998E-2</v>
          </cell>
          <cell r="AF33">
            <v>6.2499999999999993E-2</v>
          </cell>
        </row>
        <row r="34">
          <cell r="AE34">
            <v>9.5699999999999969E-3</v>
          </cell>
          <cell r="AF34">
            <v>6.0619999999999993E-2</v>
          </cell>
        </row>
        <row r="35">
          <cell r="AE35">
            <v>8.289999999999997E-3</v>
          </cell>
          <cell r="AF35">
            <v>5.9159999999999997E-2</v>
          </cell>
        </row>
        <row r="36">
          <cell r="AE36">
            <v>8.0999999999999961E-3</v>
          </cell>
          <cell r="AF36">
            <v>5.9199999999999996E-2</v>
          </cell>
        </row>
        <row r="37">
          <cell r="AE37">
            <v>7.6899999999999972E-3</v>
          </cell>
          <cell r="AF37">
            <v>5.9269999999999989E-2</v>
          </cell>
        </row>
        <row r="38">
          <cell r="AE38">
            <v>7.4299999999999965E-3</v>
          </cell>
          <cell r="AF38">
            <v>5.9319999999999998E-2</v>
          </cell>
        </row>
        <row r="39">
          <cell r="AE39">
            <v>7.0799999999999969E-3</v>
          </cell>
          <cell r="AF39">
            <v>5.9379999999999995E-2</v>
          </cell>
        </row>
        <row r="40">
          <cell r="AE40">
            <v>6.6399999999999966E-3</v>
          </cell>
          <cell r="AF40">
            <v>5.9449999999999989E-2</v>
          </cell>
        </row>
        <row r="41">
          <cell r="AE41">
            <v>-2.2000000000000001E-4</v>
          </cell>
          <cell r="AF41">
            <v>9.9999999999999991E-6</v>
          </cell>
        </row>
        <row r="42">
          <cell r="AE42">
            <v>-2.0000000000000001E-4</v>
          </cell>
          <cell r="AF42">
            <v>9.9999999999999991E-6</v>
          </cell>
        </row>
        <row r="43">
          <cell r="AE43">
            <v>-1.4999999999999999E-4</v>
          </cell>
          <cell r="AF43">
            <v>1.0000000000000026E-5</v>
          </cell>
        </row>
        <row r="44">
          <cell r="AE44">
            <v>-1.2E-4</v>
          </cell>
          <cell r="AF44">
            <v>9.9999999999999856E-6</v>
          </cell>
        </row>
        <row r="45">
          <cell r="AE45">
            <v>-8.0000000000000007E-5</v>
          </cell>
          <cell r="AF45">
            <v>9.9999999999999991E-6</v>
          </cell>
        </row>
        <row r="46">
          <cell r="AE46">
            <v>-3.0000000000000001E-5</v>
          </cell>
          <cell r="AF46">
            <v>0</v>
          </cell>
        </row>
        <row r="47">
          <cell r="AE47">
            <v>4.3160000000000004E-2</v>
          </cell>
          <cell r="AF47">
            <v>6.6299999999999998E-2</v>
          </cell>
        </row>
        <row r="48">
          <cell r="AE48">
            <v>4.1300000000000003E-2</v>
          </cell>
          <cell r="AF48">
            <v>6.5750000000000003E-2</v>
          </cell>
        </row>
        <row r="49">
          <cell r="AE49">
            <v>3.7559999999999996E-2</v>
          </cell>
          <cell r="AF49">
            <v>6.4629999999999993E-2</v>
          </cell>
        </row>
        <row r="50">
          <cell r="AE50">
            <v>3.5119999999999998E-2</v>
          </cell>
          <cell r="AF50">
            <v>6.3899999999999998E-2</v>
          </cell>
        </row>
        <row r="51">
          <cell r="AE51">
            <v>3.1859999999999999E-2</v>
          </cell>
          <cell r="AF51">
            <v>6.2939999999999996E-2</v>
          </cell>
        </row>
        <row r="52">
          <cell r="AE52">
            <v>2.7779999999999999E-2</v>
          </cell>
          <cell r="AF52">
            <v>6.1719999999999997E-2</v>
          </cell>
        </row>
        <row r="53">
          <cell r="AE53">
            <v>2.7669999999999997E-2</v>
          </cell>
          <cell r="AF53">
            <v>6.1059999999999989E-2</v>
          </cell>
        </row>
        <row r="54">
          <cell r="AE54">
            <v>2.743E-2</v>
          </cell>
          <cell r="AF54">
            <v>6.1060000000000003E-2</v>
          </cell>
        </row>
        <row r="55">
          <cell r="AE55">
            <v>2.6939999999999999E-2</v>
          </cell>
          <cell r="AF55">
            <v>6.1039999999999997E-2</v>
          </cell>
        </row>
        <row r="56">
          <cell r="AE56">
            <v>2.6609999999999998E-2</v>
          </cell>
          <cell r="AF56">
            <v>6.1019999999999991E-2</v>
          </cell>
        </row>
        <row r="57">
          <cell r="AE57">
            <v>2.6179999999999998E-2</v>
          </cell>
          <cell r="AF57">
            <v>6.1009999999999995E-2</v>
          </cell>
        </row>
        <row r="58">
          <cell r="AE58">
            <v>2.5649999999999999E-2</v>
          </cell>
          <cell r="AF58">
            <v>6.0989999999999996E-2</v>
          </cell>
        </row>
        <row r="59">
          <cell r="AE59">
            <v>-2.0000000000000001E-4</v>
          </cell>
          <cell r="AF59">
            <v>9.9999999999999991E-6</v>
          </cell>
        </row>
        <row r="60">
          <cell r="AE60">
            <v>-1.8000000000000001E-4</v>
          </cell>
          <cell r="AF60">
            <v>9.9999999999999991E-6</v>
          </cell>
        </row>
        <row r="61">
          <cell r="AE61">
            <v>-1.3999999999999999E-4</v>
          </cell>
          <cell r="AF61">
            <v>0</v>
          </cell>
        </row>
        <row r="62">
          <cell r="AE62">
            <v>-1.1E-4</v>
          </cell>
          <cell r="AF62">
            <v>0</v>
          </cell>
        </row>
        <row r="63">
          <cell r="AE63">
            <v>-6.9999999999999994E-5</v>
          </cell>
          <cell r="AF63">
            <v>1.0000000000000013E-5</v>
          </cell>
        </row>
        <row r="64">
          <cell r="AE64">
            <v>-3.0000000000000001E-5</v>
          </cell>
          <cell r="AF64">
            <v>0</v>
          </cell>
        </row>
        <row r="65">
          <cell r="AE65">
            <v>-1.0000000000000001E-5</v>
          </cell>
          <cell r="AF65">
            <v>0</v>
          </cell>
        </row>
        <row r="66">
          <cell r="AE66">
            <v>-1.0000000000000001E-5</v>
          </cell>
          <cell r="AF66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C000"/>
    <pageSetUpPr fitToPage="1"/>
  </sheetPr>
  <dimension ref="A1:G47"/>
  <sheetViews>
    <sheetView showGridLines="0" zoomScaleNormal="100" workbookViewId="0">
      <selection activeCell="D3" sqref="D3"/>
    </sheetView>
  </sheetViews>
  <sheetFormatPr defaultColWidth="9.33203125" defaultRowHeight="13.2" x14ac:dyDescent="0.25"/>
  <cols>
    <col min="1" max="1" width="5.77734375" style="2" customWidth="1"/>
    <col min="2" max="2" width="15.77734375" style="234" customWidth="1"/>
    <col min="3" max="3" width="73.44140625" style="2" customWidth="1"/>
    <col min="4" max="4" width="62.6640625" style="2" customWidth="1"/>
    <col min="5" max="5" width="30.77734375" style="2" customWidth="1"/>
    <col min="6" max="6" width="51.77734375" style="2" customWidth="1"/>
    <col min="7" max="10" width="20.77734375" style="2" customWidth="1"/>
    <col min="11" max="29" width="12.77734375" style="2" customWidth="1"/>
    <col min="30" max="16384" width="9.33203125" style="2"/>
  </cols>
  <sheetData>
    <row r="1" spans="1:7" ht="13.8" x14ac:dyDescent="0.25">
      <c r="A1" s="27" t="str">
        <f>+'Washington volumes'!A1</f>
        <v>NW Natural</v>
      </c>
      <c r="B1" s="2"/>
    </row>
    <row r="2" spans="1:7" ht="13.8" x14ac:dyDescent="0.25">
      <c r="A2" s="27" t="str">
        <f>+'Washington volumes'!A2</f>
        <v>Rates &amp; Regulatory Affairs</v>
      </c>
      <c r="B2" s="2"/>
    </row>
    <row r="3" spans="1:7" ht="13.8" x14ac:dyDescent="0.25">
      <c r="A3" s="27" t="str">
        <f>+'Washington volumes'!A3</f>
        <v>2019 WA GRC UG-181053</v>
      </c>
      <c r="B3" s="2"/>
    </row>
    <row r="4" spans="1:7" ht="13.8" x14ac:dyDescent="0.25">
      <c r="A4" s="27" t="s">
        <v>242</v>
      </c>
      <c r="B4" s="2"/>
      <c r="D4" s="155"/>
    </row>
    <row r="5" spans="1:7" ht="13.8" thickBot="1" x14ac:dyDescent="0.3">
      <c r="B5" s="2"/>
    </row>
    <row r="6" spans="1:7" ht="13.8" thickBot="1" x14ac:dyDescent="0.3">
      <c r="A6" s="99">
        <v>1</v>
      </c>
      <c r="B6" s="147" t="s">
        <v>19</v>
      </c>
      <c r="C6" s="148" t="s">
        <v>17</v>
      </c>
      <c r="D6" s="148" t="s">
        <v>18</v>
      </c>
      <c r="E6" s="148"/>
      <c r="F6" s="149"/>
    </row>
    <row r="7" spans="1:7" x14ac:dyDescent="0.25">
      <c r="A7" s="99">
        <v>2</v>
      </c>
      <c r="C7" s="128"/>
      <c r="D7" s="128"/>
      <c r="E7" s="359"/>
    </row>
    <row r="8" spans="1:7" x14ac:dyDescent="0.25">
      <c r="A8" s="99">
        <v>3</v>
      </c>
      <c r="B8" s="359">
        <v>0.20291000000000001</v>
      </c>
      <c r="C8" s="128" t="s">
        <v>26</v>
      </c>
      <c r="D8" s="137" t="s">
        <v>280</v>
      </c>
      <c r="E8" s="359"/>
      <c r="G8" s="155"/>
    </row>
    <row r="9" spans="1:7" x14ac:dyDescent="0.25">
      <c r="A9" s="99">
        <f t="shared" ref="A9:A35" si="0">+A8+1</f>
        <v>4</v>
      </c>
      <c r="B9" s="359"/>
      <c r="C9" s="128"/>
      <c r="D9" s="137"/>
      <c r="E9" s="198"/>
      <c r="G9" s="155"/>
    </row>
    <row r="10" spans="1:7" x14ac:dyDescent="0.25">
      <c r="A10" s="99">
        <f t="shared" si="0"/>
        <v>5</v>
      </c>
      <c r="B10" s="359">
        <v>0.1109</v>
      </c>
      <c r="C10" s="128" t="s">
        <v>147</v>
      </c>
      <c r="D10" s="137" t="str">
        <f>D8</f>
        <v>2019-20 PGA Filing</v>
      </c>
      <c r="E10" s="198"/>
      <c r="G10" s="29"/>
    </row>
    <row r="11" spans="1:7" x14ac:dyDescent="0.25">
      <c r="A11" s="99">
        <f t="shared" si="0"/>
        <v>6</v>
      </c>
      <c r="B11" s="359"/>
      <c r="C11" s="128"/>
      <c r="D11" s="137"/>
      <c r="E11" s="198"/>
      <c r="G11" s="29"/>
    </row>
    <row r="12" spans="1:7" x14ac:dyDescent="0.25">
      <c r="A12" s="99">
        <f t="shared" si="0"/>
        <v>7</v>
      </c>
      <c r="B12" s="359">
        <v>3.8739999999999997E-2</v>
      </c>
      <c r="C12" s="128" t="s">
        <v>148</v>
      </c>
      <c r="D12" s="137" t="str">
        <f>D8</f>
        <v>2019-20 PGA Filing</v>
      </c>
      <c r="E12" s="359"/>
      <c r="G12" s="29"/>
    </row>
    <row r="13" spans="1:7" x14ac:dyDescent="0.25">
      <c r="A13" s="99">
        <f t="shared" si="0"/>
        <v>8</v>
      </c>
      <c r="B13" s="359"/>
      <c r="C13" s="128"/>
      <c r="D13" s="137"/>
      <c r="E13" s="359"/>
      <c r="G13" s="29"/>
    </row>
    <row r="14" spans="1:7" x14ac:dyDescent="0.25">
      <c r="A14" s="99">
        <f t="shared" si="0"/>
        <v>9</v>
      </c>
      <c r="B14" s="360">
        <v>4.1579999999999999E-2</v>
      </c>
      <c r="C14" s="128" t="s">
        <v>20</v>
      </c>
      <c r="D14" s="137" t="s">
        <v>194</v>
      </c>
    </row>
    <row r="15" spans="1:7" x14ac:dyDescent="0.25">
      <c r="A15" s="99">
        <f t="shared" si="0"/>
        <v>10</v>
      </c>
      <c r="B15" s="360"/>
      <c r="C15" s="128"/>
      <c r="D15" s="137"/>
    </row>
    <row r="16" spans="1:7" x14ac:dyDescent="0.25">
      <c r="A16" s="99">
        <f t="shared" si="0"/>
        <v>11</v>
      </c>
      <c r="B16" s="361">
        <v>0.24779999999999999</v>
      </c>
      <c r="C16" s="128" t="s">
        <v>161</v>
      </c>
      <c r="D16" s="137" t="s">
        <v>280</v>
      </c>
    </row>
    <row r="17" spans="1:6" x14ac:dyDescent="0.25">
      <c r="A17" s="99">
        <f t="shared" si="0"/>
        <v>12</v>
      </c>
      <c r="C17" s="128"/>
      <c r="D17" s="128"/>
    </row>
    <row r="18" spans="1:6" x14ac:dyDescent="0.25">
      <c r="A18" s="99">
        <f t="shared" si="0"/>
        <v>13</v>
      </c>
      <c r="B18" s="362">
        <v>1.66</v>
      </c>
      <c r="C18" s="128" t="s">
        <v>218</v>
      </c>
      <c r="D18" s="137" t="s">
        <v>215</v>
      </c>
    </row>
    <row r="19" spans="1:6" x14ac:dyDescent="0.25">
      <c r="A19" s="99">
        <f t="shared" si="0"/>
        <v>14</v>
      </c>
      <c r="C19" s="128"/>
      <c r="D19" s="128"/>
    </row>
    <row r="20" spans="1:6" x14ac:dyDescent="0.25">
      <c r="A20" s="99">
        <f t="shared" si="0"/>
        <v>15</v>
      </c>
      <c r="B20" s="361"/>
      <c r="C20" s="128"/>
      <c r="D20" s="137"/>
    </row>
    <row r="21" spans="1:6" x14ac:dyDescent="0.25">
      <c r="A21" s="99">
        <f t="shared" si="0"/>
        <v>16</v>
      </c>
      <c r="B21" s="361"/>
      <c r="C21" s="128"/>
      <c r="D21" s="137"/>
    </row>
    <row r="22" spans="1:6" x14ac:dyDescent="0.25">
      <c r="A22" s="99">
        <f t="shared" si="0"/>
        <v>17</v>
      </c>
      <c r="B22" s="361">
        <v>0.10208</v>
      </c>
      <c r="C22" s="128" t="s">
        <v>219</v>
      </c>
      <c r="D22" s="137" t="s">
        <v>275</v>
      </c>
    </row>
    <row r="23" spans="1:6" x14ac:dyDescent="0.25">
      <c r="A23" s="99">
        <f t="shared" si="0"/>
        <v>18</v>
      </c>
      <c r="B23" s="361"/>
      <c r="C23" s="128"/>
      <c r="D23" s="137"/>
    </row>
    <row r="24" spans="1:6" x14ac:dyDescent="0.25">
      <c r="A24" s="99">
        <f t="shared" si="0"/>
        <v>19</v>
      </c>
      <c r="B24" s="361">
        <v>0.15748000000000001</v>
      </c>
      <c r="C24" s="128" t="s">
        <v>220</v>
      </c>
      <c r="D24" s="137" t="s">
        <v>275</v>
      </c>
    </row>
    <row r="25" spans="1:6" x14ac:dyDescent="0.25">
      <c r="A25" s="99">
        <f t="shared" si="0"/>
        <v>20</v>
      </c>
      <c r="B25" s="361"/>
      <c r="C25" s="128"/>
      <c r="D25" s="137"/>
    </row>
    <row r="26" spans="1:6" x14ac:dyDescent="0.25">
      <c r="A26" s="99">
        <f t="shared" si="0"/>
        <v>21</v>
      </c>
      <c r="B26" s="361">
        <v>0.20415</v>
      </c>
      <c r="C26" s="128" t="s">
        <v>221</v>
      </c>
      <c r="D26" s="137" t="s">
        <v>275</v>
      </c>
    </row>
    <row r="27" spans="1:6" ht="13.8" thickBot="1" x14ac:dyDescent="0.3">
      <c r="A27" s="99">
        <f t="shared" si="0"/>
        <v>22</v>
      </c>
      <c r="C27" s="128"/>
      <c r="D27" s="128"/>
    </row>
    <row r="28" spans="1:6" ht="13.8" thickBot="1" x14ac:dyDescent="0.3">
      <c r="A28" s="99">
        <f t="shared" si="0"/>
        <v>23</v>
      </c>
      <c r="C28" s="147" t="s">
        <v>281</v>
      </c>
      <c r="D28" s="148" t="s">
        <v>18</v>
      </c>
      <c r="E28" s="150" t="s">
        <v>32</v>
      </c>
      <c r="F28" s="151" t="s">
        <v>33</v>
      </c>
    </row>
    <row r="29" spans="1:6" x14ac:dyDescent="0.25">
      <c r="A29" s="99">
        <f t="shared" si="0"/>
        <v>24</v>
      </c>
      <c r="D29" s="29"/>
    </row>
    <row r="30" spans="1:6" x14ac:dyDescent="0.25">
      <c r="A30" s="99">
        <f t="shared" si="0"/>
        <v>25</v>
      </c>
      <c r="B30" s="234">
        <f>-400000/(1-0.21)</f>
        <v>-506329.11392405059</v>
      </c>
      <c r="C30" s="128" t="s">
        <v>185</v>
      </c>
      <c r="D30" s="137" t="s">
        <v>264</v>
      </c>
      <c r="E30" s="128" t="s">
        <v>154</v>
      </c>
      <c r="F30" s="128" t="s">
        <v>184</v>
      </c>
    </row>
    <row r="31" spans="1:6" x14ac:dyDescent="0.25">
      <c r="A31" s="99">
        <f t="shared" si="0"/>
        <v>26</v>
      </c>
      <c r="C31" s="128"/>
      <c r="D31" s="137"/>
      <c r="E31" s="128"/>
      <c r="F31" s="128"/>
    </row>
    <row r="32" spans="1:6" x14ac:dyDescent="0.25">
      <c r="A32" s="99">
        <f t="shared" si="0"/>
        <v>27</v>
      </c>
      <c r="B32" s="234">
        <v>0</v>
      </c>
      <c r="C32" s="128" t="s">
        <v>186</v>
      </c>
      <c r="D32" s="137" t="s">
        <v>264</v>
      </c>
      <c r="E32" s="128" t="s">
        <v>154</v>
      </c>
      <c r="F32" s="128" t="s">
        <v>184</v>
      </c>
    </row>
    <row r="33" spans="1:6" x14ac:dyDescent="0.25">
      <c r="A33" s="99">
        <f t="shared" si="0"/>
        <v>28</v>
      </c>
      <c r="C33" s="128"/>
      <c r="D33" s="137"/>
      <c r="E33" s="128"/>
      <c r="F33" s="128"/>
    </row>
    <row r="34" spans="1:6" x14ac:dyDescent="0.25">
      <c r="A34" s="99">
        <f t="shared" si="0"/>
        <v>29</v>
      </c>
      <c r="B34" s="234">
        <f>-2100000</f>
        <v>-2100000</v>
      </c>
      <c r="C34" s="128" t="s">
        <v>187</v>
      </c>
      <c r="D34" s="137" t="s">
        <v>264</v>
      </c>
      <c r="E34" s="128" t="s">
        <v>154</v>
      </c>
      <c r="F34" s="128" t="s">
        <v>184</v>
      </c>
    </row>
    <row r="35" spans="1:6" x14ac:dyDescent="0.25">
      <c r="A35" s="99">
        <f t="shared" si="0"/>
        <v>30</v>
      </c>
      <c r="C35" s="128"/>
      <c r="D35" s="137"/>
      <c r="E35" s="128"/>
      <c r="F35" s="128"/>
    </row>
    <row r="36" spans="1:6" x14ac:dyDescent="0.25">
      <c r="A36" s="28"/>
    </row>
    <row r="37" spans="1:6" x14ac:dyDescent="0.25">
      <c r="A37" s="28"/>
    </row>
    <row r="38" spans="1:6" x14ac:dyDescent="0.25">
      <c r="A38" s="28"/>
    </row>
    <row r="39" spans="1:6" x14ac:dyDescent="0.25">
      <c r="A39" s="28"/>
    </row>
    <row r="40" spans="1:6" x14ac:dyDescent="0.25">
      <c r="A40" s="28"/>
    </row>
    <row r="41" spans="1:6" x14ac:dyDescent="0.25">
      <c r="A41" s="28"/>
    </row>
    <row r="42" spans="1:6" x14ac:dyDescent="0.25">
      <c r="A42" s="28"/>
    </row>
    <row r="43" spans="1:6" x14ac:dyDescent="0.25">
      <c r="A43" s="28"/>
    </row>
    <row r="44" spans="1:6" x14ac:dyDescent="0.25">
      <c r="A44" s="28"/>
    </row>
    <row r="45" spans="1:6" x14ac:dyDescent="0.25">
      <c r="A45" s="28"/>
    </row>
    <row r="46" spans="1:6" x14ac:dyDescent="0.25">
      <c r="A46" s="28"/>
    </row>
    <row r="47" spans="1:6" x14ac:dyDescent="0.25">
      <c r="A47" s="28"/>
    </row>
  </sheetData>
  <phoneticPr fontId="3" type="noConversion"/>
  <printOptions horizontalCentered="1"/>
  <pageMargins left="0.5" right="0.5" top="0.5" bottom="0.5" header="0.25" footer="0.25"/>
  <pageSetup scale="40" orientation="portrait" r:id="rId1"/>
  <headerFooter alignWithMargins="0">
    <oddHeader>&amp;RUG-181053 NWN Compliance Filing
Advice 19-07 / Work Paper</oddHeader>
    <oddFooter xml:space="preserve">&amp;C&amp;F &amp;D &amp;T
&amp;A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C000"/>
    <pageSetUpPr fitToPage="1"/>
  </sheetPr>
  <dimension ref="A1:P111"/>
  <sheetViews>
    <sheetView showGridLines="0" zoomScaleNormal="100" workbookViewId="0">
      <pane xSplit="4" ySplit="12" topLeftCell="E13" activePane="bottomRight" state="frozen"/>
      <selection activeCell="Q32" sqref="Q32"/>
      <selection pane="topRight" activeCell="Q32" sqref="Q32"/>
      <selection pane="bottomLeft" activeCell="Q32" sqref="Q32"/>
      <selection pane="bottomRight" activeCell="O39" sqref="O39"/>
    </sheetView>
  </sheetViews>
  <sheetFormatPr defaultColWidth="9.33203125" defaultRowHeight="13.2" x14ac:dyDescent="0.25"/>
  <cols>
    <col min="1" max="1" width="5.77734375" style="2" customWidth="1"/>
    <col min="2" max="2" width="17.77734375" style="47" customWidth="1"/>
    <col min="3" max="3" width="11.77734375" style="47" customWidth="1"/>
    <col min="4" max="4" width="14.33203125" style="47" hidden="1" customWidth="1"/>
    <col min="5" max="5" width="19.77734375" style="2" customWidth="1"/>
    <col min="6" max="6" width="16.77734375" style="2" hidden="1" customWidth="1"/>
    <col min="7" max="7" width="5.77734375" style="3" customWidth="1"/>
    <col min="8" max="8" width="14.6640625" style="128" customWidth="1"/>
    <col min="9" max="9" width="15.77734375" style="2" customWidth="1"/>
    <col min="10" max="10" width="8.6640625" style="2" customWidth="1"/>
    <col min="11" max="11" width="14.6640625" style="3" customWidth="1"/>
    <col min="12" max="12" width="9.33203125" style="2"/>
    <col min="13" max="13" width="21.109375" style="2" bestFit="1" customWidth="1"/>
    <col min="14" max="14" width="16.77734375" style="2" bestFit="1" customWidth="1"/>
    <col min="15" max="16384" width="9.33203125" style="2"/>
  </cols>
  <sheetData>
    <row r="1" spans="1:16" ht="15" x14ac:dyDescent="0.25">
      <c r="A1" s="102" t="s">
        <v>0</v>
      </c>
    </row>
    <row r="2" spans="1:16" ht="15" x14ac:dyDescent="0.25">
      <c r="A2" s="102" t="s">
        <v>1</v>
      </c>
    </row>
    <row r="3" spans="1:16" ht="13.8" x14ac:dyDescent="0.25">
      <c r="A3" s="1" t="s">
        <v>241</v>
      </c>
    </row>
    <row r="4" spans="1:16" ht="13.8" x14ac:dyDescent="0.25">
      <c r="A4" s="101" t="s">
        <v>190</v>
      </c>
    </row>
    <row r="7" spans="1:16" ht="15" x14ac:dyDescent="0.25">
      <c r="A7" s="31">
        <v>1</v>
      </c>
      <c r="B7" s="102"/>
    </row>
    <row r="8" spans="1:16" ht="15" x14ac:dyDescent="0.25">
      <c r="A8" s="31">
        <f>+A7+1</f>
        <v>2</v>
      </c>
      <c r="B8" s="102"/>
      <c r="E8" s="4" t="s">
        <v>188</v>
      </c>
      <c r="I8" s="4" t="s">
        <v>142</v>
      </c>
      <c r="K8" s="7"/>
    </row>
    <row r="9" spans="1:16" x14ac:dyDescent="0.25">
      <c r="A9" s="31">
        <f t="shared" ref="A9:A77" si="0">+A8+1</f>
        <v>3</v>
      </c>
      <c r="B9" s="104"/>
      <c r="E9" s="4" t="s">
        <v>159</v>
      </c>
      <c r="I9" s="4" t="s">
        <v>129</v>
      </c>
      <c r="K9" s="7" t="s">
        <v>209</v>
      </c>
      <c r="M9" s="4" t="s">
        <v>149</v>
      </c>
      <c r="N9" s="7" t="s">
        <v>214</v>
      </c>
    </row>
    <row r="10" spans="1:16" ht="13.8" thickBot="1" x14ac:dyDescent="0.3">
      <c r="A10" s="31">
        <f t="shared" si="0"/>
        <v>4</v>
      </c>
      <c r="E10" s="105" t="s">
        <v>189</v>
      </c>
      <c r="F10" s="105" t="s">
        <v>15</v>
      </c>
      <c r="G10" s="103"/>
      <c r="H10" s="105" t="s">
        <v>134</v>
      </c>
      <c r="I10" s="62" t="s">
        <v>135</v>
      </c>
      <c r="K10" s="62" t="s">
        <v>210</v>
      </c>
      <c r="M10" s="62" t="s">
        <v>211</v>
      </c>
      <c r="N10" s="62" t="s">
        <v>210</v>
      </c>
    </row>
    <row r="11" spans="1:16" x14ac:dyDescent="0.25">
      <c r="A11" s="31">
        <f t="shared" si="0"/>
        <v>5</v>
      </c>
      <c r="F11" s="4"/>
      <c r="G11" s="7"/>
      <c r="I11" s="4" t="s">
        <v>158</v>
      </c>
      <c r="K11" s="363"/>
      <c r="N11" s="363"/>
    </row>
    <row r="12" spans="1:16" x14ac:dyDescent="0.25">
      <c r="A12" s="31">
        <f t="shared" si="0"/>
        <v>6</v>
      </c>
      <c r="B12" s="40" t="s">
        <v>2</v>
      </c>
      <c r="C12" s="8" t="s">
        <v>3</v>
      </c>
      <c r="D12" s="14" t="s">
        <v>108</v>
      </c>
      <c r="E12" s="9" t="s">
        <v>58</v>
      </c>
      <c r="F12" s="9" t="s">
        <v>62</v>
      </c>
      <c r="G12" s="7"/>
      <c r="H12" s="129" t="s">
        <v>63</v>
      </c>
      <c r="I12" s="4" t="s">
        <v>64</v>
      </c>
      <c r="J12" s="3"/>
      <c r="K12" s="7"/>
      <c r="L12" s="3"/>
      <c r="M12" s="3"/>
    </row>
    <row r="13" spans="1:16" x14ac:dyDescent="0.25">
      <c r="A13" s="31">
        <f t="shared" si="0"/>
        <v>7</v>
      </c>
      <c r="B13" s="13" t="s">
        <v>4</v>
      </c>
      <c r="C13" s="10"/>
      <c r="D13" s="13" t="s">
        <v>4</v>
      </c>
      <c r="E13" s="364">
        <v>196427</v>
      </c>
      <c r="F13" s="106">
        <f>E13</f>
        <v>196427</v>
      </c>
      <c r="G13" s="107"/>
      <c r="H13" s="106">
        <v>860.33333333333337</v>
      </c>
      <c r="I13" s="106">
        <f t="shared" ref="I13:I18" si="1">IF(H13&lt;&gt;0,ROUND(+E13/H13/12,5),0)</f>
        <v>19.026250000000001</v>
      </c>
      <c r="J13" s="110"/>
      <c r="K13" s="351">
        <f>'Avg Bill by RS'!T13</f>
        <v>2.41</v>
      </c>
      <c r="L13" s="109"/>
      <c r="M13" s="220" t="s">
        <v>38</v>
      </c>
      <c r="N13" s="457">
        <f>((K13*H13)+(K15*H15))/(H13+H15)</f>
        <v>5.1780953589757752</v>
      </c>
      <c r="O13" s="128"/>
      <c r="P13" s="128"/>
    </row>
    <row r="14" spans="1:16" x14ac:dyDescent="0.25">
      <c r="A14" s="31">
        <f t="shared" si="0"/>
        <v>8</v>
      </c>
      <c r="B14" s="13" t="s">
        <v>5</v>
      </c>
      <c r="C14" s="10"/>
      <c r="D14" s="13" t="s">
        <v>5</v>
      </c>
      <c r="E14" s="106">
        <v>45533</v>
      </c>
      <c r="F14" s="106">
        <f t="shared" ref="F14:F72" si="2">E14</f>
        <v>45533</v>
      </c>
      <c r="G14" s="107"/>
      <c r="H14" s="106">
        <v>36.916666666666664</v>
      </c>
      <c r="I14" s="106">
        <f t="shared" si="1"/>
        <v>102.7833</v>
      </c>
      <c r="J14" s="110"/>
      <c r="K14" s="351">
        <f>'Avg Bill by RS'!T14</f>
        <v>11.339999999999989</v>
      </c>
      <c r="L14" s="109"/>
      <c r="M14" s="220" t="s">
        <v>39</v>
      </c>
      <c r="N14" s="457">
        <f>((K14*H14)+(K16*H16)+(K18*H18)+(K19*H19)+(K21*H21)+(K29*H29))/(H14+H16+H18+H19+H21+H29)</f>
        <v>25.866447439677465</v>
      </c>
      <c r="O14" s="128"/>
      <c r="P14" s="128"/>
    </row>
    <row r="15" spans="1:16" x14ac:dyDescent="0.25">
      <c r="A15" s="31">
        <f t="shared" si="0"/>
        <v>9</v>
      </c>
      <c r="B15" s="13" t="s">
        <v>14</v>
      </c>
      <c r="C15" s="10"/>
      <c r="D15" s="13" t="s">
        <v>14</v>
      </c>
      <c r="E15" s="106">
        <v>50439545</v>
      </c>
      <c r="F15" s="106">
        <f t="shared" si="2"/>
        <v>50439545</v>
      </c>
      <c r="G15" s="107"/>
      <c r="H15" s="106">
        <v>74643.833333333328</v>
      </c>
      <c r="I15" s="106">
        <f t="shared" si="1"/>
        <v>56.311360000000001</v>
      </c>
      <c r="J15" s="110"/>
      <c r="K15" s="351">
        <f>'Avg Bill by RS'!T15</f>
        <v>5.2100000000000009</v>
      </c>
      <c r="L15" s="109"/>
      <c r="M15" s="220" t="s">
        <v>212</v>
      </c>
      <c r="N15" s="457">
        <f>((K17*H17)+(K25*H25)+(K35*H35))/(H17+H25+H35)</f>
        <v>485.79836671802798</v>
      </c>
      <c r="O15" s="128"/>
      <c r="P15" s="128"/>
    </row>
    <row r="16" spans="1:16" x14ac:dyDescent="0.25">
      <c r="A16" s="31">
        <f t="shared" si="0"/>
        <v>10</v>
      </c>
      <c r="B16" s="13" t="s">
        <v>12</v>
      </c>
      <c r="C16" s="10"/>
      <c r="D16" s="13" t="s">
        <v>12</v>
      </c>
      <c r="E16" s="106">
        <v>16896372.415424868</v>
      </c>
      <c r="F16" s="106">
        <f t="shared" si="2"/>
        <v>16896372.415424868</v>
      </c>
      <c r="G16" s="107"/>
      <c r="H16" s="106">
        <v>6007.083333333333</v>
      </c>
      <c r="I16" s="106">
        <f t="shared" si="1"/>
        <v>234.39511999999999</v>
      </c>
      <c r="J16" s="110"/>
      <c r="K16" s="351">
        <f>'Avg Bill by RS'!T16</f>
        <v>20.329999999999984</v>
      </c>
      <c r="L16" s="109"/>
      <c r="M16" s="63" t="s">
        <v>213</v>
      </c>
      <c r="N16" s="457">
        <f>((K21*H21)+(K27*H27)+(K53*H53)+(K59*H59))/(H21+H27+H53+H59)</f>
        <v>2300.1340000000005</v>
      </c>
      <c r="O16" s="128"/>
      <c r="P16" s="128"/>
    </row>
    <row r="17" spans="1:16" x14ac:dyDescent="0.25">
      <c r="A17" s="31">
        <f t="shared" si="0"/>
        <v>11</v>
      </c>
      <c r="B17" s="13" t="s">
        <v>13</v>
      </c>
      <c r="C17" s="10"/>
      <c r="D17" s="13" t="s">
        <v>13</v>
      </c>
      <c r="E17" s="106">
        <v>478558.2</v>
      </c>
      <c r="F17" s="106">
        <f t="shared" si="2"/>
        <v>478558.2</v>
      </c>
      <c r="G17" s="107"/>
      <c r="H17" s="106">
        <v>27.333333333333332</v>
      </c>
      <c r="I17" s="106">
        <f t="shared" si="1"/>
        <v>1459.0189</v>
      </c>
      <c r="J17" s="110"/>
      <c r="K17" s="351">
        <f>'Avg Bill by RS'!T17</f>
        <v>92.160000000000082</v>
      </c>
      <c r="L17" s="109"/>
      <c r="M17" s="63" t="s">
        <v>269</v>
      </c>
      <c r="N17" s="457">
        <f>((K23*H23)+(K41*H41)+(H47*K47)+(K65*H65))/(H23+H41+H47+H65)</f>
        <v>558.33635789473681</v>
      </c>
      <c r="O17" s="128"/>
      <c r="P17" s="128"/>
    </row>
    <row r="18" spans="1:16" x14ac:dyDescent="0.25">
      <c r="A18" s="31">
        <f t="shared" si="0"/>
        <v>12</v>
      </c>
      <c r="B18" s="51">
        <v>27</v>
      </c>
      <c r="C18" s="17"/>
      <c r="D18" s="51">
        <v>27</v>
      </c>
      <c r="E18" s="111">
        <v>517229.53568450134</v>
      </c>
      <c r="F18" s="111">
        <f t="shared" si="2"/>
        <v>517229.53568450134</v>
      </c>
      <c r="G18" s="107"/>
      <c r="H18" s="111">
        <v>786.5</v>
      </c>
      <c r="I18" s="106">
        <f t="shared" si="1"/>
        <v>54.802880000000002</v>
      </c>
      <c r="J18" s="108"/>
      <c r="K18" s="454">
        <f>'Avg Bill by RS'!T18</f>
        <v>4.1400000000000006</v>
      </c>
      <c r="L18" s="109"/>
      <c r="M18" s="63"/>
      <c r="N18" s="128"/>
      <c r="O18" s="128"/>
      <c r="P18" s="128"/>
    </row>
    <row r="19" spans="1:16" x14ac:dyDescent="0.25">
      <c r="A19" s="31">
        <f t="shared" si="0"/>
        <v>13</v>
      </c>
      <c r="B19" s="47" t="s">
        <v>166</v>
      </c>
      <c r="C19" s="15" t="s">
        <v>6</v>
      </c>
      <c r="D19" s="47" t="s">
        <v>70</v>
      </c>
      <c r="E19" s="107">
        <v>1845820.9686654136</v>
      </c>
      <c r="F19" s="107">
        <f t="shared" si="2"/>
        <v>1845820.9686654136</v>
      </c>
      <c r="G19" s="107"/>
      <c r="H19" s="107">
        <v>88.333333333333329</v>
      </c>
      <c r="I19" s="242">
        <f>IF(H19&lt;&gt;0,ROUND(SUM(E19:F20)/H19/12,5),0)</f>
        <v>6921.7673800000002</v>
      </c>
      <c r="J19" s="112"/>
      <c r="K19" s="453">
        <f>'Avg Bill by RS'!T21</f>
        <v>511.13000000000011</v>
      </c>
      <c r="L19" s="159"/>
      <c r="M19" s="63"/>
      <c r="N19" s="128"/>
      <c r="O19" s="128"/>
      <c r="P19" s="128"/>
    </row>
    <row r="20" spans="1:16" x14ac:dyDescent="0.25">
      <c r="A20" s="31">
        <f t="shared" si="0"/>
        <v>14</v>
      </c>
      <c r="B20" s="51"/>
      <c r="C20" s="18" t="s">
        <v>7</v>
      </c>
      <c r="D20" s="51" t="s">
        <v>71</v>
      </c>
      <c r="E20" s="111">
        <v>1822715.7411472078</v>
      </c>
      <c r="F20" s="111">
        <f t="shared" si="2"/>
        <v>1822715.7411472078</v>
      </c>
      <c r="G20" s="107"/>
      <c r="H20" s="111"/>
      <c r="I20" s="111"/>
      <c r="J20" s="112"/>
      <c r="K20" s="455"/>
      <c r="L20" s="159"/>
      <c r="M20" s="63"/>
      <c r="N20" s="128"/>
      <c r="O20" s="128"/>
      <c r="P20" s="128"/>
    </row>
    <row r="21" spans="1:16" x14ac:dyDescent="0.25">
      <c r="A21" s="31">
        <f t="shared" si="0"/>
        <v>15</v>
      </c>
      <c r="B21" s="47" t="s">
        <v>167</v>
      </c>
      <c r="C21" s="15" t="s">
        <v>6</v>
      </c>
      <c r="E21" s="107">
        <v>0</v>
      </c>
      <c r="F21" s="107">
        <f t="shared" si="2"/>
        <v>0</v>
      </c>
      <c r="G21" s="107"/>
      <c r="H21" s="107">
        <v>0</v>
      </c>
      <c r="I21" s="242">
        <f>IF(H21&lt;&gt;0,ROUND(SUM(E21:F22)/H21/12,5),0)</f>
        <v>0</v>
      </c>
      <c r="J21" s="112"/>
      <c r="K21" s="453">
        <f>'Avg Bill by RS'!T24</f>
        <v>0</v>
      </c>
      <c r="L21" s="159"/>
      <c r="M21" s="63"/>
      <c r="N21" s="128"/>
      <c r="O21" s="128"/>
      <c r="P21" s="128"/>
    </row>
    <row r="22" spans="1:16" x14ac:dyDescent="0.25">
      <c r="A22" s="31">
        <f t="shared" si="0"/>
        <v>16</v>
      </c>
      <c r="B22" s="51"/>
      <c r="C22" s="18" t="s">
        <v>7</v>
      </c>
      <c r="E22" s="111">
        <v>0</v>
      </c>
      <c r="F22" s="111">
        <f t="shared" si="2"/>
        <v>0</v>
      </c>
      <c r="G22" s="107"/>
      <c r="H22" s="111"/>
      <c r="I22" s="111"/>
      <c r="J22" s="112"/>
      <c r="K22" s="455"/>
      <c r="L22" s="159"/>
      <c r="M22" s="63"/>
      <c r="N22" s="128"/>
      <c r="O22" s="128"/>
      <c r="P22" s="128"/>
    </row>
    <row r="23" spans="1:16" x14ac:dyDescent="0.25">
      <c r="A23" s="31">
        <f t="shared" si="0"/>
        <v>17</v>
      </c>
      <c r="B23" s="47" t="s">
        <v>109</v>
      </c>
      <c r="C23" s="15" t="s">
        <v>6</v>
      </c>
      <c r="D23" s="47" t="s">
        <v>72</v>
      </c>
      <c r="E23" s="107">
        <v>373284</v>
      </c>
      <c r="F23" s="107">
        <f t="shared" si="2"/>
        <v>373284</v>
      </c>
      <c r="G23" s="107"/>
      <c r="H23" s="107">
        <v>16.833333333333332</v>
      </c>
      <c r="I23" s="242">
        <f>IF(H23&lt;&gt;0,ROUND(SUM(E23:F24)/H23/12,5),0)</f>
        <v>9538.9603999999999</v>
      </c>
      <c r="J23" s="112"/>
      <c r="K23" s="453">
        <f>'Avg Bill by RS'!T27</f>
        <v>213.44999999999982</v>
      </c>
      <c r="L23" s="159"/>
      <c r="M23" s="63"/>
      <c r="N23" s="128"/>
      <c r="O23" s="128"/>
      <c r="P23" s="128"/>
    </row>
    <row r="24" spans="1:16" x14ac:dyDescent="0.25">
      <c r="A24" s="31">
        <f t="shared" si="0"/>
        <v>18</v>
      </c>
      <c r="B24" s="51"/>
      <c r="C24" s="18" t="s">
        <v>7</v>
      </c>
      <c r="D24" s="51" t="s">
        <v>73</v>
      </c>
      <c r="E24" s="111">
        <v>590151</v>
      </c>
      <c r="F24" s="111">
        <f t="shared" si="2"/>
        <v>590151</v>
      </c>
      <c r="G24" s="107"/>
      <c r="H24" s="111"/>
      <c r="I24" s="111"/>
      <c r="J24" s="113"/>
      <c r="K24" s="455"/>
      <c r="L24" s="160"/>
      <c r="M24" s="63"/>
      <c r="N24" s="128"/>
      <c r="O24" s="128"/>
      <c r="P24" s="128"/>
    </row>
    <row r="25" spans="1:16" x14ac:dyDescent="0.25">
      <c r="A25" s="31">
        <f t="shared" si="0"/>
        <v>19</v>
      </c>
      <c r="B25" s="47" t="s">
        <v>168</v>
      </c>
      <c r="C25" s="15" t="s">
        <v>6</v>
      </c>
      <c r="E25" s="107">
        <v>322107.7</v>
      </c>
      <c r="F25" s="107">
        <f t="shared" si="2"/>
        <v>322107.7</v>
      </c>
      <c r="G25" s="107"/>
      <c r="H25" s="107">
        <v>14.916666666666666</v>
      </c>
      <c r="I25" s="242">
        <f>IF(H25&lt;&gt;0,ROUND(SUM(E25:F26)/H25/12,5),0)</f>
        <v>7471.22235</v>
      </c>
      <c r="J25" s="113"/>
      <c r="K25" s="453">
        <f>'Avg Bill by RS'!T30</f>
        <v>436.62000000000035</v>
      </c>
      <c r="L25" s="160"/>
      <c r="M25" s="63"/>
      <c r="N25" s="128"/>
      <c r="O25" s="128"/>
      <c r="P25" s="128"/>
    </row>
    <row r="26" spans="1:16" x14ac:dyDescent="0.25">
      <c r="A26" s="31">
        <f t="shared" si="0"/>
        <v>20</v>
      </c>
      <c r="B26" s="51"/>
      <c r="C26" s="18" t="s">
        <v>7</v>
      </c>
      <c r="E26" s="111">
        <v>346566.6999999999</v>
      </c>
      <c r="F26" s="111">
        <f t="shared" si="2"/>
        <v>346566.6999999999</v>
      </c>
      <c r="G26" s="107"/>
      <c r="H26" s="111"/>
      <c r="I26" s="111"/>
      <c r="J26" s="113"/>
      <c r="K26" s="455"/>
      <c r="L26" s="160"/>
      <c r="M26" s="63"/>
      <c r="N26" s="128"/>
      <c r="O26" s="128"/>
      <c r="P26" s="128"/>
    </row>
    <row r="27" spans="1:16" x14ac:dyDescent="0.25">
      <c r="A27" s="31">
        <f t="shared" si="0"/>
        <v>21</v>
      </c>
      <c r="B27" s="47" t="s">
        <v>169</v>
      </c>
      <c r="C27" s="15" t="s">
        <v>6</v>
      </c>
      <c r="D27" s="47" t="s">
        <v>74</v>
      </c>
      <c r="E27" s="107">
        <v>0</v>
      </c>
      <c r="F27" s="107">
        <f t="shared" si="2"/>
        <v>0</v>
      </c>
      <c r="G27" s="107"/>
      <c r="H27" s="107">
        <v>0</v>
      </c>
      <c r="I27" s="242">
        <f>IF(H27&lt;&gt;0,ROUND(SUM(E27:F28)/H27/12,5),0)</f>
        <v>0</v>
      </c>
      <c r="J27" s="113"/>
      <c r="K27" s="453">
        <f>'Avg Bill by RS'!T33</f>
        <v>0</v>
      </c>
      <c r="L27" s="159"/>
      <c r="M27" s="63"/>
      <c r="N27" s="128"/>
      <c r="O27" s="128"/>
      <c r="P27" s="128"/>
    </row>
    <row r="28" spans="1:16" x14ac:dyDescent="0.25">
      <c r="A28" s="31">
        <f t="shared" si="0"/>
        <v>22</v>
      </c>
      <c r="B28" s="51"/>
      <c r="C28" s="18" t="s">
        <v>7</v>
      </c>
      <c r="D28" s="51" t="s">
        <v>75</v>
      </c>
      <c r="E28" s="111">
        <v>0</v>
      </c>
      <c r="F28" s="111">
        <f t="shared" si="2"/>
        <v>0</v>
      </c>
      <c r="G28" s="107"/>
      <c r="H28" s="111"/>
      <c r="I28" s="111"/>
      <c r="J28" s="108"/>
      <c r="K28" s="455"/>
      <c r="L28" s="159"/>
      <c r="M28" s="63"/>
      <c r="N28" s="128"/>
      <c r="O28" s="128"/>
      <c r="P28" s="128"/>
    </row>
    <row r="29" spans="1:16" x14ac:dyDescent="0.25">
      <c r="A29" s="31">
        <f t="shared" si="0"/>
        <v>23</v>
      </c>
      <c r="B29" s="47" t="s">
        <v>110</v>
      </c>
      <c r="C29" s="15" t="s">
        <v>6</v>
      </c>
      <c r="D29" s="47" t="s">
        <v>76</v>
      </c>
      <c r="E29" s="107">
        <v>375116.70374643942</v>
      </c>
      <c r="F29" s="107">
        <f t="shared" si="2"/>
        <v>375116.70374643942</v>
      </c>
      <c r="G29" s="107"/>
      <c r="H29" s="107">
        <v>5.75</v>
      </c>
      <c r="I29" s="242">
        <f>IF(H29&lt;&gt;0,ROUND(SUM(E29:F34)/H29/12,5),0)</f>
        <v>21657.937910000001</v>
      </c>
      <c r="J29" s="114"/>
      <c r="K29" s="453">
        <f>'Avg Bill by RS'!T40</f>
        <v>1420.1400000000003</v>
      </c>
      <c r="L29" s="115"/>
      <c r="M29" s="63"/>
      <c r="N29" s="128"/>
      <c r="O29" s="128"/>
      <c r="P29" s="128"/>
    </row>
    <row r="30" spans="1:16" x14ac:dyDescent="0.25">
      <c r="A30" s="31">
        <f t="shared" si="0"/>
        <v>24</v>
      </c>
      <c r="C30" s="15" t="s">
        <v>7</v>
      </c>
      <c r="D30" s="47" t="s">
        <v>77</v>
      </c>
      <c r="E30" s="107">
        <v>296540.09891768522</v>
      </c>
      <c r="F30" s="107">
        <f t="shared" si="2"/>
        <v>296540.09891768522</v>
      </c>
      <c r="G30" s="107"/>
      <c r="H30" s="107"/>
      <c r="I30" s="107"/>
      <c r="J30" s="114"/>
      <c r="K30" s="247"/>
      <c r="L30" s="115"/>
      <c r="M30" s="63"/>
      <c r="N30" s="128"/>
      <c r="O30" s="128"/>
      <c r="P30" s="128"/>
    </row>
    <row r="31" spans="1:16" x14ac:dyDescent="0.25">
      <c r="A31" s="31">
        <f t="shared" si="0"/>
        <v>25</v>
      </c>
      <c r="C31" s="15" t="s">
        <v>8</v>
      </c>
      <c r="D31" s="47" t="s">
        <v>78</v>
      </c>
      <c r="E31" s="107">
        <v>74345.195918210724</v>
      </c>
      <c r="F31" s="107">
        <f t="shared" si="2"/>
        <v>74345.195918210724</v>
      </c>
      <c r="G31" s="107"/>
      <c r="H31" s="107"/>
      <c r="I31" s="107"/>
      <c r="J31" s="108"/>
      <c r="K31" s="247"/>
      <c r="L31" s="116"/>
      <c r="M31" s="63"/>
      <c r="N31" s="128"/>
      <c r="O31" s="128"/>
      <c r="P31" s="128"/>
    </row>
    <row r="32" spans="1:16" x14ac:dyDescent="0.25">
      <c r="A32" s="31">
        <f t="shared" si="0"/>
        <v>26</v>
      </c>
      <c r="C32" s="15" t="s">
        <v>9</v>
      </c>
      <c r="D32" s="47" t="s">
        <v>79</v>
      </c>
      <c r="E32" s="107">
        <v>1196.8591974909189</v>
      </c>
      <c r="F32" s="107">
        <f t="shared" si="2"/>
        <v>1196.8591974909189</v>
      </c>
      <c r="G32" s="107"/>
      <c r="H32" s="107"/>
      <c r="I32" s="107"/>
      <c r="J32" s="108"/>
      <c r="K32" s="247"/>
      <c r="L32" s="116"/>
      <c r="M32" s="63"/>
      <c r="N32" s="128"/>
      <c r="O32" s="128"/>
      <c r="P32" s="128"/>
    </row>
    <row r="33" spans="1:16" x14ac:dyDescent="0.25">
      <c r="A33" s="31">
        <f t="shared" si="0"/>
        <v>27</v>
      </c>
      <c r="C33" s="15" t="s">
        <v>10</v>
      </c>
      <c r="D33" s="47" t="s">
        <v>80</v>
      </c>
      <c r="E33" s="107">
        <v>0</v>
      </c>
      <c r="F33" s="107">
        <f t="shared" si="2"/>
        <v>0</v>
      </c>
      <c r="G33" s="107"/>
      <c r="H33" s="107"/>
      <c r="I33" s="107"/>
      <c r="J33" s="108"/>
      <c r="K33" s="247"/>
      <c r="L33" s="116"/>
      <c r="M33" s="63"/>
      <c r="N33" s="128"/>
      <c r="O33" s="128"/>
      <c r="P33" s="128"/>
    </row>
    <row r="34" spans="1:16" x14ac:dyDescent="0.25">
      <c r="A34" s="31">
        <f t="shared" si="0"/>
        <v>28</v>
      </c>
      <c r="B34" s="51"/>
      <c r="C34" s="18" t="s">
        <v>11</v>
      </c>
      <c r="D34" s="51" t="s">
        <v>81</v>
      </c>
      <c r="E34" s="111">
        <v>0</v>
      </c>
      <c r="F34" s="111">
        <f t="shared" si="2"/>
        <v>0</v>
      </c>
      <c r="G34" s="107"/>
      <c r="H34" s="111"/>
      <c r="I34" s="111"/>
      <c r="J34" s="108"/>
      <c r="K34" s="247"/>
      <c r="L34" s="116"/>
      <c r="M34" s="63"/>
      <c r="N34" s="128"/>
      <c r="O34" s="128"/>
      <c r="P34" s="128"/>
    </row>
    <row r="35" spans="1:16" x14ac:dyDescent="0.25">
      <c r="A35" s="31">
        <f t="shared" si="0"/>
        <v>29</v>
      </c>
      <c r="B35" s="47" t="s">
        <v>111</v>
      </c>
      <c r="C35" s="15" t="s">
        <v>6</v>
      </c>
      <c r="D35" s="47" t="s">
        <v>82</v>
      </c>
      <c r="E35" s="107">
        <v>1116842.3999999999</v>
      </c>
      <c r="F35" s="107">
        <f t="shared" si="2"/>
        <v>1116842.3999999999</v>
      </c>
      <c r="G35" s="107"/>
      <c r="H35" s="107">
        <v>11.833333333333334</v>
      </c>
      <c r="I35" s="242">
        <f>IF(H35&lt;&gt;0,ROUND(SUM(E35:F40)/H35/12,5),0)</f>
        <v>27009.42958</v>
      </c>
      <c r="J35" s="108"/>
      <c r="K35" s="351">
        <f>'Avg Bill by RS'!T47</f>
        <v>1457.0400000000009</v>
      </c>
      <c r="L35" s="116"/>
      <c r="M35" s="63"/>
      <c r="N35" s="128"/>
      <c r="O35" s="128"/>
      <c r="P35" s="128"/>
    </row>
    <row r="36" spans="1:16" x14ac:dyDescent="0.25">
      <c r="A36" s="31">
        <f t="shared" si="0"/>
        <v>30</v>
      </c>
      <c r="C36" s="15" t="s">
        <v>7</v>
      </c>
      <c r="D36" s="47" t="s">
        <v>83</v>
      </c>
      <c r="E36" s="107">
        <v>718678.6</v>
      </c>
      <c r="F36" s="107">
        <f t="shared" si="2"/>
        <v>718678.6</v>
      </c>
      <c r="G36" s="107"/>
      <c r="H36" s="107"/>
      <c r="I36" s="107"/>
      <c r="J36" s="3"/>
      <c r="K36" s="247"/>
      <c r="L36" s="63"/>
      <c r="M36" s="63"/>
      <c r="N36" s="128"/>
      <c r="O36" s="128"/>
      <c r="P36" s="128"/>
    </row>
    <row r="37" spans="1:16" x14ac:dyDescent="0.25">
      <c r="A37" s="31">
        <f t="shared" si="0"/>
        <v>31</v>
      </c>
      <c r="C37" s="15" t="s">
        <v>8</v>
      </c>
      <c r="D37" s="47" t="s">
        <v>84</v>
      </c>
      <c r="E37" s="107">
        <v>82148.5</v>
      </c>
      <c r="F37" s="107">
        <f t="shared" si="2"/>
        <v>82148.5</v>
      </c>
      <c r="G37" s="107"/>
      <c r="H37" s="107"/>
      <c r="I37" s="107"/>
      <c r="J37" s="3"/>
      <c r="K37" s="247"/>
      <c r="L37" s="63"/>
      <c r="M37" s="63"/>
      <c r="N37" s="128"/>
      <c r="O37" s="128"/>
      <c r="P37" s="128"/>
    </row>
    <row r="38" spans="1:16" x14ac:dyDescent="0.25">
      <c r="A38" s="31">
        <f t="shared" si="0"/>
        <v>32</v>
      </c>
      <c r="C38" s="15" t="s">
        <v>9</v>
      </c>
      <c r="D38" s="47" t="s">
        <v>85</v>
      </c>
      <c r="E38" s="107">
        <v>0</v>
      </c>
      <c r="F38" s="107">
        <f t="shared" si="2"/>
        <v>0</v>
      </c>
      <c r="G38" s="107"/>
      <c r="H38" s="107"/>
      <c r="I38" s="107"/>
      <c r="J38" s="3"/>
      <c r="K38" s="247"/>
      <c r="L38" s="63"/>
      <c r="M38" s="63"/>
      <c r="N38" s="128"/>
      <c r="O38" s="128"/>
      <c r="P38" s="128"/>
    </row>
    <row r="39" spans="1:16" x14ac:dyDescent="0.25">
      <c r="A39" s="31">
        <f t="shared" si="0"/>
        <v>33</v>
      </c>
      <c r="C39" s="15" t="s">
        <v>10</v>
      </c>
      <c r="D39" s="47" t="s">
        <v>86</v>
      </c>
      <c r="E39" s="107">
        <v>0</v>
      </c>
      <c r="F39" s="107">
        <f t="shared" si="2"/>
        <v>0</v>
      </c>
      <c r="G39" s="107"/>
      <c r="H39" s="107"/>
      <c r="I39" s="107"/>
      <c r="J39" s="3"/>
      <c r="K39" s="247"/>
      <c r="L39" s="63"/>
      <c r="M39" s="63"/>
      <c r="N39" s="128"/>
      <c r="O39" s="128"/>
      <c r="P39" s="128"/>
    </row>
    <row r="40" spans="1:16" x14ac:dyDescent="0.25">
      <c r="A40" s="31">
        <f t="shared" si="0"/>
        <v>34</v>
      </c>
      <c r="B40" s="51"/>
      <c r="C40" s="18" t="s">
        <v>11</v>
      </c>
      <c r="D40" s="51" t="s">
        <v>87</v>
      </c>
      <c r="E40" s="111">
        <v>0</v>
      </c>
      <c r="F40" s="111">
        <f t="shared" si="2"/>
        <v>0</v>
      </c>
      <c r="G40" s="107"/>
      <c r="H40" s="111"/>
      <c r="I40" s="111"/>
      <c r="J40" s="3"/>
      <c r="K40" s="247"/>
      <c r="L40" s="63"/>
      <c r="M40" s="63"/>
      <c r="N40" s="128"/>
      <c r="O40" s="128"/>
      <c r="P40" s="128"/>
    </row>
    <row r="41" spans="1:16" x14ac:dyDescent="0.25">
      <c r="A41" s="31">
        <f t="shared" si="0"/>
        <v>35</v>
      </c>
      <c r="B41" s="47" t="s">
        <v>265</v>
      </c>
      <c r="C41" s="15" t="s">
        <v>6</v>
      </c>
      <c r="D41" s="47" t="s">
        <v>88</v>
      </c>
      <c r="E41" s="107">
        <v>480000</v>
      </c>
      <c r="F41" s="107">
        <f t="shared" si="2"/>
        <v>480000</v>
      </c>
      <c r="G41" s="107"/>
      <c r="H41" s="107">
        <v>4</v>
      </c>
      <c r="I41" s="242">
        <f>IF(H41&lt;&gt;0,ROUND(SUM(E41:F46)/H41/12,5),0)</f>
        <v>85748.708329999994</v>
      </c>
      <c r="J41" s="3"/>
      <c r="K41" s="351">
        <f>'Avg Bill by RS'!T54</f>
        <v>668.19999999999891</v>
      </c>
      <c r="L41" s="128"/>
      <c r="M41" s="63"/>
      <c r="N41" s="128"/>
      <c r="O41" s="128"/>
      <c r="P41" s="128"/>
    </row>
    <row r="42" spans="1:16" x14ac:dyDescent="0.25">
      <c r="A42" s="31">
        <f t="shared" si="0"/>
        <v>36</v>
      </c>
      <c r="C42" s="15" t="s">
        <v>7</v>
      </c>
      <c r="D42" s="47" t="s">
        <v>89</v>
      </c>
      <c r="E42" s="107">
        <v>772316</v>
      </c>
      <c r="F42" s="107">
        <f t="shared" si="2"/>
        <v>772316</v>
      </c>
      <c r="G42" s="107"/>
      <c r="H42" s="107"/>
      <c r="I42" s="107"/>
      <c r="J42" s="3"/>
      <c r="K42" s="247"/>
      <c r="L42" s="63"/>
      <c r="M42" s="63"/>
      <c r="N42" s="128"/>
      <c r="O42" s="128"/>
      <c r="P42" s="128"/>
    </row>
    <row r="43" spans="1:16" x14ac:dyDescent="0.25">
      <c r="A43" s="31">
        <f t="shared" si="0"/>
        <v>37</v>
      </c>
      <c r="C43" s="15" t="s">
        <v>8</v>
      </c>
      <c r="D43" s="47" t="s">
        <v>90</v>
      </c>
      <c r="E43" s="107">
        <v>435081</v>
      </c>
      <c r="F43" s="107">
        <f t="shared" si="2"/>
        <v>435081</v>
      </c>
      <c r="G43" s="107"/>
      <c r="H43" s="107"/>
      <c r="I43" s="107"/>
      <c r="J43" s="3"/>
      <c r="K43" s="247"/>
      <c r="L43" s="63"/>
      <c r="M43" s="63"/>
      <c r="N43" s="128"/>
      <c r="O43" s="128"/>
      <c r="P43" s="128"/>
    </row>
    <row r="44" spans="1:16" x14ac:dyDescent="0.25">
      <c r="A44" s="31">
        <f t="shared" si="0"/>
        <v>38</v>
      </c>
      <c r="C44" s="15" t="s">
        <v>9</v>
      </c>
      <c r="D44" s="47" t="s">
        <v>91</v>
      </c>
      <c r="E44" s="107">
        <v>370572</v>
      </c>
      <c r="F44" s="107">
        <f t="shared" si="2"/>
        <v>370572</v>
      </c>
      <c r="G44" s="107"/>
      <c r="H44" s="107"/>
      <c r="I44" s="107"/>
      <c r="K44" s="247"/>
      <c r="L44" s="128"/>
      <c r="M44" s="128"/>
      <c r="N44" s="128"/>
      <c r="O44" s="128"/>
      <c r="P44" s="128"/>
    </row>
    <row r="45" spans="1:16" x14ac:dyDescent="0.25">
      <c r="A45" s="31">
        <f t="shared" si="0"/>
        <v>39</v>
      </c>
      <c r="C45" s="15" t="s">
        <v>10</v>
      </c>
      <c r="D45" s="47" t="s">
        <v>92</v>
      </c>
      <c r="E45" s="107">
        <v>0</v>
      </c>
      <c r="F45" s="107">
        <f t="shared" si="2"/>
        <v>0</v>
      </c>
      <c r="G45" s="107"/>
      <c r="H45" s="107"/>
      <c r="I45" s="107"/>
      <c r="K45" s="247"/>
      <c r="L45" s="128"/>
      <c r="M45" s="128"/>
      <c r="N45" s="128"/>
      <c r="O45" s="128"/>
      <c r="P45" s="128"/>
    </row>
    <row r="46" spans="1:16" x14ac:dyDescent="0.25">
      <c r="A46" s="31">
        <f t="shared" si="0"/>
        <v>40</v>
      </c>
      <c r="B46" s="51"/>
      <c r="C46" s="18" t="s">
        <v>11</v>
      </c>
      <c r="D46" s="51" t="s">
        <v>93</v>
      </c>
      <c r="E46" s="111">
        <v>0</v>
      </c>
      <c r="F46" s="111">
        <f t="shared" si="2"/>
        <v>0</v>
      </c>
      <c r="G46" s="107"/>
      <c r="H46" s="111"/>
      <c r="I46" s="111"/>
      <c r="K46" s="247"/>
      <c r="L46" s="128"/>
      <c r="M46" s="128"/>
      <c r="N46" s="128"/>
      <c r="O46" s="128"/>
      <c r="P46" s="128"/>
    </row>
    <row r="47" spans="1:16" x14ac:dyDescent="0.25">
      <c r="A47" s="31">
        <f t="shared" si="0"/>
        <v>41</v>
      </c>
      <c r="B47" s="47" t="s">
        <v>266</v>
      </c>
      <c r="C47" s="15" t="s">
        <v>6</v>
      </c>
      <c r="D47" s="47" t="s">
        <v>88</v>
      </c>
      <c r="E47" s="107">
        <v>835575</v>
      </c>
      <c r="F47" s="107">
        <f t="shared" ref="F47:F52" si="3">E47</f>
        <v>835575</v>
      </c>
      <c r="G47" s="107"/>
      <c r="H47" s="107">
        <v>7.833333333333333</v>
      </c>
      <c r="I47" s="242">
        <f>IF(H47&lt;&gt;0,ROUND(SUM(E47:F52)/H47/12,5),0)</f>
        <v>86049.276599999997</v>
      </c>
      <c r="J47" s="3"/>
      <c r="K47" s="351">
        <f>'Avg Bill by RS'!T61</f>
        <v>909.64000000000124</v>
      </c>
      <c r="L47" s="128"/>
      <c r="M47" s="63"/>
      <c r="N47" s="128"/>
      <c r="O47" s="128"/>
      <c r="P47" s="128"/>
    </row>
    <row r="48" spans="1:16" x14ac:dyDescent="0.25">
      <c r="A48" s="31">
        <f t="shared" si="0"/>
        <v>42</v>
      </c>
      <c r="C48" s="15" t="s">
        <v>7</v>
      </c>
      <c r="D48" s="47" t="s">
        <v>89</v>
      </c>
      <c r="E48" s="107">
        <v>847995</v>
      </c>
      <c r="F48" s="107">
        <f t="shared" si="3"/>
        <v>847995</v>
      </c>
      <c r="G48" s="107"/>
      <c r="H48" s="107"/>
      <c r="I48" s="107"/>
      <c r="J48" s="3"/>
      <c r="K48" s="247"/>
      <c r="L48" s="63"/>
      <c r="M48" s="63"/>
      <c r="N48" s="128"/>
      <c r="O48" s="128"/>
      <c r="P48" s="128"/>
    </row>
    <row r="49" spans="1:16" x14ac:dyDescent="0.25">
      <c r="A49" s="31">
        <f t="shared" si="0"/>
        <v>43</v>
      </c>
      <c r="C49" s="15" t="s">
        <v>8</v>
      </c>
      <c r="D49" s="47" t="s">
        <v>90</v>
      </c>
      <c r="E49" s="107">
        <v>712276</v>
      </c>
      <c r="F49" s="107">
        <f t="shared" si="3"/>
        <v>712276</v>
      </c>
      <c r="G49" s="107"/>
      <c r="H49" s="107"/>
      <c r="I49" s="107"/>
      <c r="J49" s="3"/>
      <c r="K49" s="247"/>
      <c r="L49" s="63"/>
      <c r="M49" s="63"/>
      <c r="N49" s="128"/>
      <c r="O49" s="128"/>
      <c r="P49" s="128"/>
    </row>
    <row r="50" spans="1:16" x14ac:dyDescent="0.25">
      <c r="A50" s="31">
        <f t="shared" si="0"/>
        <v>44</v>
      </c>
      <c r="C50" s="15" t="s">
        <v>9</v>
      </c>
      <c r="D50" s="47" t="s">
        <v>91</v>
      </c>
      <c r="E50" s="107">
        <v>1293228</v>
      </c>
      <c r="F50" s="107">
        <f t="shared" si="3"/>
        <v>1293228</v>
      </c>
      <c r="G50" s="107"/>
      <c r="H50" s="107"/>
      <c r="I50" s="107"/>
      <c r="K50" s="247"/>
      <c r="L50" s="128"/>
      <c r="M50" s="128"/>
      <c r="N50" s="128"/>
      <c r="O50" s="128"/>
      <c r="P50" s="128"/>
    </row>
    <row r="51" spans="1:16" x14ac:dyDescent="0.25">
      <c r="A51" s="31">
        <f t="shared" si="0"/>
        <v>45</v>
      </c>
      <c r="C51" s="15" t="s">
        <v>10</v>
      </c>
      <c r="D51" s="47" t="s">
        <v>92</v>
      </c>
      <c r="E51" s="107">
        <v>355242</v>
      </c>
      <c r="F51" s="107">
        <f t="shared" si="3"/>
        <v>355242</v>
      </c>
      <c r="G51" s="107"/>
      <c r="H51" s="107"/>
      <c r="I51" s="107"/>
      <c r="K51" s="247"/>
      <c r="L51" s="128"/>
      <c r="M51" s="128"/>
      <c r="N51" s="128"/>
      <c r="O51" s="128"/>
      <c r="P51" s="128"/>
    </row>
    <row r="52" spans="1:16" x14ac:dyDescent="0.25">
      <c r="A52" s="31">
        <f t="shared" si="0"/>
        <v>46</v>
      </c>
      <c r="B52" s="51"/>
      <c r="C52" s="18" t="s">
        <v>11</v>
      </c>
      <c r="D52" s="51" t="s">
        <v>93</v>
      </c>
      <c r="E52" s="111">
        <v>0</v>
      </c>
      <c r="F52" s="111">
        <f t="shared" si="3"/>
        <v>0</v>
      </c>
      <c r="G52" s="107"/>
      <c r="H52" s="111"/>
      <c r="I52" s="111"/>
      <c r="K52" s="247"/>
      <c r="L52" s="128"/>
      <c r="M52" s="128"/>
      <c r="N52" s="128"/>
      <c r="O52" s="128"/>
      <c r="P52" s="128"/>
    </row>
    <row r="53" spans="1:16" x14ac:dyDescent="0.25">
      <c r="A53" s="31">
        <f t="shared" si="0"/>
        <v>47</v>
      </c>
      <c r="B53" s="47" t="s">
        <v>170</v>
      </c>
      <c r="C53" s="15" t="s">
        <v>6</v>
      </c>
      <c r="E53" s="107">
        <v>240014.56328353498</v>
      </c>
      <c r="F53" s="107">
        <f t="shared" si="2"/>
        <v>240014.56328353498</v>
      </c>
      <c r="G53" s="107"/>
      <c r="H53" s="107">
        <v>3</v>
      </c>
      <c r="I53" s="242">
        <f>IF(H53&lt;&gt;0,ROUND(SUM(E53:F58)/H53/12,5),0)</f>
        <v>56179.215530000001</v>
      </c>
      <c r="K53" s="351">
        <f>'Avg Bill by RS'!T68</f>
        <v>2903.59</v>
      </c>
      <c r="L53" s="128"/>
      <c r="M53" s="128"/>
      <c r="N53" s="128"/>
      <c r="O53" s="128"/>
      <c r="P53" s="128"/>
    </row>
    <row r="54" spans="1:16" x14ac:dyDescent="0.25">
      <c r="A54" s="31">
        <f t="shared" si="0"/>
        <v>48</v>
      </c>
      <c r="C54" s="15" t="s">
        <v>7</v>
      </c>
      <c r="E54" s="107">
        <v>472188.31633306126</v>
      </c>
      <c r="F54" s="107">
        <f t="shared" si="2"/>
        <v>472188.31633306126</v>
      </c>
      <c r="G54" s="107"/>
      <c r="H54" s="107"/>
      <c r="I54" s="107"/>
      <c r="K54" s="247"/>
      <c r="L54" s="128"/>
      <c r="M54" s="128"/>
      <c r="N54" s="128"/>
      <c r="O54" s="128"/>
      <c r="P54" s="128"/>
    </row>
    <row r="55" spans="1:16" x14ac:dyDescent="0.25">
      <c r="A55" s="31">
        <f t="shared" si="0"/>
        <v>49</v>
      </c>
      <c r="C55" s="15" t="s">
        <v>8</v>
      </c>
      <c r="E55" s="107">
        <v>247080</v>
      </c>
      <c r="F55" s="107">
        <f t="shared" si="2"/>
        <v>247080</v>
      </c>
      <c r="G55" s="107"/>
      <c r="H55" s="107"/>
      <c r="I55" s="107"/>
      <c r="K55" s="247"/>
      <c r="L55" s="128"/>
      <c r="M55" s="128"/>
      <c r="N55" s="128"/>
      <c r="O55" s="128"/>
      <c r="P55" s="128"/>
    </row>
    <row r="56" spans="1:16" x14ac:dyDescent="0.25">
      <c r="A56" s="31">
        <f t="shared" si="0"/>
        <v>50</v>
      </c>
      <c r="C56" s="15" t="s">
        <v>9</v>
      </c>
      <c r="E56" s="107">
        <v>51943</v>
      </c>
      <c r="F56" s="107">
        <f t="shared" si="2"/>
        <v>51943</v>
      </c>
      <c r="G56" s="107"/>
      <c r="H56" s="107"/>
      <c r="I56" s="107"/>
      <c r="K56" s="247"/>
      <c r="L56" s="128"/>
      <c r="M56" s="128"/>
      <c r="N56" s="128"/>
      <c r="O56" s="128"/>
      <c r="P56" s="128"/>
    </row>
    <row r="57" spans="1:16" x14ac:dyDescent="0.25">
      <c r="A57" s="31">
        <f t="shared" si="0"/>
        <v>51</v>
      </c>
      <c r="C57" s="15" t="s">
        <v>10</v>
      </c>
      <c r="E57" s="107">
        <v>0</v>
      </c>
      <c r="F57" s="107">
        <f t="shared" si="2"/>
        <v>0</v>
      </c>
      <c r="G57" s="107"/>
      <c r="H57" s="107"/>
      <c r="I57" s="107"/>
      <c r="K57" s="247"/>
      <c r="L57" s="128"/>
      <c r="M57" s="128"/>
      <c r="N57" s="128"/>
      <c r="O57" s="128"/>
      <c r="P57" s="128"/>
    </row>
    <row r="58" spans="1:16" x14ac:dyDescent="0.25">
      <c r="A58" s="31">
        <f t="shared" si="0"/>
        <v>52</v>
      </c>
      <c r="B58" s="51"/>
      <c r="C58" s="18" t="s">
        <v>11</v>
      </c>
      <c r="E58" s="111">
        <v>0</v>
      </c>
      <c r="F58" s="111">
        <f t="shared" si="2"/>
        <v>0</v>
      </c>
      <c r="G58" s="107"/>
      <c r="H58" s="111"/>
      <c r="I58" s="111"/>
      <c r="K58" s="248"/>
      <c r="L58" s="128"/>
      <c r="M58" s="128"/>
      <c r="N58" s="128"/>
      <c r="O58" s="128"/>
      <c r="P58" s="128"/>
    </row>
    <row r="59" spans="1:16" x14ac:dyDescent="0.25">
      <c r="A59" s="31">
        <f t="shared" si="0"/>
        <v>53</v>
      </c>
      <c r="B59" s="47" t="s">
        <v>171</v>
      </c>
      <c r="C59" s="15" t="s">
        <v>6</v>
      </c>
      <c r="D59" s="47" t="s">
        <v>94</v>
      </c>
      <c r="E59" s="107">
        <v>172005.43671646502</v>
      </c>
      <c r="F59" s="107">
        <f t="shared" si="2"/>
        <v>172005.43671646502</v>
      </c>
      <c r="G59" s="107"/>
      <c r="H59" s="107">
        <v>2</v>
      </c>
      <c r="I59" s="242">
        <f>IF(H59&lt;&gt;0,ROUND(SUM(E59:F64)/H59/12,5),0)</f>
        <v>25664.343369999999</v>
      </c>
      <c r="K59" s="351">
        <f>'Avg Bill by RS'!T75</f>
        <v>1394.9500000000007</v>
      </c>
      <c r="L59" s="128"/>
      <c r="M59" s="128"/>
      <c r="N59" s="128"/>
      <c r="O59" s="128"/>
      <c r="P59" s="128"/>
    </row>
    <row r="60" spans="1:16" x14ac:dyDescent="0.25">
      <c r="A60" s="31">
        <f t="shared" si="0"/>
        <v>54</v>
      </c>
      <c r="C60" s="15" t="s">
        <v>7</v>
      </c>
      <c r="D60" s="47" t="s">
        <v>95</v>
      </c>
      <c r="E60" s="107">
        <v>135966.68366693874</v>
      </c>
      <c r="F60" s="107">
        <f t="shared" si="2"/>
        <v>135966.68366693874</v>
      </c>
      <c r="G60" s="107"/>
      <c r="H60" s="107"/>
      <c r="I60" s="107"/>
      <c r="K60" s="247"/>
      <c r="L60" s="128"/>
      <c r="M60" s="128"/>
      <c r="N60" s="128"/>
      <c r="O60" s="128"/>
      <c r="P60" s="128"/>
    </row>
    <row r="61" spans="1:16" x14ac:dyDescent="0.25">
      <c r="A61" s="31">
        <f t="shared" si="0"/>
        <v>55</v>
      </c>
      <c r="C61" s="15" t="s">
        <v>8</v>
      </c>
      <c r="D61" s="47" t="s">
        <v>96</v>
      </c>
      <c r="E61" s="107">
        <v>0</v>
      </c>
      <c r="F61" s="107">
        <f t="shared" si="2"/>
        <v>0</v>
      </c>
      <c r="G61" s="107"/>
      <c r="H61" s="107"/>
      <c r="I61" s="107"/>
      <c r="K61" s="247"/>
      <c r="L61" s="128"/>
      <c r="M61" s="128"/>
      <c r="N61" s="128"/>
      <c r="O61" s="128"/>
      <c r="P61" s="128"/>
    </row>
    <row r="62" spans="1:16" x14ac:dyDescent="0.25">
      <c r="A62" s="31">
        <f t="shared" si="0"/>
        <v>56</v>
      </c>
      <c r="C62" s="15" t="s">
        <v>9</v>
      </c>
      <c r="D62" s="47" t="s">
        <v>97</v>
      </c>
      <c r="E62" s="107">
        <v>0</v>
      </c>
      <c r="F62" s="107">
        <f t="shared" si="2"/>
        <v>0</v>
      </c>
      <c r="G62" s="107"/>
      <c r="H62" s="107"/>
      <c r="I62" s="107"/>
      <c r="K62" s="247"/>
      <c r="L62" s="128"/>
      <c r="M62" s="128"/>
      <c r="N62" s="128"/>
      <c r="O62" s="128"/>
      <c r="P62" s="128"/>
    </row>
    <row r="63" spans="1:16" x14ac:dyDescent="0.25">
      <c r="A63" s="31">
        <f t="shared" si="0"/>
        <v>57</v>
      </c>
      <c r="C63" s="15" t="s">
        <v>10</v>
      </c>
      <c r="D63" s="47" t="s">
        <v>98</v>
      </c>
      <c r="E63" s="107">
        <v>0</v>
      </c>
      <c r="F63" s="107">
        <f t="shared" si="2"/>
        <v>0</v>
      </c>
      <c r="G63" s="107"/>
      <c r="H63" s="107"/>
      <c r="I63" s="107"/>
      <c r="K63" s="247"/>
      <c r="L63" s="128"/>
      <c r="M63" s="128"/>
      <c r="N63" s="128"/>
      <c r="O63" s="128"/>
      <c r="P63" s="128"/>
    </row>
    <row r="64" spans="1:16" x14ac:dyDescent="0.25">
      <c r="A64" s="31">
        <f t="shared" si="0"/>
        <v>58</v>
      </c>
      <c r="B64" s="51"/>
      <c r="C64" s="18" t="s">
        <v>11</v>
      </c>
      <c r="D64" s="51" t="s">
        <v>99</v>
      </c>
      <c r="E64" s="111">
        <v>0</v>
      </c>
      <c r="F64" s="111">
        <f t="shared" si="2"/>
        <v>0</v>
      </c>
      <c r="G64" s="107"/>
      <c r="H64" s="111"/>
      <c r="I64" s="111"/>
      <c r="K64" s="247"/>
      <c r="L64" s="128"/>
      <c r="M64" s="128"/>
      <c r="N64" s="128"/>
      <c r="O64" s="128"/>
      <c r="P64" s="128"/>
    </row>
    <row r="65" spans="1:16" x14ac:dyDescent="0.25">
      <c r="A65" s="31">
        <f t="shared" si="0"/>
        <v>59</v>
      </c>
      <c r="B65" s="47" t="s">
        <v>112</v>
      </c>
      <c r="C65" s="15" t="s">
        <v>6</v>
      </c>
      <c r="D65" s="47" t="s">
        <v>100</v>
      </c>
      <c r="E65" s="107">
        <v>924358</v>
      </c>
      <c r="F65" s="107">
        <f t="shared" si="2"/>
        <v>924358</v>
      </c>
      <c r="G65" s="107"/>
      <c r="H65" s="107">
        <v>10.916666666666666</v>
      </c>
      <c r="I65" s="242">
        <f>IF(H65&lt;&gt;0,ROUND(SUM(E65:F70)/H65/12,5),0)</f>
        <v>166540.18320999999</v>
      </c>
      <c r="K65" s="351">
        <f>'Avg Bill by RS'!T82</f>
        <v>797.80999999999949</v>
      </c>
      <c r="L65" s="128"/>
      <c r="M65" s="128"/>
      <c r="N65" s="128"/>
      <c r="O65" s="128"/>
      <c r="P65" s="128"/>
    </row>
    <row r="66" spans="1:16" x14ac:dyDescent="0.25">
      <c r="A66" s="31">
        <f t="shared" si="0"/>
        <v>60</v>
      </c>
      <c r="C66" s="15" t="s">
        <v>7</v>
      </c>
      <c r="D66" s="47" t="s">
        <v>101</v>
      </c>
      <c r="E66" s="107">
        <v>1661182</v>
      </c>
      <c r="F66" s="107">
        <f t="shared" si="2"/>
        <v>1661182</v>
      </c>
      <c r="G66" s="107"/>
      <c r="H66" s="107"/>
      <c r="I66" s="107"/>
      <c r="K66" s="247"/>
      <c r="L66" s="128"/>
      <c r="M66" s="128"/>
      <c r="N66" s="128"/>
      <c r="O66" s="128"/>
      <c r="P66" s="128"/>
    </row>
    <row r="67" spans="1:16" x14ac:dyDescent="0.25">
      <c r="A67" s="31">
        <f t="shared" si="0"/>
        <v>61</v>
      </c>
      <c r="C67" s="15" t="s">
        <v>8</v>
      </c>
      <c r="D67" s="47" t="s">
        <v>102</v>
      </c>
      <c r="E67" s="107">
        <v>1395939</v>
      </c>
      <c r="F67" s="107">
        <f t="shared" si="2"/>
        <v>1395939</v>
      </c>
      <c r="G67" s="107"/>
      <c r="H67" s="107"/>
      <c r="I67" s="107"/>
      <c r="K67" s="247"/>
      <c r="L67" s="128"/>
      <c r="M67" s="128"/>
      <c r="N67" s="128"/>
      <c r="O67" s="128"/>
      <c r="P67" s="128"/>
    </row>
    <row r="68" spans="1:16" x14ac:dyDescent="0.25">
      <c r="A68" s="31">
        <f t="shared" si="0"/>
        <v>62</v>
      </c>
      <c r="C68" s="15" t="s">
        <v>9</v>
      </c>
      <c r="D68" s="47" t="s">
        <v>103</v>
      </c>
      <c r="E68" s="107">
        <v>4342579</v>
      </c>
      <c r="F68" s="107">
        <f t="shared" si="2"/>
        <v>4342579</v>
      </c>
      <c r="G68" s="107"/>
      <c r="H68" s="107"/>
      <c r="I68" s="107"/>
      <c r="K68" s="247"/>
      <c r="L68" s="128"/>
      <c r="M68" s="128"/>
      <c r="N68" s="128"/>
      <c r="O68" s="128"/>
      <c r="P68" s="128"/>
    </row>
    <row r="69" spans="1:16" x14ac:dyDescent="0.25">
      <c r="A69" s="31">
        <f t="shared" si="0"/>
        <v>63</v>
      </c>
      <c r="C69" s="15" t="s">
        <v>10</v>
      </c>
      <c r="D69" s="47" t="s">
        <v>104</v>
      </c>
      <c r="E69" s="107">
        <v>2584324</v>
      </c>
      <c r="F69" s="107">
        <f t="shared" si="2"/>
        <v>2584324</v>
      </c>
      <c r="G69" s="107"/>
      <c r="H69" s="107"/>
      <c r="I69" s="107"/>
      <c r="K69" s="247"/>
      <c r="L69" s="128"/>
      <c r="M69" s="128"/>
      <c r="N69" s="128"/>
      <c r="O69" s="128"/>
      <c r="P69" s="128"/>
    </row>
    <row r="70" spans="1:16" x14ac:dyDescent="0.25">
      <c r="A70" s="31">
        <f t="shared" si="0"/>
        <v>64</v>
      </c>
      <c r="B70" s="51"/>
      <c r="C70" s="18" t="s">
        <v>11</v>
      </c>
      <c r="D70" s="51" t="s">
        <v>105</v>
      </c>
      <c r="E70" s="111">
        <v>0</v>
      </c>
      <c r="F70" s="111">
        <f t="shared" si="2"/>
        <v>0</v>
      </c>
      <c r="G70" s="107"/>
      <c r="H70" s="111"/>
      <c r="I70" s="111"/>
      <c r="K70" s="248"/>
    </row>
    <row r="71" spans="1:16" x14ac:dyDescent="0.25">
      <c r="A71" s="31">
        <f t="shared" si="0"/>
        <v>65</v>
      </c>
      <c r="B71" s="51" t="s">
        <v>113</v>
      </c>
      <c r="C71" s="17"/>
      <c r="D71" s="51" t="s">
        <v>106</v>
      </c>
      <c r="E71" s="111">
        <v>0</v>
      </c>
      <c r="F71" s="111">
        <f t="shared" si="2"/>
        <v>0</v>
      </c>
      <c r="G71" s="107"/>
      <c r="H71" s="111"/>
      <c r="I71" s="111">
        <f>IF(H71&lt;&gt;0,ROUND(+E71/H71/12,5),0)</f>
        <v>0</v>
      </c>
      <c r="K71" s="454">
        <f>'Avg Bill by RS'!T83</f>
        <v>0</v>
      </c>
    </row>
    <row r="72" spans="1:16" x14ac:dyDescent="0.25">
      <c r="A72" s="31">
        <f t="shared" si="0"/>
        <v>66</v>
      </c>
      <c r="B72" s="13" t="s">
        <v>114</v>
      </c>
      <c r="C72" s="10"/>
      <c r="D72" s="13" t="s">
        <v>107</v>
      </c>
      <c r="E72" s="106">
        <v>0</v>
      </c>
      <c r="F72" s="106">
        <f t="shared" si="2"/>
        <v>0</v>
      </c>
      <c r="G72" s="107"/>
      <c r="H72" s="106"/>
      <c r="I72" s="106">
        <f>IF(H72&lt;&gt;0,ROUND(+E72/H72/12,5),0)</f>
        <v>0</v>
      </c>
      <c r="K72" s="455">
        <f>'Avg Bill by RS'!T84</f>
        <v>0</v>
      </c>
    </row>
    <row r="73" spans="1:16" x14ac:dyDescent="0.25">
      <c r="A73" s="31">
        <f t="shared" si="0"/>
        <v>67</v>
      </c>
      <c r="B73" s="12" t="s">
        <v>144</v>
      </c>
      <c r="C73" s="10"/>
      <c r="D73" s="13"/>
      <c r="E73" s="106"/>
      <c r="F73" s="106"/>
      <c r="G73" s="107"/>
      <c r="H73" s="106"/>
      <c r="I73" s="106"/>
      <c r="K73" s="456"/>
    </row>
    <row r="74" spans="1:16" x14ac:dyDescent="0.25">
      <c r="A74" s="31">
        <f t="shared" si="0"/>
        <v>68</v>
      </c>
      <c r="E74" s="100">
        <f t="shared" ref="E74:H74" si="4">SUM(E13:E73)</f>
        <v>94869044.618701831</v>
      </c>
      <c r="F74" s="117">
        <f t="shared" si="4"/>
        <v>94869044.618701831</v>
      </c>
      <c r="G74" s="118"/>
      <c r="H74" s="100">
        <f t="shared" si="4"/>
        <v>82527.416666666642</v>
      </c>
      <c r="I74" s="119"/>
      <c r="J74" s="119"/>
      <c r="K74" s="126"/>
    </row>
    <row r="75" spans="1:16" x14ac:dyDescent="0.25">
      <c r="A75" s="31">
        <f t="shared" si="0"/>
        <v>69</v>
      </c>
      <c r="E75" s="100"/>
      <c r="F75" s="100"/>
      <c r="G75" s="76"/>
    </row>
    <row r="76" spans="1:16" x14ac:dyDescent="0.25">
      <c r="A76" s="31">
        <f t="shared" si="0"/>
        <v>70</v>
      </c>
      <c r="E76" s="120"/>
      <c r="F76" s="121"/>
      <c r="G76" s="122"/>
      <c r="H76" s="365"/>
    </row>
    <row r="77" spans="1:16" x14ac:dyDescent="0.25">
      <c r="A77" s="31">
        <f t="shared" si="0"/>
        <v>71</v>
      </c>
      <c r="B77" s="366"/>
      <c r="C77" s="103"/>
      <c r="D77" s="103"/>
      <c r="E77" s="133"/>
      <c r="F77" s="219"/>
      <c r="G77" s="122"/>
      <c r="H77" s="231"/>
    </row>
    <row r="78" spans="1:16" x14ac:dyDescent="0.25">
      <c r="E78" s="120"/>
      <c r="F78" s="121"/>
      <c r="G78" s="122"/>
    </row>
    <row r="79" spans="1:16" x14ac:dyDescent="0.25">
      <c r="E79" s="100"/>
      <c r="F79" s="100"/>
      <c r="G79" s="122"/>
    </row>
    <row r="80" spans="1:16" x14ac:dyDescent="0.25">
      <c r="E80" s="100"/>
      <c r="F80" s="100"/>
      <c r="G80" s="122"/>
    </row>
    <row r="81" spans="2:10" x14ac:dyDescent="0.25">
      <c r="E81" s="100"/>
      <c r="F81" s="100"/>
      <c r="G81" s="122"/>
      <c r="H81" s="100"/>
    </row>
    <row r="82" spans="2:10" x14ac:dyDescent="0.25">
      <c r="E82" s="100"/>
      <c r="F82" s="100"/>
      <c r="G82" s="122"/>
      <c r="H82" s="100"/>
    </row>
    <row r="83" spans="2:10" x14ac:dyDescent="0.25">
      <c r="E83" s="132"/>
      <c r="F83" s="132"/>
      <c r="G83" s="122"/>
      <c r="H83" s="132"/>
    </row>
    <row r="84" spans="2:10" x14ac:dyDescent="0.25">
      <c r="E84" s="100"/>
      <c r="F84" s="100"/>
      <c r="G84" s="122"/>
      <c r="H84" s="100"/>
      <c r="I84" s="100"/>
    </row>
    <row r="85" spans="2:10" x14ac:dyDescent="0.25">
      <c r="E85" s="100"/>
      <c r="F85" s="100"/>
      <c r="H85" s="100"/>
    </row>
    <row r="86" spans="2:10" x14ac:dyDescent="0.25">
      <c r="E86" s="76"/>
      <c r="F86" s="76"/>
      <c r="G86" s="122"/>
      <c r="H86" s="76"/>
      <c r="I86" s="3"/>
      <c r="J86" s="3"/>
    </row>
    <row r="87" spans="2:10" x14ac:dyDescent="0.25">
      <c r="E87" s="76"/>
      <c r="F87" s="76"/>
      <c r="G87" s="122"/>
      <c r="H87" s="76"/>
      <c r="I87" s="3"/>
      <c r="J87" s="3"/>
    </row>
    <row r="88" spans="2:10" x14ac:dyDescent="0.25">
      <c r="E88" s="132"/>
      <c r="F88" s="132"/>
      <c r="G88" s="123"/>
      <c r="H88" s="132"/>
      <c r="I88" s="3"/>
      <c r="J88" s="3"/>
    </row>
    <row r="89" spans="2:10" x14ac:dyDescent="0.25">
      <c r="B89" s="124"/>
      <c r="D89" s="125"/>
      <c r="E89" s="132"/>
      <c r="F89" s="132"/>
      <c r="G89" s="126"/>
      <c r="H89" s="132"/>
      <c r="I89" s="3"/>
      <c r="J89" s="3"/>
    </row>
    <row r="90" spans="2:10" x14ac:dyDescent="0.25">
      <c r="D90" s="124"/>
      <c r="E90" s="132"/>
      <c r="F90" s="132"/>
      <c r="G90" s="123"/>
      <c r="H90" s="132"/>
      <c r="I90" s="3"/>
      <c r="J90" s="3"/>
    </row>
    <row r="91" spans="2:10" x14ac:dyDescent="0.25">
      <c r="E91" s="132"/>
      <c r="F91" s="132"/>
      <c r="G91" s="123"/>
      <c r="H91" s="132"/>
      <c r="I91" s="3"/>
      <c r="J91" s="3"/>
    </row>
    <row r="92" spans="2:10" x14ac:dyDescent="0.25">
      <c r="C92" s="3"/>
      <c r="D92" s="3"/>
      <c r="E92" s="123"/>
      <c r="F92" s="123"/>
      <c r="G92" s="123"/>
      <c r="H92" s="63"/>
      <c r="I92" s="3"/>
      <c r="J92" s="3"/>
    </row>
    <row r="93" spans="2:10" x14ac:dyDescent="0.25">
      <c r="E93" s="123"/>
      <c r="F93" s="123"/>
      <c r="G93" s="123"/>
      <c r="H93" s="63"/>
      <c r="I93" s="3"/>
      <c r="J93" s="3"/>
    </row>
    <row r="94" spans="2:10" x14ac:dyDescent="0.25">
      <c r="E94" s="123"/>
      <c r="F94" s="123"/>
      <c r="G94" s="123"/>
      <c r="H94" s="63"/>
      <c r="I94" s="3"/>
      <c r="J94" s="3"/>
    </row>
    <row r="95" spans="2:10" x14ac:dyDescent="0.25">
      <c r="C95" s="124"/>
      <c r="D95" s="124"/>
      <c r="E95" s="123"/>
      <c r="F95" s="123"/>
      <c r="G95" s="123"/>
      <c r="H95" s="63"/>
      <c r="I95" s="3"/>
      <c r="J95" s="3"/>
    </row>
    <row r="96" spans="2:10" x14ac:dyDescent="0.25">
      <c r="C96" s="124"/>
      <c r="D96" s="124"/>
      <c r="E96" s="123"/>
      <c r="F96" s="123"/>
      <c r="G96" s="123"/>
      <c r="H96" s="63"/>
      <c r="I96" s="3"/>
      <c r="J96" s="3"/>
    </row>
    <row r="97" spans="3:10" x14ac:dyDescent="0.25">
      <c r="C97" s="124"/>
      <c r="D97" s="124"/>
      <c r="E97" s="123"/>
      <c r="F97" s="123"/>
      <c r="G97" s="123"/>
      <c r="H97" s="63"/>
      <c r="I97" s="3"/>
      <c r="J97" s="3"/>
    </row>
    <row r="98" spans="3:10" x14ac:dyDescent="0.25">
      <c r="E98" s="123"/>
      <c r="F98" s="3"/>
      <c r="H98" s="63"/>
      <c r="I98" s="3"/>
      <c r="J98" s="3"/>
    </row>
    <row r="99" spans="3:10" x14ac:dyDescent="0.25">
      <c r="E99" s="123"/>
      <c r="F99" s="3"/>
      <c r="H99" s="63"/>
      <c r="I99" s="3"/>
      <c r="J99" s="3"/>
    </row>
    <row r="100" spans="3:10" x14ac:dyDescent="0.25">
      <c r="E100" s="123"/>
      <c r="F100" s="3"/>
      <c r="H100" s="63"/>
      <c r="I100" s="3"/>
      <c r="J100" s="3"/>
    </row>
    <row r="101" spans="3:10" x14ac:dyDescent="0.25">
      <c r="E101" s="127"/>
      <c r="F101" s="127"/>
      <c r="G101" s="127"/>
      <c r="H101" s="63"/>
      <c r="I101" s="3"/>
      <c r="J101" s="3"/>
    </row>
    <row r="102" spans="3:10" x14ac:dyDescent="0.25">
      <c r="C102" s="3"/>
      <c r="D102" s="3"/>
      <c r="E102" s="122"/>
      <c r="F102" s="122"/>
      <c r="G102" s="122"/>
      <c r="H102" s="63"/>
      <c r="I102" s="3"/>
      <c r="J102" s="3"/>
    </row>
    <row r="103" spans="3:10" x14ac:dyDescent="0.25">
      <c r="C103" s="3"/>
      <c r="D103" s="3"/>
      <c r="E103" s="122"/>
      <c r="F103" s="122"/>
      <c r="G103" s="122"/>
      <c r="H103" s="63"/>
      <c r="I103" s="3"/>
      <c r="J103" s="3"/>
    </row>
    <row r="104" spans="3:10" x14ac:dyDescent="0.25">
      <c r="C104" s="3"/>
      <c r="D104" s="3"/>
      <c r="E104" s="122"/>
      <c r="F104" s="122"/>
      <c r="G104" s="122"/>
      <c r="H104" s="63"/>
      <c r="I104" s="3"/>
      <c r="J104" s="3"/>
    </row>
    <row r="105" spans="3:10" x14ac:dyDescent="0.25">
      <c r="C105" s="3"/>
      <c r="D105" s="3"/>
      <c r="E105" s="122"/>
      <c r="F105" s="122"/>
      <c r="G105" s="122"/>
      <c r="H105" s="63"/>
      <c r="I105" s="3"/>
      <c r="J105" s="3"/>
    </row>
    <row r="106" spans="3:10" x14ac:dyDescent="0.25">
      <c r="C106" s="3"/>
      <c r="D106" s="3"/>
      <c r="E106" s="122"/>
      <c r="F106" s="122"/>
      <c r="G106" s="122"/>
      <c r="H106" s="63"/>
      <c r="I106" s="3"/>
      <c r="J106" s="3"/>
    </row>
    <row r="107" spans="3:10" x14ac:dyDescent="0.25">
      <c r="E107" s="122"/>
      <c r="F107" s="122"/>
      <c r="G107" s="122"/>
      <c r="H107" s="63"/>
      <c r="I107" s="3"/>
      <c r="J107" s="3"/>
    </row>
    <row r="108" spans="3:10" x14ac:dyDescent="0.25">
      <c r="E108" s="123"/>
      <c r="F108" s="3"/>
      <c r="H108" s="63"/>
      <c r="I108" s="3"/>
      <c r="J108" s="3"/>
    </row>
    <row r="109" spans="3:10" x14ac:dyDescent="0.25">
      <c r="E109" s="123"/>
      <c r="F109" s="123"/>
      <c r="G109" s="123"/>
      <c r="H109" s="63"/>
      <c r="I109" s="3"/>
      <c r="J109" s="3"/>
    </row>
    <row r="110" spans="3:10" x14ac:dyDescent="0.25">
      <c r="E110" s="3"/>
      <c r="F110" s="122"/>
      <c r="G110" s="122"/>
      <c r="H110" s="63"/>
      <c r="I110" s="3"/>
      <c r="J110" s="3"/>
    </row>
    <row r="111" spans="3:10" x14ac:dyDescent="0.25">
      <c r="E111" s="3"/>
      <c r="F111" s="122"/>
      <c r="G111" s="122"/>
      <c r="H111" s="63"/>
      <c r="I111" s="3"/>
      <c r="J111" s="3"/>
    </row>
  </sheetData>
  <phoneticPr fontId="3" type="noConversion"/>
  <printOptions horizontalCentered="1"/>
  <pageMargins left="0.5" right="0.5" top="0.5" bottom="0.5" header="0.25" footer="0.25"/>
  <pageSetup scale="54" orientation="landscape" r:id="rId1"/>
  <headerFooter alignWithMargins="0">
    <oddHeader xml:space="preserve">&amp;RUG-181053 NWN Compliance Filing
Advice 19-07 / Work Paper
</oddHeader>
    <oddFooter xml:space="preserve">&amp;C&amp;F &amp;D &amp;T
&amp;A 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92D050"/>
    <pageSetUpPr fitToPage="1"/>
  </sheetPr>
  <dimension ref="A1:U101"/>
  <sheetViews>
    <sheetView showGridLines="0" zoomScaleNormal="100" zoomScaleSheetLayoutView="100" workbookViewId="0">
      <pane xSplit="3" ySplit="12" topLeftCell="F13" activePane="bottomRight" state="frozen"/>
      <selection activeCell="O39" sqref="O39"/>
      <selection pane="topRight" activeCell="O39" sqref="O39"/>
      <selection pane="bottomLeft" activeCell="O39" sqref="O39"/>
      <selection pane="bottomRight" activeCell="O39" sqref="O39"/>
    </sheetView>
  </sheetViews>
  <sheetFormatPr defaultColWidth="9.33203125" defaultRowHeight="13.2" x14ac:dyDescent="0.25"/>
  <cols>
    <col min="1" max="1" width="6.77734375" style="3" customWidth="1"/>
    <col min="2" max="2" width="17.77734375" style="2" customWidth="1"/>
    <col min="3" max="3" width="9.33203125" style="2"/>
    <col min="4" max="4" width="16.44140625" style="2" bestFit="1" customWidth="1"/>
    <col min="5" max="5" width="13.33203125" style="2" customWidth="1"/>
    <col min="6" max="6" width="13.6640625" style="2" customWidth="1"/>
    <col min="7" max="8" width="12.77734375" style="128" customWidth="1"/>
    <col min="9" max="9" width="11.77734375" style="128" customWidth="1"/>
    <col min="10" max="10" width="14.77734375" style="2" customWidth="1"/>
    <col min="11" max="16" width="16.6640625" style="128" customWidth="1"/>
    <col min="17" max="17" width="11.77734375" style="2" customWidth="1"/>
    <col min="18" max="18" width="14.77734375" style="2" customWidth="1"/>
    <col min="19" max="19" width="15.77734375" style="2" customWidth="1"/>
    <col min="20" max="20" width="21.6640625" style="189" customWidth="1"/>
    <col min="21" max="16384" width="9.33203125" style="3"/>
  </cols>
  <sheetData>
    <row r="1" spans="1:21" ht="13.8" x14ac:dyDescent="0.25">
      <c r="A1" s="1" t="str">
        <f>+'Washington volumes'!A1</f>
        <v>NW Natural</v>
      </c>
    </row>
    <row r="2" spans="1:21" ht="13.8" x14ac:dyDescent="0.25">
      <c r="A2" s="1" t="str">
        <f>+'Washington volumes'!A2</f>
        <v>Rates &amp; Regulatory Affairs</v>
      </c>
      <c r="K2" s="197"/>
      <c r="L2" s="197"/>
      <c r="M2" s="197"/>
      <c r="N2" s="197"/>
      <c r="O2" s="197"/>
      <c r="P2" s="197"/>
    </row>
    <row r="3" spans="1:21" ht="13.8" x14ac:dyDescent="0.25">
      <c r="A3" s="1" t="str">
        <f>+'Washington volumes'!A3</f>
        <v>2019 WA GRC UG-181053</v>
      </c>
      <c r="I3" s="243"/>
      <c r="J3" s="56"/>
      <c r="K3" s="198"/>
      <c r="L3" s="198"/>
      <c r="M3" s="198"/>
      <c r="N3" s="198"/>
      <c r="O3" s="198"/>
      <c r="P3" s="198"/>
      <c r="Q3" s="198"/>
      <c r="R3" s="198"/>
      <c r="S3" s="198"/>
    </row>
    <row r="4" spans="1:21" ht="13.8" x14ac:dyDescent="0.25">
      <c r="A4" s="1" t="s">
        <v>153</v>
      </c>
      <c r="O4" s="198"/>
      <c r="Q4" s="128"/>
      <c r="R4" s="198"/>
      <c r="S4" s="198"/>
    </row>
    <row r="5" spans="1:21" ht="13.8" x14ac:dyDescent="0.25">
      <c r="A5" s="188" t="s">
        <v>143</v>
      </c>
      <c r="G5" s="226"/>
      <c r="H5" s="226"/>
      <c r="I5" s="226"/>
      <c r="J5" s="187"/>
      <c r="K5" s="217"/>
      <c r="L5" s="217"/>
      <c r="M5" s="217"/>
      <c r="N5" s="217"/>
      <c r="O5" s="217"/>
      <c r="P5" s="217"/>
      <c r="Q5" s="190"/>
      <c r="R5" s="198"/>
      <c r="S5" s="200"/>
      <c r="T5" s="445"/>
    </row>
    <row r="6" spans="1:21" s="66" customFormat="1" ht="14.4" thickBot="1" x14ac:dyDescent="0.3">
      <c r="B6" s="67"/>
      <c r="C6" s="67"/>
      <c r="D6" s="67"/>
      <c r="E6" s="67"/>
      <c r="F6" s="67"/>
      <c r="G6" s="227"/>
      <c r="H6" s="227"/>
      <c r="I6" s="227"/>
      <c r="K6" s="217"/>
      <c r="L6" s="217"/>
      <c r="M6" s="217"/>
      <c r="N6" s="217"/>
      <c r="O6" s="217"/>
      <c r="P6" s="217"/>
      <c r="Q6" s="190"/>
      <c r="R6" s="190"/>
      <c r="T6" s="445"/>
    </row>
    <row r="7" spans="1:21" x14ac:dyDescent="0.25">
      <c r="A7" s="31">
        <v>1</v>
      </c>
      <c r="D7" s="28" t="s">
        <v>120</v>
      </c>
      <c r="F7" s="68" t="s">
        <v>142</v>
      </c>
      <c r="G7" s="218" t="s">
        <v>31</v>
      </c>
      <c r="H7" s="218" t="s">
        <v>25</v>
      </c>
      <c r="I7" s="218" t="s">
        <v>25</v>
      </c>
      <c r="J7" s="68"/>
      <c r="K7" s="353" t="s">
        <v>31</v>
      </c>
      <c r="L7" s="353" t="s">
        <v>31</v>
      </c>
      <c r="M7" s="354" t="s">
        <v>31</v>
      </c>
      <c r="N7" s="68" t="s">
        <v>31</v>
      </c>
      <c r="O7" s="68" t="s">
        <v>31</v>
      </c>
      <c r="P7" s="162" t="s">
        <v>31</v>
      </c>
      <c r="Q7" s="28" t="s">
        <v>31</v>
      </c>
      <c r="R7" s="28" t="s">
        <v>31</v>
      </c>
      <c r="S7" s="69" t="s">
        <v>31</v>
      </c>
      <c r="T7" s="446"/>
    </row>
    <row r="8" spans="1:21" x14ac:dyDescent="0.25">
      <c r="A8" s="31">
        <f t="shared" ref="A8:A80" si="0">+A7+1</f>
        <v>2</v>
      </c>
      <c r="D8" s="28" t="s">
        <v>141</v>
      </c>
      <c r="E8" s="68"/>
      <c r="F8" s="68" t="s">
        <v>126</v>
      </c>
      <c r="G8" s="218" t="s">
        <v>128</v>
      </c>
      <c r="H8" s="218" t="s">
        <v>128</v>
      </c>
      <c r="I8" s="353">
        <v>43405</v>
      </c>
      <c r="J8" s="68">
        <f>+I8</f>
        <v>43405</v>
      </c>
      <c r="K8" s="353">
        <v>43770</v>
      </c>
      <c r="L8" s="353">
        <f t="shared" ref="L8:S8" si="1">$K$8</f>
        <v>43770</v>
      </c>
      <c r="M8" s="356">
        <f t="shared" si="1"/>
        <v>43770</v>
      </c>
      <c r="N8" s="68">
        <f t="shared" si="1"/>
        <v>43770</v>
      </c>
      <c r="O8" s="266">
        <f t="shared" si="1"/>
        <v>43770</v>
      </c>
      <c r="P8" s="357">
        <f t="shared" si="1"/>
        <v>43770</v>
      </c>
      <c r="Q8" s="68">
        <f t="shared" si="1"/>
        <v>43770</v>
      </c>
      <c r="R8" s="68">
        <f t="shared" si="1"/>
        <v>43770</v>
      </c>
      <c r="S8" s="357">
        <f t="shared" si="1"/>
        <v>43770</v>
      </c>
      <c r="T8" s="447"/>
    </row>
    <row r="9" spans="1:21" x14ac:dyDescent="0.25">
      <c r="A9" s="31">
        <f t="shared" si="0"/>
        <v>3</v>
      </c>
      <c r="D9" s="28" t="s">
        <v>52</v>
      </c>
      <c r="E9" s="28" t="s">
        <v>125</v>
      </c>
      <c r="F9" s="28" t="s">
        <v>129</v>
      </c>
      <c r="G9" s="218" t="s">
        <v>129</v>
      </c>
      <c r="H9" s="218" t="s">
        <v>129</v>
      </c>
      <c r="I9" s="218" t="s">
        <v>22</v>
      </c>
      <c r="J9" s="28" t="s">
        <v>25</v>
      </c>
      <c r="K9" s="218" t="s">
        <v>191</v>
      </c>
      <c r="L9" s="218" t="s">
        <v>191</v>
      </c>
      <c r="M9" s="163" t="s">
        <v>191</v>
      </c>
      <c r="N9" s="28" t="s">
        <v>192</v>
      </c>
      <c r="O9" s="28" t="s">
        <v>192</v>
      </c>
      <c r="P9" s="70" t="s">
        <v>192</v>
      </c>
      <c r="Q9" s="28" t="s">
        <v>47</v>
      </c>
      <c r="R9" s="28" t="s">
        <v>47</v>
      </c>
      <c r="S9" s="70" t="s">
        <v>47</v>
      </c>
      <c r="T9" s="448" t="s">
        <v>287</v>
      </c>
    </row>
    <row r="10" spans="1:21" s="5" customFormat="1" ht="13.8" thickBot="1" x14ac:dyDescent="0.3">
      <c r="A10" s="31">
        <f t="shared" si="0"/>
        <v>4</v>
      </c>
      <c r="B10" s="2"/>
      <c r="C10" s="2"/>
      <c r="D10" s="35" t="s">
        <v>49</v>
      </c>
      <c r="E10" s="35" t="s">
        <v>3</v>
      </c>
      <c r="F10" s="35" t="s">
        <v>127</v>
      </c>
      <c r="G10" s="228" t="s">
        <v>130</v>
      </c>
      <c r="H10" s="228" t="s">
        <v>130</v>
      </c>
      <c r="I10" s="228" t="s">
        <v>23</v>
      </c>
      <c r="J10" s="35" t="s">
        <v>131</v>
      </c>
      <c r="K10" s="105" t="s">
        <v>23</v>
      </c>
      <c r="L10" s="228" t="s">
        <v>131</v>
      </c>
      <c r="M10" s="355" t="s">
        <v>132</v>
      </c>
      <c r="N10" s="62" t="s">
        <v>23</v>
      </c>
      <c r="O10" s="35" t="s">
        <v>131</v>
      </c>
      <c r="P10" s="71" t="s">
        <v>132</v>
      </c>
      <c r="Q10" s="62" t="s">
        <v>23</v>
      </c>
      <c r="R10" s="35" t="s">
        <v>131</v>
      </c>
      <c r="S10" s="71" t="s">
        <v>132</v>
      </c>
      <c r="T10" s="71" t="s">
        <v>288</v>
      </c>
    </row>
    <row r="11" spans="1:21" s="5" customFormat="1" x14ac:dyDescent="0.25">
      <c r="A11" s="31">
        <f t="shared" si="0"/>
        <v>5</v>
      </c>
      <c r="B11" s="2"/>
      <c r="C11" s="2"/>
      <c r="D11" s="6"/>
      <c r="E11" s="6"/>
      <c r="F11" s="6"/>
      <c r="G11" s="168"/>
      <c r="H11" s="168"/>
      <c r="I11" s="168"/>
      <c r="J11" s="4" t="s">
        <v>138</v>
      </c>
      <c r="K11" s="129"/>
      <c r="L11" s="215"/>
      <c r="M11" s="216"/>
      <c r="N11" s="129"/>
      <c r="O11" s="215"/>
      <c r="P11" s="215"/>
      <c r="Q11" s="129"/>
      <c r="R11" s="129" t="s">
        <v>198</v>
      </c>
      <c r="S11" s="163" t="s">
        <v>199</v>
      </c>
      <c r="T11" s="449" t="s">
        <v>291</v>
      </c>
    </row>
    <row r="12" spans="1:21" s="5" customFormat="1" x14ac:dyDescent="0.25">
      <c r="A12" s="31">
        <f t="shared" si="0"/>
        <v>6</v>
      </c>
      <c r="B12" s="40" t="s">
        <v>2</v>
      </c>
      <c r="C12" s="8" t="s">
        <v>3</v>
      </c>
      <c r="D12" s="9" t="s">
        <v>58</v>
      </c>
      <c r="E12" s="9" t="s">
        <v>59</v>
      </c>
      <c r="F12" s="9" t="s">
        <v>16</v>
      </c>
      <c r="G12" s="144" t="s">
        <v>60</v>
      </c>
      <c r="H12" s="144"/>
      <c r="I12" s="144" t="s">
        <v>61</v>
      </c>
      <c r="J12" s="9" t="s">
        <v>62</v>
      </c>
      <c r="K12" s="144" t="s">
        <v>173</v>
      </c>
      <c r="L12" s="144" t="s">
        <v>174</v>
      </c>
      <c r="M12" s="164" t="s">
        <v>175</v>
      </c>
      <c r="N12" s="144" t="s">
        <v>173</v>
      </c>
      <c r="O12" s="144" t="s">
        <v>174</v>
      </c>
      <c r="P12" s="164" t="s">
        <v>175</v>
      </c>
      <c r="Q12" s="144" t="s">
        <v>182</v>
      </c>
      <c r="R12" s="144" t="s">
        <v>196</v>
      </c>
      <c r="S12" s="164" t="s">
        <v>197</v>
      </c>
      <c r="T12" s="449" t="s">
        <v>289</v>
      </c>
    </row>
    <row r="13" spans="1:21" x14ac:dyDescent="0.25">
      <c r="A13" s="31">
        <f t="shared" si="0"/>
        <v>7</v>
      </c>
      <c r="B13" s="13" t="s">
        <v>4</v>
      </c>
      <c r="C13" s="10"/>
      <c r="D13" s="43">
        <f>+'Washington volumes'!F13</f>
        <v>196427</v>
      </c>
      <c r="E13" s="72" t="s">
        <v>51</v>
      </c>
      <c r="F13" s="73">
        <f>+'Washington volumes'!I13</f>
        <v>19.026250000000001</v>
      </c>
      <c r="G13" s="146">
        <v>5.5</v>
      </c>
      <c r="H13" s="146">
        <v>3.47</v>
      </c>
      <c r="I13" s="191">
        <f>+'Rates in summary'!D13</f>
        <v>1.0291799999999995</v>
      </c>
      <c r="J13" s="138">
        <f>ROUND(+$H13+(I13*$F13),2)</f>
        <v>23.05</v>
      </c>
      <c r="K13" s="191">
        <f>'Rates in detail'!I13+SUM('Rates in detail'!O13:Q13)</f>
        <v>1.0454300000000001</v>
      </c>
      <c r="L13" s="138">
        <f t="shared" ref="L13:L18" si="2">ROUND(H13+(F13*K13),2)</f>
        <v>23.36</v>
      </c>
      <c r="M13" s="74">
        <f t="shared" ref="M13:M18" si="3">ROUND((L13-J13)/J13,3)</f>
        <v>1.2999999999999999E-2</v>
      </c>
      <c r="N13" s="191">
        <f>'Rates in detail'!I13+'Rates in detail'!K13</f>
        <v>1.1074400000000002</v>
      </c>
      <c r="O13" s="138">
        <f t="shared" ref="O13:O18" si="4">ROUND(G13+(F13*N13),2)</f>
        <v>26.57</v>
      </c>
      <c r="P13" s="74">
        <f t="shared" ref="P13:P18" si="5">ROUND((O13-J13)/J13,3)</f>
        <v>0.153</v>
      </c>
      <c r="Q13" s="180">
        <f>+'Rates in summary'!I13</f>
        <v>1.0488599999999997</v>
      </c>
      <c r="R13" s="138">
        <f>ROUND(+$G13+(Q13*$F13),2)</f>
        <v>25.46</v>
      </c>
      <c r="S13" s="74">
        <f t="shared" ref="S13:S18" si="6">ROUND((R13-J13)/J13,3)</f>
        <v>0.105</v>
      </c>
      <c r="T13" s="138">
        <f>R13-J13</f>
        <v>2.41</v>
      </c>
      <c r="U13" s="158"/>
    </row>
    <row r="14" spans="1:21" x14ac:dyDescent="0.25">
      <c r="A14" s="31">
        <f t="shared" si="0"/>
        <v>8</v>
      </c>
      <c r="B14" s="13" t="s">
        <v>5</v>
      </c>
      <c r="C14" s="10"/>
      <c r="D14" s="43">
        <f>+'Washington volumes'!F14</f>
        <v>45533</v>
      </c>
      <c r="E14" s="72" t="s">
        <v>51</v>
      </c>
      <c r="F14" s="73">
        <f>+'Washington volumes'!I14</f>
        <v>102.7833</v>
      </c>
      <c r="G14" s="146">
        <v>7</v>
      </c>
      <c r="H14" s="146">
        <v>3.47</v>
      </c>
      <c r="I14" s="191">
        <f>+'Rates in summary'!D14</f>
        <v>1.0187299999999995</v>
      </c>
      <c r="J14" s="138">
        <f t="shared" ref="J14:J18" si="7">ROUND(+$H14+(I14*$F14),2)</f>
        <v>108.18</v>
      </c>
      <c r="K14" s="191">
        <f>'Rates in detail'!I14+SUM('Rates in detail'!O14:Q14)</f>
        <v>1.0378699999999996</v>
      </c>
      <c r="L14" s="138">
        <f t="shared" si="2"/>
        <v>110.15</v>
      </c>
      <c r="M14" s="74">
        <f t="shared" si="3"/>
        <v>1.7999999999999999E-2</v>
      </c>
      <c r="N14" s="191">
        <f>'Rates in detail'!I14+'Rates in detail'!K14</f>
        <v>1.1432199999999997</v>
      </c>
      <c r="O14" s="138">
        <f t="shared" si="4"/>
        <v>124.5</v>
      </c>
      <c r="P14" s="74">
        <f t="shared" si="5"/>
        <v>0.151</v>
      </c>
      <c r="Q14" s="180">
        <f>+'Rates in summary'!I14</f>
        <v>1.0947099999999994</v>
      </c>
      <c r="R14" s="138">
        <f>ROUND(+$G14+(Q14*$F14),2)</f>
        <v>119.52</v>
      </c>
      <c r="S14" s="74">
        <f t="shared" si="6"/>
        <v>0.105</v>
      </c>
      <c r="T14" s="138">
        <f t="shared" ref="T14:T68" si="8">R14-J14</f>
        <v>11.339999999999989</v>
      </c>
      <c r="U14" s="158"/>
    </row>
    <row r="15" spans="1:21" x14ac:dyDescent="0.25">
      <c r="A15" s="31">
        <f t="shared" si="0"/>
        <v>9</v>
      </c>
      <c r="B15" s="13" t="s">
        <v>14</v>
      </c>
      <c r="C15" s="10"/>
      <c r="D15" s="43">
        <f>+'Washington volumes'!F15</f>
        <v>50439545</v>
      </c>
      <c r="E15" s="72" t="s">
        <v>51</v>
      </c>
      <c r="F15" s="73">
        <f>+'Washington volumes'!I15</f>
        <v>56.311360000000001</v>
      </c>
      <c r="G15" s="146">
        <v>8</v>
      </c>
      <c r="H15" s="146">
        <v>7</v>
      </c>
      <c r="I15" s="191">
        <f>+'Rates in summary'!D15</f>
        <v>0.73545999999999978</v>
      </c>
      <c r="J15" s="138">
        <f t="shared" si="7"/>
        <v>48.41</v>
      </c>
      <c r="K15" s="191">
        <f>'Rates in detail'!I15+SUM('Rates in detail'!O15:Q15)</f>
        <v>0.75951999999999975</v>
      </c>
      <c r="L15" s="138">
        <f t="shared" si="2"/>
        <v>49.77</v>
      </c>
      <c r="M15" s="74">
        <f t="shared" si="3"/>
        <v>2.8000000000000001E-2</v>
      </c>
      <c r="N15" s="191">
        <f>'Rates in detail'!I15+'Rates in detail'!K15</f>
        <v>0.84661999999999982</v>
      </c>
      <c r="O15" s="138">
        <f t="shared" si="4"/>
        <v>55.67</v>
      </c>
      <c r="P15" s="74">
        <f t="shared" si="5"/>
        <v>0.15</v>
      </c>
      <c r="Q15" s="180">
        <f>+'Rates in summary'!I15</f>
        <v>0.81020999999999987</v>
      </c>
      <c r="R15" s="146">
        <f>ROUND(+$G15+(Q15*$F15),2)</f>
        <v>53.62</v>
      </c>
      <c r="S15" s="358">
        <f t="shared" si="6"/>
        <v>0.108</v>
      </c>
      <c r="T15" s="138">
        <f t="shared" si="8"/>
        <v>5.2100000000000009</v>
      </c>
      <c r="U15" s="158"/>
    </row>
    <row r="16" spans="1:21" x14ac:dyDescent="0.25">
      <c r="A16" s="31">
        <f t="shared" si="0"/>
        <v>10</v>
      </c>
      <c r="B16" s="13" t="s">
        <v>12</v>
      </c>
      <c r="C16" s="10"/>
      <c r="D16" s="43">
        <f>+'Washington volumes'!F16</f>
        <v>16896372.415424868</v>
      </c>
      <c r="E16" s="72" t="s">
        <v>51</v>
      </c>
      <c r="F16" s="73">
        <f>+'Washington volumes'!I16</f>
        <v>234.39511999999999</v>
      </c>
      <c r="G16" s="146">
        <v>22</v>
      </c>
      <c r="H16" s="146">
        <v>15</v>
      </c>
      <c r="I16" s="191">
        <f>+'Rates in summary'!D16</f>
        <v>0.73534000000000033</v>
      </c>
      <c r="J16" s="138">
        <f t="shared" si="7"/>
        <v>187.36</v>
      </c>
      <c r="K16" s="191">
        <f>'Rates in detail'!I16+SUM('Rates in detail'!O16:Q16)</f>
        <v>0.76075000000000015</v>
      </c>
      <c r="L16" s="138">
        <f t="shared" si="2"/>
        <v>193.32</v>
      </c>
      <c r="M16" s="74">
        <f t="shared" si="3"/>
        <v>3.2000000000000001E-2</v>
      </c>
      <c r="N16" s="191">
        <f>'Rates in detail'!I16+'Rates in detail'!K16</f>
        <v>0.82481000000000015</v>
      </c>
      <c r="O16" s="138">
        <f t="shared" si="4"/>
        <v>215.33</v>
      </c>
      <c r="P16" s="74">
        <f t="shared" si="5"/>
        <v>0.14899999999999999</v>
      </c>
      <c r="Q16" s="180">
        <f>+'Rates in summary'!I16</f>
        <v>0.79219000000000039</v>
      </c>
      <c r="R16" s="146">
        <f>ROUND(+$G16+(Q16*$F16),2)</f>
        <v>207.69</v>
      </c>
      <c r="S16" s="358">
        <f t="shared" si="6"/>
        <v>0.109</v>
      </c>
      <c r="T16" s="138">
        <f t="shared" si="8"/>
        <v>20.329999999999984</v>
      </c>
      <c r="U16" s="158"/>
    </row>
    <row r="17" spans="1:21" x14ac:dyDescent="0.25">
      <c r="A17" s="31">
        <f t="shared" si="0"/>
        <v>11</v>
      </c>
      <c r="B17" s="13" t="s">
        <v>13</v>
      </c>
      <c r="C17" s="10"/>
      <c r="D17" s="43">
        <f>+'Washington volumes'!F17</f>
        <v>478558.2</v>
      </c>
      <c r="E17" s="72" t="s">
        <v>51</v>
      </c>
      <c r="F17" s="73">
        <f>+'Washington volumes'!I17</f>
        <v>1459.0189</v>
      </c>
      <c r="G17" s="146">
        <v>22</v>
      </c>
      <c r="H17" s="146">
        <v>15</v>
      </c>
      <c r="I17" s="191">
        <f>+'Rates in summary'!D17</f>
        <v>0.70457999999999954</v>
      </c>
      <c r="J17" s="138">
        <f t="shared" si="7"/>
        <v>1043</v>
      </c>
      <c r="K17" s="191">
        <f>'Rates in detail'!I17+SUM('Rates in detail'!O17:Q17)</f>
        <v>0.71327999999999958</v>
      </c>
      <c r="L17" s="138">
        <f t="shared" si="2"/>
        <v>1055.69</v>
      </c>
      <c r="M17" s="74">
        <f t="shared" si="3"/>
        <v>1.2E-2</v>
      </c>
      <c r="N17" s="191">
        <f>'Rates in detail'!I17+'Rates in detail'!K17</f>
        <v>0.79192999999999958</v>
      </c>
      <c r="O17" s="138">
        <f t="shared" si="4"/>
        <v>1177.44</v>
      </c>
      <c r="P17" s="74">
        <f t="shared" si="5"/>
        <v>0.129</v>
      </c>
      <c r="Q17" s="180">
        <f>+'Rates in summary'!I17</f>
        <v>0.76294999999999946</v>
      </c>
      <c r="R17" s="138">
        <f t="shared" ref="R17:R18" si="9">ROUND(+$G17+(Q17*$F17),2)</f>
        <v>1135.1600000000001</v>
      </c>
      <c r="S17" s="74">
        <f t="shared" si="6"/>
        <v>8.7999999999999995E-2</v>
      </c>
      <c r="T17" s="138">
        <f t="shared" si="8"/>
        <v>92.160000000000082</v>
      </c>
      <c r="U17" s="158"/>
    </row>
    <row r="18" spans="1:21" x14ac:dyDescent="0.25">
      <c r="A18" s="31">
        <f t="shared" si="0"/>
        <v>12</v>
      </c>
      <c r="B18" s="51">
        <v>27</v>
      </c>
      <c r="C18" s="17"/>
      <c r="D18" s="43">
        <f>+'Washington volumes'!F18</f>
        <v>517229.53568450134</v>
      </c>
      <c r="E18" s="72" t="s">
        <v>51</v>
      </c>
      <c r="F18" s="73">
        <f>+'Washington volumes'!I18</f>
        <v>54.802880000000002</v>
      </c>
      <c r="G18" s="146">
        <v>9</v>
      </c>
      <c r="H18" s="146">
        <v>6</v>
      </c>
      <c r="I18" s="191">
        <f>+'Rates in summary'!D18</f>
        <v>0.56221999999999994</v>
      </c>
      <c r="J18" s="138">
        <f t="shared" si="7"/>
        <v>36.81</v>
      </c>
      <c r="K18" s="191">
        <f>'Rates in detail'!I18+SUM('Rates in detail'!O18:Q18)</f>
        <v>0.5914499999999997</v>
      </c>
      <c r="L18" s="138">
        <f t="shared" si="2"/>
        <v>38.409999999999997</v>
      </c>
      <c r="M18" s="74">
        <f t="shared" si="3"/>
        <v>4.2999999999999997E-2</v>
      </c>
      <c r="N18" s="191">
        <f>'Rates in detail'!I18+'Rates in detail'!K18</f>
        <v>0.60748999999999975</v>
      </c>
      <c r="O18" s="138">
        <f t="shared" si="4"/>
        <v>42.29</v>
      </c>
      <c r="P18" s="74">
        <f t="shared" si="5"/>
        <v>0.14899999999999999</v>
      </c>
      <c r="Q18" s="180">
        <f>+'Rates in summary'!I18</f>
        <v>0.58290999999999993</v>
      </c>
      <c r="R18" s="138">
        <f t="shared" si="9"/>
        <v>40.950000000000003</v>
      </c>
      <c r="S18" s="74">
        <f t="shared" si="6"/>
        <v>0.112</v>
      </c>
      <c r="T18" s="138">
        <f t="shared" si="8"/>
        <v>4.1400000000000006</v>
      </c>
      <c r="U18" s="158"/>
    </row>
    <row r="19" spans="1:21" x14ac:dyDescent="0.25">
      <c r="A19" s="31">
        <f t="shared" si="0"/>
        <v>13</v>
      </c>
      <c r="B19" s="47" t="s">
        <v>166</v>
      </c>
      <c r="C19" s="15" t="s">
        <v>6</v>
      </c>
      <c r="D19" s="48">
        <f>+'Washington volumes'!F19</f>
        <v>1845820.9686654136</v>
      </c>
      <c r="E19" s="75">
        <v>2000</v>
      </c>
      <c r="F19" s="76">
        <f>+'Washington volumes'!I19</f>
        <v>6921.7673800000002</v>
      </c>
      <c r="G19" s="367">
        <v>250</v>
      </c>
      <c r="H19" s="367">
        <v>250</v>
      </c>
      <c r="I19" s="192">
        <f>+'Rates in summary'!D19</f>
        <v>0.49926000000000026</v>
      </c>
      <c r="J19" s="135"/>
      <c r="K19" s="192">
        <f>'Rates in detail'!I19+SUM('Rates in detail'!O19:Q19)</f>
        <v>0.52827000000000013</v>
      </c>
      <c r="L19" s="135"/>
      <c r="M19" s="165"/>
      <c r="N19" s="192">
        <f>'Rates in detail'!I19+'Rates in detail'!K19</f>
        <v>0.60192000000000023</v>
      </c>
      <c r="O19" s="135"/>
      <c r="P19" s="165"/>
      <c r="Q19" s="134">
        <f>+'Rates in summary'!I19</f>
        <v>0.5763400000000003</v>
      </c>
      <c r="R19" s="135"/>
      <c r="S19" s="77"/>
      <c r="T19" s="135"/>
    </row>
    <row r="20" spans="1:21" x14ac:dyDescent="0.25">
      <c r="A20" s="31">
        <f t="shared" si="0"/>
        <v>14</v>
      </c>
      <c r="B20" s="47"/>
      <c r="C20" s="15" t="s">
        <v>7</v>
      </c>
      <c r="D20" s="48">
        <f>+'Washington volumes'!F20</f>
        <v>1822715.7411472078</v>
      </c>
      <c r="E20" s="75" t="s">
        <v>133</v>
      </c>
      <c r="F20" s="76"/>
      <c r="G20" s="367"/>
      <c r="H20" s="367"/>
      <c r="I20" s="192">
        <f>+'Rates in summary'!D20</f>
        <v>0.46017999999999998</v>
      </c>
      <c r="J20" s="135"/>
      <c r="K20" s="192">
        <f>'Rates in detail'!I20+SUM('Rates in detail'!O20:Q20)</f>
        <v>0.49034999999999995</v>
      </c>
      <c r="L20" s="135"/>
      <c r="M20" s="165"/>
      <c r="N20" s="192">
        <f>'Rates in detail'!I20+'Rates in detail'!K20</f>
        <v>0.55524999999999991</v>
      </c>
      <c r="O20" s="135"/>
      <c r="P20" s="165"/>
      <c r="Q20" s="134">
        <f>+'Rates in summary'!I20</f>
        <v>0.53271000000000002</v>
      </c>
      <c r="R20" s="135"/>
      <c r="S20" s="77"/>
      <c r="T20" s="135"/>
    </row>
    <row r="21" spans="1:21" x14ac:dyDescent="0.25">
      <c r="A21" s="31">
        <f t="shared" si="0"/>
        <v>15</v>
      </c>
      <c r="B21" s="51"/>
      <c r="C21" s="78" t="s">
        <v>137</v>
      </c>
      <c r="D21" s="79"/>
      <c r="E21" s="80"/>
      <c r="F21" s="81"/>
      <c r="G21" s="368"/>
      <c r="H21" s="368"/>
      <c r="I21" s="193"/>
      <c r="J21" s="186">
        <f>$H19+ROUND(IF($F19&lt;$E19,($F19*I19),IF($F19&gt;SUM($E19:$E20),(($E19*I19)+(($F19-$E19)*I20)),0)),2)</f>
        <v>3513.42</v>
      </c>
      <c r="K21" s="193"/>
      <c r="L21" s="186">
        <f>$G19+ROUND(IF($F19&lt;$E19,($F19*K19),IF($F19&gt;SUM($E19:$E20),(($E19*K19)+(($F19-$E19)*K20)),0)),2)</f>
        <v>3719.93</v>
      </c>
      <c r="M21" s="82">
        <f>ROUND((L21-J21)/J21,3)</f>
        <v>5.8999999999999997E-2</v>
      </c>
      <c r="N21" s="193"/>
      <c r="O21" s="186">
        <f>$G19+ROUND(IF($F19&lt;$E19,($F19*N19),IF($F19&gt;SUM($E19:$E20),(($E19*N19)+(($F19-$E19)*N20)),0)),2)</f>
        <v>4186.6499999999996</v>
      </c>
      <c r="P21" s="82">
        <f>ROUND((O21-J21)/J21,3)</f>
        <v>0.192</v>
      </c>
      <c r="Q21" s="183"/>
      <c r="R21" s="186">
        <f>$G19+ROUND(IF($F19&lt;$E19,($F19*Q19),IF($F19&gt;SUM($E19:$E20),(($E19*Q19)+(($F19-$E19)*Q20)),0)),2)</f>
        <v>4024.55</v>
      </c>
      <c r="S21" s="82">
        <f>ROUND((R21-J21)/J21,3)</f>
        <v>0.14499999999999999</v>
      </c>
      <c r="T21" s="138">
        <f t="shared" si="8"/>
        <v>511.13000000000011</v>
      </c>
      <c r="U21" s="158"/>
    </row>
    <row r="22" spans="1:21" x14ac:dyDescent="0.25">
      <c r="A22" s="31">
        <f t="shared" si="0"/>
        <v>16</v>
      </c>
      <c r="B22" s="47" t="s">
        <v>167</v>
      </c>
      <c r="C22" s="15" t="s">
        <v>6</v>
      </c>
      <c r="D22" s="48">
        <f>+'Washington volumes'!F21</f>
        <v>0</v>
      </c>
      <c r="E22" s="75">
        <v>2000</v>
      </c>
      <c r="F22" s="76">
        <f>+'Washington volumes'!I21</f>
        <v>0</v>
      </c>
      <c r="G22" s="367">
        <v>250</v>
      </c>
      <c r="H22" s="367">
        <v>250</v>
      </c>
      <c r="I22" s="192">
        <f>+'Rates in summary'!D21</f>
        <v>0.51518999999999993</v>
      </c>
      <c r="J22" s="135"/>
      <c r="K22" s="192">
        <f>'Rates in detail'!I21+SUM('Rates in detail'!O21:Q21)</f>
        <v>0.5442800000000001</v>
      </c>
      <c r="L22" s="135"/>
      <c r="M22" s="165"/>
      <c r="N22" s="192">
        <f>'Rates in detail'!I21+'Rates in detail'!K21</f>
        <v>0.6174400000000001</v>
      </c>
      <c r="O22" s="135"/>
      <c r="P22" s="165"/>
      <c r="Q22" s="134">
        <f>+'Rates in summary'!I21</f>
        <v>0.59161999999999992</v>
      </c>
      <c r="R22" s="135"/>
      <c r="S22" s="153"/>
      <c r="T22" s="135"/>
    </row>
    <row r="23" spans="1:21" x14ac:dyDescent="0.25">
      <c r="A23" s="31">
        <f t="shared" si="0"/>
        <v>17</v>
      </c>
      <c r="B23" s="47"/>
      <c r="C23" s="15" t="s">
        <v>7</v>
      </c>
      <c r="D23" s="48">
        <f>+'Washington volumes'!F22</f>
        <v>0</v>
      </c>
      <c r="E23" s="75" t="s">
        <v>133</v>
      </c>
      <c r="F23" s="118"/>
      <c r="G23" s="369"/>
      <c r="H23" s="369"/>
      <c r="I23" s="192">
        <f>+'Rates in summary'!D22</f>
        <v>0.47625999999999991</v>
      </c>
      <c r="J23" s="135"/>
      <c r="K23" s="192">
        <f>'Rates in detail'!I22+SUM('Rates in detail'!O22:Q22)</f>
        <v>0.50668999999999986</v>
      </c>
      <c r="L23" s="135"/>
      <c r="M23" s="165"/>
      <c r="N23" s="192">
        <f>'Rates in detail'!I22+'Rates in detail'!K22</f>
        <v>0.57114999999999994</v>
      </c>
      <c r="O23" s="135"/>
      <c r="P23" s="165"/>
      <c r="Q23" s="134">
        <f>+'Rates in summary'!I22</f>
        <v>0.54839999999999989</v>
      </c>
      <c r="R23" s="135"/>
      <c r="S23" s="153"/>
      <c r="T23" s="135"/>
    </row>
    <row r="24" spans="1:21" x14ac:dyDescent="0.25">
      <c r="A24" s="31">
        <f t="shared" si="0"/>
        <v>18</v>
      </c>
      <c r="B24" s="51"/>
      <c r="C24" s="78" t="s">
        <v>137</v>
      </c>
      <c r="D24" s="79"/>
      <c r="E24" s="80"/>
      <c r="F24" s="81"/>
      <c r="G24" s="368"/>
      <c r="H24" s="368"/>
      <c r="I24" s="193"/>
      <c r="J24" s="186">
        <f>$H22+ROUND(IF($F22&lt;$E22,($F22*I22),IF($F22&gt;SUM($E22:$E23),(($E22*I22)+(($F22-$E22)*I23)),0)),2)</f>
        <v>250</v>
      </c>
      <c r="K24" s="193"/>
      <c r="L24" s="186">
        <f>$G22+ROUND(IF($F22&lt;$E22,($F22*K22),IF($F22&gt;SUM($E22:$E23),(($E22*K22)+(($F22-$E22)*K23)),0)),2)</f>
        <v>250</v>
      </c>
      <c r="M24" s="82">
        <f>ROUND((L24-J24)/J24,3)</f>
        <v>0</v>
      </c>
      <c r="N24" s="193"/>
      <c r="O24" s="186">
        <f>$G22+ROUND(IF($F22&lt;$E22,($F22*N22),IF($F22&gt;SUM($E22:$E23),(($E22*N22)+(($F22-$E22)*N23)),0)),2)</f>
        <v>250</v>
      </c>
      <c r="P24" s="82">
        <f>ROUND((O24-J24)/J24,3)</f>
        <v>0</v>
      </c>
      <c r="Q24" s="183"/>
      <c r="R24" s="186">
        <f>$G22+ROUND(IF($F22&lt;$E22,($F22*Q22),IF($F22&gt;SUM($E22:$E23),(($E22*Q22)+(($F22-$E22)*Q23)),0)),2)</f>
        <v>250</v>
      </c>
      <c r="S24" s="82">
        <f>ROUND((R24-J24)/J24,3)</f>
        <v>0</v>
      </c>
      <c r="T24" s="138">
        <f t="shared" si="8"/>
        <v>0</v>
      </c>
      <c r="U24" s="158"/>
    </row>
    <row r="25" spans="1:21" x14ac:dyDescent="0.25">
      <c r="A25" s="31">
        <f t="shared" si="0"/>
        <v>19</v>
      </c>
      <c r="B25" s="47" t="s">
        <v>109</v>
      </c>
      <c r="C25" s="15" t="s">
        <v>6</v>
      </c>
      <c r="D25" s="48">
        <f>+'Washington volumes'!F23</f>
        <v>373284</v>
      </c>
      <c r="E25" s="75">
        <v>2000</v>
      </c>
      <c r="F25" s="76">
        <f>+'Washington volumes'!I23</f>
        <v>9538.9603999999999</v>
      </c>
      <c r="G25" s="367">
        <f>250+250</f>
        <v>500</v>
      </c>
      <c r="H25" s="367">
        <f>250+250</f>
        <v>500</v>
      </c>
      <c r="I25" s="192">
        <f>+'Rates in summary'!D23</f>
        <v>0.30018999999999996</v>
      </c>
      <c r="J25" s="135"/>
      <c r="K25" s="192">
        <f>'Rates in detail'!I23+SUM('Rates in detail'!O23:Q23)</f>
        <v>0.27232000000000001</v>
      </c>
      <c r="L25" s="135"/>
      <c r="M25" s="165"/>
      <c r="N25" s="192">
        <f>'Rates in detail'!I23+'Rates in detail'!K23</f>
        <v>0.35285</v>
      </c>
      <c r="O25" s="135"/>
      <c r="P25" s="165"/>
      <c r="Q25" s="134">
        <f>+'Rates in summary'!I23</f>
        <v>0.32488999999999996</v>
      </c>
      <c r="R25" s="135"/>
      <c r="S25" s="77"/>
      <c r="T25" s="135"/>
    </row>
    <row r="26" spans="1:21" x14ac:dyDescent="0.25">
      <c r="A26" s="31">
        <f t="shared" si="0"/>
        <v>20</v>
      </c>
      <c r="B26" s="47"/>
      <c r="C26" s="15" t="s">
        <v>7</v>
      </c>
      <c r="D26" s="48">
        <f>+'Washington volumes'!F24</f>
        <v>590151</v>
      </c>
      <c r="E26" s="75" t="s">
        <v>133</v>
      </c>
      <c r="F26" s="76"/>
      <c r="G26" s="367"/>
      <c r="H26" s="367"/>
      <c r="I26" s="192">
        <f>+'Rates in summary'!D24</f>
        <v>0.26449</v>
      </c>
      <c r="J26" s="135"/>
      <c r="K26" s="192">
        <f>'Rates in detail'!I24+SUM('Rates in detail'!O24:Q24)</f>
        <v>0.23993000000000003</v>
      </c>
      <c r="L26" s="135"/>
      <c r="M26" s="165"/>
      <c r="N26" s="192">
        <f>'Rates in detail'!I24+'Rates in detail'!K24</f>
        <v>0.31089</v>
      </c>
      <c r="O26" s="135"/>
      <c r="P26" s="165"/>
      <c r="Q26" s="134">
        <f>+'Rates in summary'!I24</f>
        <v>0.28625000000000006</v>
      </c>
      <c r="R26" s="135"/>
      <c r="S26" s="77"/>
      <c r="T26" s="135"/>
    </row>
    <row r="27" spans="1:21" x14ac:dyDescent="0.25">
      <c r="A27" s="31">
        <f t="shared" si="0"/>
        <v>21</v>
      </c>
      <c r="B27" s="51"/>
      <c r="C27" s="78" t="s">
        <v>137</v>
      </c>
      <c r="D27" s="79"/>
      <c r="E27" s="80"/>
      <c r="F27" s="81"/>
      <c r="G27" s="368"/>
      <c r="H27" s="368"/>
      <c r="I27" s="193"/>
      <c r="J27" s="186">
        <f>$H25+ROUND(IF($F25&lt;$E25,($F25*I25),IF($F25&gt;SUM($E25:$E26),(($E25*I25)+(($F25-$E25)*I26)),0)),2)</f>
        <v>3094.36</v>
      </c>
      <c r="K27" s="193"/>
      <c r="L27" s="186">
        <f>$G25+ROUND(IF($F25&lt;$E25,($F25*K25),IF($F25&gt;SUM($E25:$E26),(($E25*K25)+(($F25-$E25)*K26)),0)),2)</f>
        <v>2853.46</v>
      </c>
      <c r="M27" s="82">
        <f>ROUND((L27-J27)/J27,3)</f>
        <v>-7.8E-2</v>
      </c>
      <c r="N27" s="193"/>
      <c r="O27" s="186">
        <f>$G25+ROUND(IF($F25&lt;$E25,($F25*N25),IF($F25&gt;SUM($E25:$E26),(($E25*N25)+(($F25-$E25)*N26)),0)),2)</f>
        <v>3549.49</v>
      </c>
      <c r="P27" s="82">
        <f>ROUND((O27-J27)/J27,3)</f>
        <v>0.14699999999999999</v>
      </c>
      <c r="Q27" s="183"/>
      <c r="R27" s="186">
        <f>$G25+ROUND(IF($F25&lt;$E25,($F25*Q25),IF($F25&gt;SUM($E25:$E26),(($E25*Q25)+(($F25-$E25)*Q26)),0)),2)</f>
        <v>3307.81</v>
      </c>
      <c r="S27" s="82">
        <f>ROUND((R27-J27)/J27,3)</f>
        <v>6.9000000000000006E-2</v>
      </c>
      <c r="T27" s="138">
        <f t="shared" si="8"/>
        <v>213.44999999999982</v>
      </c>
      <c r="U27" s="158"/>
    </row>
    <row r="28" spans="1:21" x14ac:dyDescent="0.25">
      <c r="A28" s="31">
        <f t="shared" si="0"/>
        <v>22</v>
      </c>
      <c r="B28" s="47" t="s">
        <v>168</v>
      </c>
      <c r="C28" s="15" t="s">
        <v>6</v>
      </c>
      <c r="D28" s="48">
        <f>+'Washington volumes'!F25</f>
        <v>322107.7</v>
      </c>
      <c r="E28" s="75">
        <v>2000</v>
      </c>
      <c r="F28" s="76">
        <f>+'Washington volumes'!I25</f>
        <v>7471.22235</v>
      </c>
      <c r="G28" s="367">
        <v>250</v>
      </c>
      <c r="H28" s="367">
        <v>250</v>
      </c>
      <c r="I28" s="192">
        <f>+'Rates in summary'!D25</f>
        <v>0.47592000000000023</v>
      </c>
      <c r="J28" s="135"/>
      <c r="K28" s="192">
        <f>'Rates in detail'!I25+SUM('Rates in detail'!O25:Q25)</f>
        <v>0.48884000000000022</v>
      </c>
      <c r="L28" s="135"/>
      <c r="M28" s="165"/>
      <c r="N28" s="192">
        <f>'Rates in detail'!I25+'Rates in detail'!K25</f>
        <v>0.56143000000000021</v>
      </c>
      <c r="O28" s="135"/>
      <c r="P28" s="165"/>
      <c r="Q28" s="134">
        <f>+'Rates in summary'!I25</f>
        <v>0.53622000000000014</v>
      </c>
      <c r="R28" s="135"/>
      <c r="S28" s="153"/>
      <c r="T28" s="135"/>
    </row>
    <row r="29" spans="1:21" x14ac:dyDescent="0.25">
      <c r="A29" s="31">
        <f t="shared" si="0"/>
        <v>23</v>
      </c>
      <c r="B29" s="47"/>
      <c r="C29" s="15" t="s">
        <v>7</v>
      </c>
      <c r="D29" s="48">
        <f>+'Washington volumes'!F26</f>
        <v>346566.6999999999</v>
      </c>
      <c r="E29" s="75" t="s">
        <v>133</v>
      </c>
      <c r="F29" s="118"/>
      <c r="G29" s="369"/>
      <c r="H29" s="369"/>
      <c r="I29" s="192">
        <f>+'Rates in summary'!D26</f>
        <v>0.43959999999999988</v>
      </c>
      <c r="J29" s="135"/>
      <c r="K29" s="192">
        <f>'Rates in detail'!I26+SUM('Rates in detail'!O26:Q26)</f>
        <v>0.45560999999999985</v>
      </c>
      <c r="L29" s="135"/>
      <c r="M29" s="165"/>
      <c r="N29" s="192">
        <f>'Rates in detail'!I26+'Rates in detail'!K26</f>
        <v>0.51957999999999982</v>
      </c>
      <c r="O29" s="135"/>
      <c r="P29" s="165"/>
      <c r="Q29" s="134">
        <f>+'Rates in summary'!I26</f>
        <v>0.49735999999999986</v>
      </c>
      <c r="R29" s="135"/>
      <c r="S29" s="153"/>
      <c r="T29" s="135"/>
    </row>
    <row r="30" spans="1:21" x14ac:dyDescent="0.25">
      <c r="A30" s="31">
        <f t="shared" si="0"/>
        <v>24</v>
      </c>
      <c r="B30" s="51"/>
      <c r="C30" s="78" t="s">
        <v>137</v>
      </c>
      <c r="D30" s="79"/>
      <c r="E30" s="80"/>
      <c r="F30" s="81"/>
      <c r="G30" s="368"/>
      <c r="H30" s="368"/>
      <c r="I30" s="193"/>
      <c r="J30" s="186">
        <f>$H28+ROUND(IF($F28&lt;$E28,($F28*I28),IF($F28&gt;SUM($E28:$E29),(($E28*I28)+(($F28-$E28)*I29)),0)),2)</f>
        <v>3606.99</v>
      </c>
      <c r="K30" s="193"/>
      <c r="L30" s="186">
        <f>$G28+ROUND(IF($F28&lt;$E28,($F28*K28),IF($F28&gt;SUM($E28:$E29),(($E28*K28)+(($F28-$E28)*K29)),0)),2)</f>
        <v>3720.42</v>
      </c>
      <c r="M30" s="82">
        <f>ROUND((L30-J30)/J30,3)</f>
        <v>3.1E-2</v>
      </c>
      <c r="N30" s="193"/>
      <c r="O30" s="186">
        <f>$G28+ROUND(IF($F28&lt;$E28,($F28*N28),IF($F28&gt;SUM($E28:$E29),(($E28*N28)+(($F28-$E28)*N29)),0)),2)</f>
        <v>4215.6000000000004</v>
      </c>
      <c r="P30" s="82">
        <f>ROUND((O30-J30)/J30,3)</f>
        <v>0.16900000000000001</v>
      </c>
      <c r="Q30" s="183"/>
      <c r="R30" s="186">
        <f>$G28+ROUND(IF($F28&lt;$E28,($F28*Q28),IF($F28&gt;SUM($E28:$E29),(($E28*Q28)+(($F28-$E28)*Q29)),0)),2)</f>
        <v>4043.61</v>
      </c>
      <c r="S30" s="82">
        <f>ROUND((R30-J30)/J30,3)</f>
        <v>0.121</v>
      </c>
      <c r="T30" s="138">
        <f t="shared" si="8"/>
        <v>436.62000000000035</v>
      </c>
      <c r="U30" s="158"/>
    </row>
    <row r="31" spans="1:21" x14ac:dyDescent="0.25">
      <c r="A31" s="31">
        <f t="shared" si="0"/>
        <v>25</v>
      </c>
      <c r="B31" s="47" t="s">
        <v>169</v>
      </c>
      <c r="C31" s="15" t="s">
        <v>6</v>
      </c>
      <c r="D31" s="48">
        <f>+'Washington volumes'!F27</f>
        <v>0</v>
      </c>
      <c r="E31" s="75">
        <v>2000</v>
      </c>
      <c r="F31" s="76">
        <f>+'Washington volumes'!I27</f>
        <v>0</v>
      </c>
      <c r="G31" s="367">
        <v>250</v>
      </c>
      <c r="H31" s="367">
        <v>250</v>
      </c>
      <c r="I31" s="192">
        <f>+'Rates in summary'!D27</f>
        <v>0.4930000000000001</v>
      </c>
      <c r="J31" s="135"/>
      <c r="K31" s="192">
        <f>'Rates in detail'!I27+SUM('Rates in detail'!O27:Q27)</f>
        <v>0.50686000000000009</v>
      </c>
      <c r="L31" s="135"/>
      <c r="M31" s="165"/>
      <c r="N31" s="192">
        <f>'Rates in detail'!I27+'Rates in detail'!K27</f>
        <v>0.58002000000000009</v>
      </c>
      <c r="O31" s="135"/>
      <c r="P31" s="165"/>
      <c r="Q31" s="134">
        <f>+'Rates in summary'!I27</f>
        <v>0.55420000000000025</v>
      </c>
      <c r="R31" s="135"/>
      <c r="S31" s="77"/>
      <c r="T31" s="135"/>
    </row>
    <row r="32" spans="1:21" x14ac:dyDescent="0.25">
      <c r="A32" s="31">
        <f t="shared" si="0"/>
        <v>26</v>
      </c>
      <c r="B32" s="47"/>
      <c r="C32" s="15" t="s">
        <v>7</v>
      </c>
      <c r="D32" s="48">
        <f>+'Washington volumes'!F28</f>
        <v>0</v>
      </c>
      <c r="E32" s="75" t="s">
        <v>133</v>
      </c>
      <c r="F32" s="76"/>
      <c r="G32" s="367"/>
      <c r="H32" s="367"/>
      <c r="I32" s="192">
        <f>+'Rates in summary'!D28</f>
        <v>0.45670999999999995</v>
      </c>
      <c r="J32" s="135"/>
      <c r="K32" s="192">
        <f>'Rates in detail'!I28+SUM('Rates in detail'!O28:Q28)</f>
        <v>0.47371999999999997</v>
      </c>
      <c r="L32" s="135"/>
      <c r="M32" s="165"/>
      <c r="N32" s="192">
        <f>'Rates in detail'!I28+'Rates in detail'!K28</f>
        <v>0.53817999999999999</v>
      </c>
      <c r="O32" s="135"/>
      <c r="P32" s="165"/>
      <c r="Q32" s="134">
        <f>+'Rates in summary'!I28</f>
        <v>0.51542999999999994</v>
      </c>
      <c r="R32" s="135"/>
      <c r="S32" s="77"/>
      <c r="T32" s="135"/>
    </row>
    <row r="33" spans="1:21" x14ac:dyDescent="0.25">
      <c r="A33" s="31">
        <f t="shared" si="0"/>
        <v>27</v>
      </c>
      <c r="B33" s="51"/>
      <c r="C33" s="78" t="s">
        <v>137</v>
      </c>
      <c r="D33" s="79"/>
      <c r="E33" s="80"/>
      <c r="F33" s="81"/>
      <c r="G33" s="368"/>
      <c r="H33" s="368"/>
      <c r="I33" s="193"/>
      <c r="J33" s="186">
        <f>$H31+ROUND(IF($F31&lt;$E31,($F31*I31),IF($F31&gt;SUM($E31:$E32),(($E31*I31)+(($F31-$E31)*I32)),0)),2)</f>
        <v>250</v>
      </c>
      <c r="K33" s="193"/>
      <c r="L33" s="186">
        <f>$G31+ROUND(IF($F31&lt;$E31,($F31*K31),IF($F31&gt;SUM($E31:$E32),(($E31*K31)+(($F31-$E31)*K32)),0)),2)</f>
        <v>250</v>
      </c>
      <c r="M33" s="82">
        <f>ROUND((L33-J33)/J33,3)</f>
        <v>0</v>
      </c>
      <c r="N33" s="193"/>
      <c r="O33" s="186">
        <f>$G31+ROUND(IF($F31&lt;$E31,($F31*N31),IF($F31&gt;SUM($E31:$E32),(($E31*N31)+(($F31-$E31)*N32)),0)),2)</f>
        <v>250</v>
      </c>
      <c r="P33" s="82">
        <f>ROUND((O33-J33)/J33,3)</f>
        <v>0</v>
      </c>
      <c r="Q33" s="183"/>
      <c r="R33" s="186">
        <f>$G31+ROUND(IF($F31&lt;$E31,($F31*Q31),IF($F31&gt;SUM($E31:$E32),(($E31*Q31)+(($F31-$E31)*Q32)),0)),2)</f>
        <v>250</v>
      </c>
      <c r="S33" s="82">
        <f>ROUND((R33-J33)/J33,3)</f>
        <v>0</v>
      </c>
      <c r="T33" s="138">
        <f t="shared" si="8"/>
        <v>0</v>
      </c>
      <c r="U33" s="158"/>
    </row>
    <row r="34" spans="1:21" x14ac:dyDescent="0.25">
      <c r="A34" s="31">
        <f t="shared" si="0"/>
        <v>28</v>
      </c>
      <c r="B34" s="47" t="s">
        <v>110</v>
      </c>
      <c r="C34" s="15" t="s">
        <v>6</v>
      </c>
      <c r="D34" s="48">
        <f>+'Washington volumes'!F29</f>
        <v>375116.70374643942</v>
      </c>
      <c r="E34" s="48">
        <v>10000</v>
      </c>
      <c r="F34" s="76">
        <f>+'Washington volumes'!I29</f>
        <v>21657.937910000001</v>
      </c>
      <c r="G34" s="367">
        <v>1300</v>
      </c>
      <c r="H34" s="367">
        <v>1300</v>
      </c>
      <c r="I34" s="192">
        <f>+'Rates in summary'!D29</f>
        <v>0.30433999999999994</v>
      </c>
      <c r="J34" s="135"/>
      <c r="K34" s="192">
        <f>'Rates in detail'!I29+SUM('Rates in detail'!O29:Q29)</f>
        <v>0.33455999999999997</v>
      </c>
      <c r="L34" s="135"/>
      <c r="M34" s="165"/>
      <c r="N34" s="192">
        <f>'Rates in detail'!I29+'Rates in detail'!K29</f>
        <v>0.38828999999999997</v>
      </c>
      <c r="O34" s="135"/>
      <c r="P34" s="165"/>
      <c r="Q34" s="134">
        <f>+'Rates in summary'!I29</f>
        <v>0.3715099999999999</v>
      </c>
      <c r="R34" s="135"/>
      <c r="S34" s="77"/>
      <c r="T34" s="135"/>
    </row>
    <row r="35" spans="1:21" x14ac:dyDescent="0.25">
      <c r="A35" s="31">
        <f t="shared" si="0"/>
        <v>29</v>
      </c>
      <c r="B35" s="47"/>
      <c r="C35" s="15" t="s">
        <v>7</v>
      </c>
      <c r="D35" s="48">
        <f>+'Washington volumes'!F30</f>
        <v>296540.09891768522</v>
      </c>
      <c r="E35" s="48">
        <v>20000</v>
      </c>
      <c r="F35" s="76"/>
      <c r="G35" s="367"/>
      <c r="H35" s="367"/>
      <c r="I35" s="192">
        <f>+'Rates in summary'!D30</f>
        <v>0.29029999999999978</v>
      </c>
      <c r="J35" s="135"/>
      <c r="K35" s="192">
        <f>'Rates in detail'!I30+SUM('Rates in detail'!O30:Q30)</f>
        <v>0.32142999999999977</v>
      </c>
      <c r="L35" s="135"/>
      <c r="M35" s="165"/>
      <c r="N35" s="192">
        <f>'Rates in detail'!I30+'Rates in detail'!K30</f>
        <v>0.36952999999999975</v>
      </c>
      <c r="O35" s="135"/>
      <c r="P35" s="165"/>
      <c r="Q35" s="134">
        <f>+'Rates in summary'!I30</f>
        <v>0.35449999999999976</v>
      </c>
      <c r="R35" s="135"/>
      <c r="S35" s="77"/>
      <c r="T35" s="135"/>
    </row>
    <row r="36" spans="1:21" x14ac:dyDescent="0.25">
      <c r="A36" s="31">
        <f t="shared" si="0"/>
        <v>30</v>
      </c>
      <c r="B36" s="47"/>
      <c r="C36" s="15" t="s">
        <v>8</v>
      </c>
      <c r="D36" s="48">
        <f>+'Washington volumes'!F31</f>
        <v>74345.195918210724</v>
      </c>
      <c r="E36" s="48">
        <v>20000</v>
      </c>
      <c r="F36" s="76"/>
      <c r="G36" s="367"/>
      <c r="H36" s="367"/>
      <c r="I36" s="192">
        <f>+'Rates in summary'!D31</f>
        <v>0.26236999999999994</v>
      </c>
      <c r="J36" s="135"/>
      <c r="K36" s="192">
        <f>'Rates in detail'!I31+SUM('Rates in detail'!O31:Q31)</f>
        <v>0.29529999999999995</v>
      </c>
      <c r="L36" s="135"/>
      <c r="M36" s="165"/>
      <c r="N36" s="192">
        <f>'Rates in detail'!I31+'Rates in detail'!K31</f>
        <v>0.33218999999999993</v>
      </c>
      <c r="O36" s="135"/>
      <c r="P36" s="165"/>
      <c r="Q36" s="134">
        <f>+'Rates in summary'!I31</f>
        <v>0.32066999999999996</v>
      </c>
      <c r="R36" s="135"/>
      <c r="S36" s="77"/>
      <c r="T36" s="135"/>
    </row>
    <row r="37" spans="1:21" x14ac:dyDescent="0.25">
      <c r="A37" s="31">
        <f t="shared" si="0"/>
        <v>31</v>
      </c>
      <c r="B37" s="47"/>
      <c r="C37" s="15" t="s">
        <v>9</v>
      </c>
      <c r="D37" s="48">
        <f>+'Washington volumes'!F32</f>
        <v>1196.8591974909189</v>
      </c>
      <c r="E37" s="48">
        <v>100000</v>
      </c>
      <c r="F37" s="76"/>
      <c r="G37" s="367"/>
      <c r="H37" s="367"/>
      <c r="I37" s="192">
        <f>+'Rates in summary'!D32</f>
        <v>0.2439800000000002</v>
      </c>
      <c r="J37" s="135"/>
      <c r="K37" s="192">
        <f>'Rates in detail'!I32+SUM('Rates in detail'!O32:Q32)</f>
        <v>0.27809000000000023</v>
      </c>
      <c r="L37" s="135"/>
      <c r="M37" s="165"/>
      <c r="N37" s="192">
        <f>'Rates in detail'!I32+'Rates in detail'!K32</f>
        <v>0.30760000000000021</v>
      </c>
      <c r="O37" s="135"/>
      <c r="P37" s="165"/>
      <c r="Q37" s="134">
        <f>+'Rates in summary'!I32</f>
        <v>0.29838000000000015</v>
      </c>
      <c r="R37" s="135"/>
      <c r="S37" s="77"/>
      <c r="T37" s="135"/>
    </row>
    <row r="38" spans="1:21" x14ac:dyDescent="0.25">
      <c r="A38" s="31">
        <f t="shared" si="0"/>
        <v>32</v>
      </c>
      <c r="B38" s="47"/>
      <c r="C38" s="15" t="s">
        <v>10</v>
      </c>
      <c r="D38" s="48">
        <f>+'Washington volumes'!F33</f>
        <v>0</v>
      </c>
      <c r="E38" s="48">
        <v>600000</v>
      </c>
      <c r="F38" s="76"/>
      <c r="G38" s="367"/>
      <c r="H38" s="367"/>
      <c r="I38" s="192">
        <f>+'Rates in summary'!D33</f>
        <v>0.21944999999999995</v>
      </c>
      <c r="J38" s="135"/>
      <c r="K38" s="192">
        <f>'Rates in detail'!I33+SUM('Rates in detail'!O33:Q33)</f>
        <v>0.25515999999999994</v>
      </c>
      <c r="L38" s="135"/>
      <c r="M38" s="165"/>
      <c r="N38" s="192">
        <f>'Rates in detail'!I33+'Rates in detail'!K33</f>
        <v>0.2748199999999999</v>
      </c>
      <c r="O38" s="135"/>
      <c r="P38" s="165"/>
      <c r="Q38" s="134">
        <f>+'Rates in summary'!I33</f>
        <v>0.26867999999999992</v>
      </c>
      <c r="R38" s="135"/>
      <c r="S38" s="77"/>
      <c r="T38" s="135"/>
    </row>
    <row r="39" spans="1:21" x14ac:dyDescent="0.25">
      <c r="A39" s="31">
        <f t="shared" si="0"/>
        <v>33</v>
      </c>
      <c r="B39" s="47"/>
      <c r="C39" s="15" t="s">
        <v>11</v>
      </c>
      <c r="D39" s="48">
        <f>+'Washington volumes'!F34</f>
        <v>0</v>
      </c>
      <c r="E39" s="75" t="s">
        <v>133</v>
      </c>
      <c r="F39" s="76"/>
      <c r="G39" s="367"/>
      <c r="H39" s="367"/>
      <c r="I39" s="192">
        <f>+'Rates in summary'!D34</f>
        <v>0.18881000000000006</v>
      </c>
      <c r="J39" s="135"/>
      <c r="K39" s="192">
        <f>'Rates in detail'!I34+SUM('Rates in detail'!O34:Q34)</f>
        <v>0.22647000000000006</v>
      </c>
      <c r="L39" s="135"/>
      <c r="M39" s="165"/>
      <c r="N39" s="192">
        <f>'Rates in detail'!I34+'Rates in detail'!K34</f>
        <v>0.23385000000000006</v>
      </c>
      <c r="O39" s="135"/>
      <c r="P39" s="165"/>
      <c r="Q39" s="134">
        <f>+'Rates in summary'!I34</f>
        <v>0.23154000000000002</v>
      </c>
      <c r="R39" s="135"/>
      <c r="S39" s="77"/>
      <c r="T39" s="135"/>
    </row>
    <row r="40" spans="1:21" x14ac:dyDescent="0.25">
      <c r="A40" s="31">
        <f t="shared" si="0"/>
        <v>34</v>
      </c>
      <c r="B40" s="51"/>
      <c r="C40" s="78" t="s">
        <v>137</v>
      </c>
      <c r="D40" s="79"/>
      <c r="E40" s="80"/>
      <c r="F40" s="81"/>
      <c r="G40" s="368"/>
      <c r="H40" s="368"/>
      <c r="I40" s="193"/>
      <c r="J40" s="186">
        <f>$H34+ROUND(IF($F34&lt;$E34,($F34*I34),IF($F34&lt;SUM($E34:$E35),(($E34*I34)+(($F34-$E34)*I35)),IF($F34&lt;SUM($E34:$E36),(($E34*I34)+($E35*I35)+(($F34-$E34-$E35)*I36)),IF($F34&lt;SUM($E34:$E37),(($E34*I34)+($E35*I35)+($E36*I36)+(($F34-SUM($E34:$E36))*I37)),IF($F34&lt;SUM($E34:$E38),(($E34*I34)+($E35*I35)+($E36*I36)+($E37*I37)+(($F34-SUM($E34:$E37))*I38)),(($E34*I34)+($E35*I35)+($E36*I36)+($E37*I36)+($E38*I38)+(($F34-SUM($E34:$E38))*I39))))))),2)</f>
        <v>7727.7</v>
      </c>
      <c r="K40" s="193"/>
      <c r="L40" s="186">
        <f>$G34+ROUND(IF($F34&lt;$E34,($F34*K34),IF($F34&lt;SUM($E34:$E35),(($E34*K34)+(($F34-$E34)*K35)),IF($F34&lt;SUM($E34:$E36),(($E34*K34)+($E35*K35)+(($F34-$E34-$E35)*K36)),IF($F34&lt;SUM($E34:$E37),(($E34*K34)+($E35*K35)+($E36*K36)+(($F34-SUM($E34:$E36))*K37)),IF($F34&lt;SUM($E34:$E38),(($E34*K34)+($E35*K35)+($E36*K36)+($E37*K37)+(($F34-SUM($E34:$E37))*K38)),(($E34*K34)+($E35*K35)+($E36*K36)+($E37*K36)+($E38*K38)+(($F34-SUM($E34:$E38))*K39))))))),2)</f>
        <v>8392.8100000000013</v>
      </c>
      <c r="M40" s="82">
        <f>ROUND((L40-J40)/J40,3)</f>
        <v>8.5999999999999993E-2</v>
      </c>
      <c r="N40" s="193"/>
      <c r="O40" s="186">
        <f>$G34+ROUND(IF($F34&lt;$E34,($F34*N34),IF($F34&lt;SUM($E34:$E35),(($E34*N34)+(($F34-$E34)*N35)),IF($F34&lt;SUM($E34:$E36),(($E34*N34)+($E35*N35)+(($F34-$E34-$E35)*N36)),IF($F34&lt;SUM($E34:$E37),(($E34*N34)+($E35*N35)+($E36*N36)+(($F34-SUM($E34:$E36))*N37)),IF($F34&lt;SUM($E34:$E38),(($E34*N34)+($E35*N35)+($E36*N36)+($E37*N37)+(($F34-SUM($E34:$E37))*N38)),(($E34*N34)+($E35*N35)+($E36*N36)+($E37*N36)+($E38*N38)+(($F34-SUM($E34:$E38))*N39))))))),2)</f>
        <v>9490.86</v>
      </c>
      <c r="P40" s="82">
        <f>ROUND((O40-J40)/J40,3)</f>
        <v>0.22800000000000001</v>
      </c>
      <c r="Q40" s="183"/>
      <c r="R40" s="186">
        <f>$G34+ROUND(IF($F34&lt;$E34,($F34*Q34),IF($F34&lt;SUM($E34:$E35),(($E34*Q34)+(($F34-$E34)*Q35)),IF($F34&lt;SUM($E34:$E36),(($E34*Q34)+($E35*Q35)+(($F34-$E34-$E35)*Q36)),IF($F34&lt;SUM($E34:$E37),(($E34*Q34)+($E35*Q35)+($E36*Q36)+(($F34-SUM($E34:$E36))*Q37)),IF($F34&lt;SUM($E34:$E38),(($E34*Q34)+($E35*Q35)+($E36*Q36)+($E37*Q37)+(($F34-SUM($E34:$E37))*Q38)),(($E34*Q34)+($E35*Q35)+($E36*Q36)+($E37*Q36)+($E38*Q38)+(($F34-SUM($E34:$E38))*Q39))))))),2)</f>
        <v>9147.84</v>
      </c>
      <c r="S40" s="82">
        <f>ROUND((R40-J40)/J40,3)</f>
        <v>0.184</v>
      </c>
      <c r="T40" s="138">
        <f t="shared" si="8"/>
        <v>1420.1400000000003</v>
      </c>
      <c r="U40" s="158"/>
    </row>
    <row r="41" spans="1:21" x14ac:dyDescent="0.25">
      <c r="A41" s="31">
        <f t="shared" si="0"/>
        <v>35</v>
      </c>
      <c r="B41" s="47" t="s">
        <v>111</v>
      </c>
      <c r="C41" s="15" t="s">
        <v>6</v>
      </c>
      <c r="D41" s="48">
        <f>+'Washington volumes'!F35</f>
        <v>1116842.3999999999</v>
      </c>
      <c r="E41" s="48">
        <v>10000</v>
      </c>
      <c r="F41" s="76">
        <f>+'Washington volumes'!I35</f>
        <v>27009.42958</v>
      </c>
      <c r="G41" s="367">
        <v>1300</v>
      </c>
      <c r="H41" s="367">
        <v>1300</v>
      </c>
      <c r="I41" s="192">
        <f>+'Rates in summary'!D35</f>
        <v>0.29139999999999999</v>
      </c>
      <c r="J41" s="135"/>
      <c r="K41" s="192">
        <f>'Rates in detail'!I35+SUM('Rates in detail'!O35:Q35)</f>
        <v>0.31502000000000002</v>
      </c>
      <c r="L41" s="135"/>
      <c r="M41" s="165"/>
      <c r="N41" s="192">
        <f>'Rates in detail'!I35+'Rates in detail'!K35</f>
        <v>0.36130000000000007</v>
      </c>
      <c r="O41" s="135"/>
      <c r="P41" s="165"/>
      <c r="Q41" s="134">
        <f>+'Rates in summary'!I35</f>
        <v>0.34641</v>
      </c>
      <c r="R41" s="135"/>
      <c r="S41" s="77"/>
      <c r="T41" s="135"/>
    </row>
    <row r="42" spans="1:21" x14ac:dyDescent="0.25">
      <c r="A42" s="31">
        <f t="shared" si="0"/>
        <v>36</v>
      </c>
      <c r="B42" s="47"/>
      <c r="C42" s="15" t="s">
        <v>7</v>
      </c>
      <c r="D42" s="48">
        <f>+'Washington volumes'!F36</f>
        <v>718678.6</v>
      </c>
      <c r="E42" s="48">
        <v>20000</v>
      </c>
      <c r="F42" s="76"/>
      <c r="G42" s="367"/>
      <c r="H42" s="367"/>
      <c r="I42" s="192">
        <f>+'Rates in summary'!D36</f>
        <v>0.27872000000000008</v>
      </c>
      <c r="J42" s="135"/>
      <c r="K42" s="192">
        <f>'Rates in detail'!I36+SUM('Rates in detail'!O36:Q36)</f>
        <v>0.30394000000000004</v>
      </c>
      <c r="L42" s="135"/>
      <c r="M42" s="165"/>
      <c r="N42" s="192">
        <f>'Rates in detail'!I36+'Rates in detail'!K36</f>
        <v>0.34537000000000007</v>
      </c>
      <c r="O42" s="135"/>
      <c r="P42" s="165"/>
      <c r="Q42" s="134">
        <f>+'Rates in summary'!I36</f>
        <v>0.33204000000000006</v>
      </c>
      <c r="R42" s="135"/>
      <c r="S42" s="77"/>
      <c r="T42" s="135"/>
    </row>
    <row r="43" spans="1:21" x14ac:dyDescent="0.25">
      <c r="A43" s="31">
        <f t="shared" si="0"/>
        <v>37</v>
      </c>
      <c r="B43" s="47"/>
      <c r="C43" s="15" t="s">
        <v>8</v>
      </c>
      <c r="D43" s="48">
        <f>+'Washington volumes'!F37</f>
        <v>82148.5</v>
      </c>
      <c r="E43" s="48">
        <v>20000</v>
      </c>
      <c r="F43" s="76"/>
      <c r="G43" s="367"/>
      <c r="H43" s="367"/>
      <c r="I43" s="192">
        <f>+'Rates in summary'!D37</f>
        <v>0.25346999999999992</v>
      </c>
      <c r="J43" s="135"/>
      <c r="K43" s="192">
        <f>'Rates in detail'!I37+SUM('Rates in detail'!O37:Q37)</f>
        <v>0.28185999999999983</v>
      </c>
      <c r="L43" s="135"/>
      <c r="M43" s="165"/>
      <c r="N43" s="192">
        <f>'Rates in detail'!I37+'Rates in detail'!K37</f>
        <v>0.31363999999999986</v>
      </c>
      <c r="O43" s="135"/>
      <c r="P43" s="165"/>
      <c r="Q43" s="134">
        <f>+'Rates in summary'!I37</f>
        <v>0.3034099999999999</v>
      </c>
      <c r="R43" s="135"/>
      <c r="S43" s="77"/>
      <c r="T43" s="135"/>
    </row>
    <row r="44" spans="1:21" x14ac:dyDescent="0.25">
      <c r="A44" s="31">
        <f t="shared" si="0"/>
        <v>38</v>
      </c>
      <c r="B44" s="47"/>
      <c r="C44" s="15" t="s">
        <v>9</v>
      </c>
      <c r="D44" s="48">
        <f>+'Washington volumes'!F38</f>
        <v>0</v>
      </c>
      <c r="E44" s="48">
        <v>100000</v>
      </c>
      <c r="F44" s="76"/>
      <c r="G44" s="367"/>
      <c r="H44" s="367"/>
      <c r="I44" s="192">
        <f>+'Rates in summary'!D38</f>
        <v>0.23686000000000015</v>
      </c>
      <c r="J44" s="135"/>
      <c r="K44" s="192">
        <f>'Rates in detail'!I38+SUM('Rates in detail'!O38:Q38)</f>
        <v>0.26735000000000014</v>
      </c>
      <c r="L44" s="135"/>
      <c r="M44" s="165"/>
      <c r="N44" s="192">
        <f>'Rates in detail'!I38+'Rates in detail'!K38</f>
        <v>0.29277000000000014</v>
      </c>
      <c r="O44" s="135"/>
      <c r="P44" s="165"/>
      <c r="Q44" s="134">
        <f>+'Rates in summary'!I38</f>
        <v>0.28459000000000018</v>
      </c>
      <c r="R44" s="135"/>
      <c r="S44" s="77"/>
      <c r="T44" s="135"/>
    </row>
    <row r="45" spans="1:21" x14ac:dyDescent="0.25">
      <c r="A45" s="31">
        <f t="shared" si="0"/>
        <v>39</v>
      </c>
      <c r="B45" s="47"/>
      <c r="C45" s="15" t="s">
        <v>10</v>
      </c>
      <c r="D45" s="48">
        <f>+'Washington volumes'!F39</f>
        <v>0</v>
      </c>
      <c r="E45" s="48">
        <v>600000</v>
      </c>
      <c r="F45" s="76"/>
      <c r="G45" s="367"/>
      <c r="H45" s="367"/>
      <c r="I45" s="192">
        <f>+'Rates in summary'!D39</f>
        <v>0.2147300000000002</v>
      </c>
      <c r="J45" s="135"/>
      <c r="K45" s="192">
        <f>'Rates in detail'!I39+SUM('Rates in detail'!O39:Q39)</f>
        <v>0.24801000000000017</v>
      </c>
      <c r="L45" s="135"/>
      <c r="M45" s="165"/>
      <c r="N45" s="192">
        <f>'Rates in detail'!I39+'Rates in detail'!K39</f>
        <v>0.2649600000000002</v>
      </c>
      <c r="O45" s="135"/>
      <c r="P45" s="165"/>
      <c r="Q45" s="134">
        <f>+'Rates in summary'!I39</f>
        <v>0.25951000000000018</v>
      </c>
      <c r="R45" s="135"/>
      <c r="S45" s="77"/>
      <c r="T45" s="135"/>
    </row>
    <row r="46" spans="1:21" x14ac:dyDescent="0.25">
      <c r="A46" s="31">
        <f t="shared" si="0"/>
        <v>40</v>
      </c>
      <c r="B46" s="47"/>
      <c r="C46" s="15" t="s">
        <v>11</v>
      </c>
      <c r="D46" s="48">
        <f>+'Washington volumes'!F40</f>
        <v>0</v>
      </c>
      <c r="E46" s="75" t="s">
        <v>133</v>
      </c>
      <c r="F46" s="76"/>
      <c r="G46" s="367"/>
      <c r="H46" s="367"/>
      <c r="I46" s="192">
        <f>+'Rates in summary'!D40</f>
        <v>0.18703999999999993</v>
      </c>
      <c r="J46" s="135"/>
      <c r="K46" s="192">
        <f>'Rates in detail'!I40+SUM('Rates in detail'!O40:Q40)</f>
        <v>0.22378999999999993</v>
      </c>
      <c r="L46" s="135"/>
      <c r="M46" s="165"/>
      <c r="N46" s="192">
        <f>'Rates in detail'!I40+'Rates in detail'!K40</f>
        <v>0.23014999999999994</v>
      </c>
      <c r="O46" s="135"/>
      <c r="P46" s="165"/>
      <c r="Q46" s="134">
        <f>+'Rates in summary'!I40</f>
        <v>0.22809999999999991</v>
      </c>
      <c r="R46" s="135"/>
      <c r="S46" s="77"/>
      <c r="T46" s="135"/>
    </row>
    <row r="47" spans="1:21" x14ac:dyDescent="0.25">
      <c r="A47" s="31">
        <f t="shared" si="0"/>
        <v>41</v>
      </c>
      <c r="B47" s="51"/>
      <c r="C47" s="78" t="s">
        <v>137</v>
      </c>
      <c r="D47" s="79"/>
      <c r="E47" s="80"/>
      <c r="F47" s="81"/>
      <c r="G47" s="368"/>
      <c r="H47" s="368"/>
      <c r="I47" s="193"/>
      <c r="J47" s="186">
        <f>$H41+ROUND(IF($F41&lt;$E41,($F41*I41),IF($F41&lt;SUM($E41:$E42),(($E41*I41)+(($F41-$E41)*I42)),IF($F41&lt;SUM($E41:$E43),(($E41*I41)+($E42*I42)+(($F41-$E41-$E42)*I43)),IF($F41&lt;SUM($E41:$E44),(($E41*I41)+($E42*I42)+($E43*I43)+(($F41-SUM($E41:$E43))*I44)),IF($F41&lt;SUM($E41:$E45),(($E41*I41)+($E42*I42)+($E43*I43)+($E44*I44)+(($F41-SUM($E41:$E44))*I45)),(($E41*I41)+($E42*I42)+($E43*I43)+($E44*I43)+($E45*I45)+(($F41-SUM($E41:$E45))*I46))))))),2)</f>
        <v>8954.869999999999</v>
      </c>
      <c r="K47" s="193"/>
      <c r="L47" s="186">
        <f>$G41+ROUND(IF($F41&lt;$E41,($F41*K41),IF($F41&lt;SUM($E41:$E42),(($E41*K41)+(($F41-$E41)*K42)),IF($F41&lt;SUM($E41:$E43),(($E41*K41)+($E42*K42)+(($F41-$E41-$E42)*K43)),IF($F41&lt;SUM($E41:$E44),(($E41*K41)+($E42*K42)+($E43*K43)+(($F41-SUM($E41:$E43))*K44)),IF($F41&lt;SUM($E41:$E45),(($E41*K41)+($E42*K42)+($E43*K43)+($E44*K44)+(($F41-SUM($E41:$E44))*K45)),(($E41*K41)+($E42*K42)+($E43*K43)+($E44*K43)+($E45*K45)+(($F41-SUM($E41:$E45))*K46))))))),2)</f>
        <v>9620.0499999999993</v>
      </c>
      <c r="M47" s="82">
        <f>ROUND((L47-J47)/J47,3)</f>
        <v>7.3999999999999996E-2</v>
      </c>
      <c r="N47" s="193"/>
      <c r="O47" s="186">
        <f>$G41+ROUND(IF($F41&lt;$E41,($F41*N41),IF($F41&lt;SUM($E41:$E42),(($E41*N41)+(($F41-$E41)*N42)),IF($F41&lt;SUM($E41:$E43),(($E41*N41)+($E42*N42)+(($F41-$E41-$E42)*N43)),IF($F41&lt;SUM($E41:$E44),(($E41*N41)+($E42*N42)+($E43*N43)+(($F41-SUM($E41:$E43))*N44)),IF($F41&lt;SUM($E41:$E45),(($E41*N41)+($E42*N42)+($E43*N43)+($E44*N44)+(($F41-SUM($E41:$E44))*N45)),(($E41*N41)+($E42*N42)+($E43*N43)+($E44*N43)+($E45*N45)+(($F41-SUM($E41:$E45))*N46))))))),2)</f>
        <v>10787.55</v>
      </c>
      <c r="P47" s="82">
        <f>ROUND((O47-J47)/J47,3)</f>
        <v>0.20499999999999999</v>
      </c>
      <c r="Q47" s="183"/>
      <c r="R47" s="186">
        <f>$G41+ROUND(IF($F41&lt;$E41,($F41*Q41),IF($F41&lt;SUM($E41:$E42),(($E41*Q41)+(($F41-$E41)*Q42)),IF($F41&lt;SUM($E41:$E43),(($E41*Q41)+($E42*Q42)+(($F41-$E41-$E42)*Q43)),IF($F41&lt;SUM($E41:$E44),(($E41*Q41)+($E42*Q42)+($E43*Q43)+(($F41-SUM($E41:$E43))*Q44)),IF($F41&lt;SUM($E41:$E45),(($E41*Q41)+($E42*Q42)+($E43*Q43)+($E44*Q44)+(($F41-SUM($E41:$E44))*Q45)),(($E41*Q41)+($E42*Q42)+($E43*Q43)+($E44*Q43)+($E45*Q45)+(($F41-SUM($E41:$E45))*Q46))))))),2)</f>
        <v>10411.91</v>
      </c>
      <c r="S47" s="82">
        <f>ROUND((R47-J47)/J47,3)</f>
        <v>0.16300000000000001</v>
      </c>
      <c r="T47" s="138">
        <f t="shared" si="8"/>
        <v>1457.0400000000009</v>
      </c>
      <c r="U47" s="158"/>
    </row>
    <row r="48" spans="1:21" x14ac:dyDescent="0.25">
      <c r="A48" s="31">
        <f t="shared" si="0"/>
        <v>42</v>
      </c>
      <c r="B48" s="47" t="s">
        <v>265</v>
      </c>
      <c r="C48" s="15" t="s">
        <v>6</v>
      </c>
      <c r="D48" s="48">
        <f>+'Washington volumes'!F41</f>
        <v>480000</v>
      </c>
      <c r="E48" s="48">
        <v>10000</v>
      </c>
      <c r="F48" s="76">
        <f>+'Washington volumes'!I41</f>
        <v>85748.708329999994</v>
      </c>
      <c r="G48" s="367">
        <f>1300+250</f>
        <v>1550</v>
      </c>
      <c r="H48" s="367">
        <f>1300+250</f>
        <v>1550</v>
      </c>
      <c r="I48" s="192">
        <f>+'Rates in summary'!D41</f>
        <v>0.11795</v>
      </c>
      <c r="J48" s="135"/>
      <c r="K48" s="192">
        <f>'Rates in detail'!I41+SUM('Rates in detail'!O41:Q41)</f>
        <v>0.10696</v>
      </c>
      <c r="L48" s="135"/>
      <c r="M48" s="165"/>
      <c r="N48" s="192">
        <f>'Rates in detail'!I41+'Rates in detail'!K41</f>
        <v>0.13983999999999999</v>
      </c>
      <c r="O48" s="135"/>
      <c r="P48" s="165"/>
      <c r="Q48" s="134">
        <f>+'Rates in summary'!I41</f>
        <v>0.12884000000000001</v>
      </c>
      <c r="R48" s="135"/>
      <c r="S48" s="77"/>
      <c r="T48" s="135"/>
    </row>
    <row r="49" spans="1:21" x14ac:dyDescent="0.25">
      <c r="A49" s="31">
        <f t="shared" si="0"/>
        <v>43</v>
      </c>
      <c r="B49" s="47"/>
      <c r="C49" s="15" t="s">
        <v>7</v>
      </c>
      <c r="D49" s="48">
        <f>+'Washington volumes'!F42</f>
        <v>772316</v>
      </c>
      <c r="E49" s="48">
        <v>20000</v>
      </c>
      <c r="F49" s="76"/>
      <c r="G49" s="367"/>
      <c r="H49" s="367"/>
      <c r="I49" s="192">
        <f>+'Rates in summary'!D42</f>
        <v>0.10557999999999999</v>
      </c>
      <c r="J49" s="135"/>
      <c r="K49" s="192">
        <f>'Rates in detail'!I42+SUM('Rates in detail'!O42:Q42)</f>
        <v>9.5749999999999988E-2</v>
      </c>
      <c r="L49" s="135"/>
      <c r="M49" s="165"/>
      <c r="N49" s="192">
        <f>'Rates in detail'!I42+'Rates in detail'!K42</f>
        <v>0.12517999999999999</v>
      </c>
      <c r="O49" s="135"/>
      <c r="P49" s="165"/>
      <c r="Q49" s="134">
        <f>+'Rates in summary'!I42</f>
        <v>0.11534</v>
      </c>
      <c r="R49" s="135"/>
      <c r="S49" s="77"/>
      <c r="T49" s="135"/>
    </row>
    <row r="50" spans="1:21" x14ac:dyDescent="0.25">
      <c r="A50" s="31">
        <f t="shared" si="0"/>
        <v>44</v>
      </c>
      <c r="B50" s="47"/>
      <c r="C50" s="15" t="s">
        <v>8</v>
      </c>
      <c r="D50" s="48">
        <f>+'Washington volumes'!F43</f>
        <v>435081</v>
      </c>
      <c r="E50" s="48">
        <v>20000</v>
      </c>
      <c r="F50" s="76"/>
      <c r="G50" s="367"/>
      <c r="H50" s="367"/>
      <c r="I50" s="192">
        <f>+'Rates in summary'!D43</f>
        <v>8.0960000000000004E-2</v>
      </c>
      <c r="J50" s="135"/>
      <c r="K50" s="192">
        <f>'Rates in detail'!I43+SUM('Rates in detail'!O43:Q43)</f>
        <v>7.3419999999999999E-2</v>
      </c>
      <c r="L50" s="135"/>
      <c r="M50" s="165"/>
      <c r="N50" s="192">
        <f>'Rates in detail'!I43+'Rates in detail'!K43</f>
        <v>9.5990000000000006E-2</v>
      </c>
      <c r="O50" s="135"/>
      <c r="P50" s="165"/>
      <c r="Q50" s="134">
        <f>+'Rates in summary'!I43</f>
        <v>8.8440000000000005E-2</v>
      </c>
      <c r="R50" s="135"/>
      <c r="S50" s="77"/>
      <c r="T50" s="135"/>
    </row>
    <row r="51" spans="1:21" x14ac:dyDescent="0.25">
      <c r="A51" s="31">
        <f t="shared" si="0"/>
        <v>45</v>
      </c>
      <c r="B51" s="47"/>
      <c r="C51" s="15" t="s">
        <v>9</v>
      </c>
      <c r="D51" s="48">
        <f>+'Washington volumes'!F44</f>
        <v>370572</v>
      </c>
      <c r="E51" s="48">
        <v>100000</v>
      </c>
      <c r="F51" s="76"/>
      <c r="G51" s="367"/>
      <c r="H51" s="367"/>
      <c r="I51" s="192">
        <f>+'Rates in summary'!D44</f>
        <v>6.4769999999999994E-2</v>
      </c>
      <c r="J51" s="135"/>
      <c r="K51" s="192">
        <f>'Rates in detail'!I44+SUM('Rates in detail'!O44:Q44)</f>
        <v>5.8750000000000004E-2</v>
      </c>
      <c r="L51" s="135"/>
      <c r="M51" s="165"/>
      <c r="N51" s="192">
        <f>'Rates in detail'!I44+'Rates in detail'!K44</f>
        <v>7.6800000000000007E-2</v>
      </c>
      <c r="O51" s="135"/>
      <c r="P51" s="165"/>
      <c r="Q51" s="134">
        <f>+'Rates in summary'!I44</f>
        <v>7.077E-2</v>
      </c>
      <c r="R51" s="135"/>
      <c r="S51" s="77"/>
      <c r="T51" s="135"/>
    </row>
    <row r="52" spans="1:21" x14ac:dyDescent="0.25">
      <c r="A52" s="31">
        <f t="shared" si="0"/>
        <v>46</v>
      </c>
      <c r="B52" s="47"/>
      <c r="C52" s="15" t="s">
        <v>10</v>
      </c>
      <c r="D52" s="48">
        <f>+'Washington volumes'!F45</f>
        <v>0</v>
      </c>
      <c r="E52" s="48">
        <v>600000</v>
      </c>
      <c r="F52" s="76"/>
      <c r="G52" s="367"/>
      <c r="H52" s="367"/>
      <c r="I52" s="192">
        <f>+'Rates in summary'!D45</f>
        <v>4.3180000000000003E-2</v>
      </c>
      <c r="J52" s="135"/>
      <c r="K52" s="192">
        <f>'Rates in detail'!I45+SUM('Rates in detail'!O45:Q45)</f>
        <v>3.9170000000000003E-2</v>
      </c>
      <c r="L52" s="135"/>
      <c r="M52" s="165"/>
      <c r="N52" s="192">
        <f>'Rates in detail'!I45+'Rates in detail'!K45</f>
        <v>5.1200000000000009E-2</v>
      </c>
      <c r="O52" s="135"/>
      <c r="P52" s="165"/>
      <c r="Q52" s="134">
        <f>+'Rates in summary'!I45</f>
        <v>4.718E-2</v>
      </c>
      <c r="R52" s="135"/>
      <c r="S52" s="77"/>
      <c r="T52" s="135"/>
    </row>
    <row r="53" spans="1:21" x14ac:dyDescent="0.25">
      <c r="A53" s="31">
        <f t="shared" si="0"/>
        <v>47</v>
      </c>
      <c r="B53" s="47"/>
      <c r="C53" s="15" t="s">
        <v>11</v>
      </c>
      <c r="D53" s="48">
        <f>+'Washington volumes'!F46</f>
        <v>0</v>
      </c>
      <c r="E53" s="75" t="s">
        <v>133</v>
      </c>
      <c r="F53" s="76"/>
      <c r="G53" s="367"/>
      <c r="H53" s="367"/>
      <c r="I53" s="192">
        <f>+'Rates in summary'!D46</f>
        <v>1.619E-2</v>
      </c>
      <c r="J53" s="135"/>
      <c r="K53" s="192">
        <f>'Rates in detail'!I46+SUM('Rates in detail'!O46:Q46)</f>
        <v>1.4679999999999999E-2</v>
      </c>
      <c r="L53" s="135"/>
      <c r="M53" s="165"/>
      <c r="N53" s="192">
        <f>'Rates in detail'!I46+'Rates in detail'!K46</f>
        <v>1.9189999999999999E-2</v>
      </c>
      <c r="O53" s="135"/>
      <c r="P53" s="165"/>
      <c r="Q53" s="134">
        <f>+'Rates in summary'!I46</f>
        <v>1.7679999999999998E-2</v>
      </c>
      <c r="R53" s="135"/>
      <c r="S53" s="77"/>
      <c r="T53" s="135"/>
    </row>
    <row r="54" spans="1:21" x14ac:dyDescent="0.25">
      <c r="A54" s="31">
        <f t="shared" si="0"/>
        <v>48</v>
      </c>
      <c r="B54" s="51"/>
      <c r="C54" s="78" t="s">
        <v>137</v>
      </c>
      <c r="D54" s="79"/>
      <c r="E54" s="80"/>
      <c r="F54" s="81"/>
      <c r="G54" s="368"/>
      <c r="H54" s="368"/>
      <c r="I54" s="193"/>
      <c r="J54" s="186">
        <f>$H48+ROUND(IF($F48&lt;$E48,($F48*I48),IF($F48&lt;SUM($E48:$E49),(($E48*I48)+(($F48-$E48)*I49)),IF($F48&lt;SUM($E48:$E50),(($E48*I48)+($E49*I49)+(($F48-$E48-$E49)*I50)),IF($F48&lt;SUM($E48:$E51),(($E48*I48)+($E49*I49)+($E50*I50)+(($F48-SUM($E48:$E50))*I51)),IF($F48&lt;SUM($E48:$E52),(($E48*I48)+($E49*I49)+($E50*I50)+($E51*I51)+(($F48-SUM($E48:$E51))*I52)),(($E48*I48)+($E49*I49)+($E50*I50)+($E51*I50)+($E52*I52)+(($F48-SUM($E48:$E52))*I53))))))),2)</f>
        <v>8775.74</v>
      </c>
      <c r="K54" s="193"/>
      <c r="L54" s="186">
        <f>$G48+ROUND(IF($F48&lt;$E48,($F48*K48),IF($F48&lt;SUM($E48:$E49),(($E48*K48)+(($F48-$E48)*K49)),IF($F48&lt;SUM($E48:$E50),(($E48*K48)+($E49*K49)+(($F48-$E48-$E49)*K50)),IF($F48&lt;SUM($E48:$E51),(($E48*K48)+($E49*K49)+($E50*K50)+(($F48-SUM($E48:$E50))*K51)),IF($F48&lt;SUM($E48:$E52),(($E48*K48)+($E49*K49)+($E50*K50)+($E51*K51)+(($F48-SUM($E48:$E51))*K52)),(($E48*K48)+($E49*K49)+($E50*K50)+($E51*K50)+($E52*K52)+(($F48-SUM($E48:$E52))*K53))))))),2)</f>
        <v>8103.24</v>
      </c>
      <c r="M54" s="82">
        <f>ROUND((L54-J54)/J54,3)</f>
        <v>-7.6999999999999999E-2</v>
      </c>
      <c r="N54" s="193"/>
      <c r="O54" s="186">
        <f>$G48+ROUND(IF($F48&lt;$E48,($F48*N48),IF($F48&lt;SUM($E48:$E49),(($E48*N48)+(($F48-$E48)*N49)),IF($F48&lt;SUM($E48:$E50),(($E48*N48)+($E49*N49)+(($F48-$E48-$E49)*N50)),IF($F48&lt;SUM($E48:$E51),(($E48*N48)+($E49*N49)+($E50*N50)+(($F48-SUM($E48:$E50))*N51)),IF($F48&lt;SUM($E48:$E52),(($E48*N48)+($E49*N49)+($E50*N50)+($E51*N51)+(($F48-SUM($E48:$E51))*N52)),(($E48*N48)+($E49*N49)+($E50*N50)+($E51*N50)+($E52*N52)+(($F48-SUM($E48:$E52))*N53))))))),2)</f>
        <v>10117.299999999999</v>
      </c>
      <c r="P54" s="82">
        <f>ROUND((O54-J54)/J54,3)</f>
        <v>0.153</v>
      </c>
      <c r="Q54" s="183"/>
      <c r="R54" s="186">
        <f>$G48+ROUND(IF($F48&lt;$E48,($F48*Q48),IF($F48&lt;SUM($E48:$E49),(($E48*Q48)+(($F48-$E48)*Q49)),IF($F48&lt;SUM($E48:$E50),(($E48*Q48)+($E49*Q49)+(($F48-$E48-$E49)*Q50)),IF($F48&lt;SUM($E48:$E51),(($E48*Q48)+($E49*Q49)+($E50*Q50)+(($F48-SUM($E48:$E50))*Q51)),IF($F48&lt;SUM($E48:$E52),(($E48*Q48)+($E49*Q49)+($E50*Q50)+($E51*Q51)+(($F48-SUM($E48:$E51))*Q52)),(($E48*Q48)+($E49*Q49)+($E50*Q50)+($E51*Q50)+($E52*Q52)+(($F48-SUM($E48:$E52))*Q53))))))),2)</f>
        <v>9443.9399999999987</v>
      </c>
      <c r="S54" s="82">
        <f>ROUND((R54-J54)/J54,3)</f>
        <v>7.5999999999999998E-2</v>
      </c>
      <c r="T54" s="138">
        <f t="shared" si="8"/>
        <v>668.19999999999891</v>
      </c>
      <c r="U54" s="158"/>
    </row>
    <row r="55" spans="1:21" x14ac:dyDescent="0.25">
      <c r="A55" s="31">
        <f t="shared" si="0"/>
        <v>49</v>
      </c>
      <c r="B55" s="47" t="s">
        <v>266</v>
      </c>
      <c r="C55" s="15" t="s">
        <v>6</v>
      </c>
      <c r="D55" s="48">
        <f>+'Washington volumes'!F48</f>
        <v>847995</v>
      </c>
      <c r="E55" s="48">
        <v>10000</v>
      </c>
      <c r="F55" s="76">
        <f>+'Washington volumes'!I47</f>
        <v>86049.276599999997</v>
      </c>
      <c r="G55" s="367">
        <f>1300+250</f>
        <v>1550</v>
      </c>
      <c r="H55" s="367">
        <f>1300+250</f>
        <v>1550</v>
      </c>
      <c r="I55" s="192">
        <f>+'Rates in summary'!D47</f>
        <v>0.11795</v>
      </c>
      <c r="J55" s="135"/>
      <c r="K55" s="192">
        <f>'Rates in detail'!I47+SUM('Rates in detail'!O47:Q47)</f>
        <v>0.10997</v>
      </c>
      <c r="L55" s="135"/>
      <c r="M55" s="165"/>
      <c r="N55" s="192">
        <f>'Rates in detail'!I47+'Rates in detail'!K47</f>
        <v>0.14074</v>
      </c>
      <c r="O55" s="135"/>
      <c r="P55" s="165"/>
      <c r="Q55" s="134">
        <f>+'Rates in summary'!I47</f>
        <v>0.13275000000000001</v>
      </c>
      <c r="R55" s="135"/>
      <c r="S55" s="77"/>
      <c r="T55" s="135"/>
    </row>
    <row r="56" spans="1:21" x14ac:dyDescent="0.25">
      <c r="A56" s="31">
        <f t="shared" si="0"/>
        <v>50</v>
      </c>
      <c r="B56" s="47"/>
      <c r="C56" s="15" t="s">
        <v>7</v>
      </c>
      <c r="D56" s="48">
        <f>+'Washington volumes'!F49</f>
        <v>712276</v>
      </c>
      <c r="E56" s="48">
        <v>20000</v>
      </c>
      <c r="F56" s="76"/>
      <c r="G56" s="367"/>
      <c r="H56" s="367"/>
      <c r="I56" s="192">
        <f>+'Rates in summary'!D48</f>
        <v>0.10557999999999999</v>
      </c>
      <c r="J56" s="135"/>
      <c r="K56" s="192">
        <f>'Rates in detail'!I48+SUM('Rates in detail'!O48:Q48)</f>
        <v>9.8439999999999986E-2</v>
      </c>
      <c r="L56" s="135"/>
      <c r="M56" s="165"/>
      <c r="N56" s="192">
        <f>'Rates in detail'!I48+'Rates in detail'!K48</f>
        <v>0.12597999999999998</v>
      </c>
      <c r="O56" s="135"/>
      <c r="P56" s="165"/>
      <c r="Q56" s="134">
        <f>+'Rates in summary'!I48</f>
        <v>0.11882999999999999</v>
      </c>
      <c r="R56" s="135"/>
      <c r="S56" s="77"/>
      <c r="T56" s="135"/>
    </row>
    <row r="57" spans="1:21" x14ac:dyDescent="0.25">
      <c r="A57" s="31">
        <f t="shared" si="0"/>
        <v>51</v>
      </c>
      <c r="B57" s="47"/>
      <c r="C57" s="15" t="s">
        <v>8</v>
      </c>
      <c r="D57" s="48">
        <f>+'Washington volumes'!F50</f>
        <v>1293228</v>
      </c>
      <c r="E57" s="48">
        <v>20000</v>
      </c>
      <c r="F57" s="76"/>
      <c r="G57" s="367"/>
      <c r="H57" s="367"/>
      <c r="I57" s="192">
        <f>+'Rates in summary'!D49</f>
        <v>8.0960000000000004E-2</v>
      </c>
      <c r="J57" s="135"/>
      <c r="K57" s="192">
        <f>'Rates in detail'!I49+SUM('Rates in detail'!O49:Q49)</f>
        <v>7.5480000000000005E-2</v>
      </c>
      <c r="L57" s="135"/>
      <c r="M57" s="165"/>
      <c r="N57" s="192">
        <f>'Rates in detail'!I49+'Rates in detail'!K49</f>
        <v>9.6610000000000001E-2</v>
      </c>
      <c r="O57" s="135"/>
      <c r="P57" s="165"/>
      <c r="Q57" s="134">
        <f>+'Rates in summary'!I49</f>
        <v>9.1120000000000007E-2</v>
      </c>
      <c r="R57" s="135"/>
      <c r="S57" s="77"/>
      <c r="T57" s="135"/>
    </row>
    <row r="58" spans="1:21" x14ac:dyDescent="0.25">
      <c r="A58" s="31">
        <f t="shared" si="0"/>
        <v>52</v>
      </c>
      <c r="B58" s="47"/>
      <c r="C58" s="15" t="s">
        <v>9</v>
      </c>
      <c r="D58" s="48">
        <f>+'Washington volumes'!F51</f>
        <v>355242</v>
      </c>
      <c r="E58" s="48">
        <v>100000</v>
      </c>
      <c r="F58" s="76"/>
      <c r="G58" s="367"/>
      <c r="H58" s="367"/>
      <c r="I58" s="192">
        <f>+'Rates in summary'!D50</f>
        <v>6.4769999999999994E-2</v>
      </c>
      <c r="J58" s="135"/>
      <c r="K58" s="192">
        <f>'Rates in detail'!I50+SUM('Rates in detail'!O50:Q50)</f>
        <v>6.0400000000000002E-2</v>
      </c>
      <c r="L58" s="135"/>
      <c r="M58" s="165"/>
      <c r="N58" s="192">
        <f>'Rates in detail'!I50+'Rates in detail'!K50</f>
        <v>7.7289999999999998E-2</v>
      </c>
      <c r="O58" s="135"/>
      <c r="P58" s="165"/>
      <c r="Q58" s="134">
        <f>+'Rates in summary'!I50</f>
        <v>7.2909999999999989E-2</v>
      </c>
      <c r="R58" s="135"/>
      <c r="S58" s="77"/>
      <c r="T58" s="135"/>
    </row>
    <row r="59" spans="1:21" x14ac:dyDescent="0.25">
      <c r="A59" s="31">
        <f t="shared" si="0"/>
        <v>53</v>
      </c>
      <c r="B59" s="47"/>
      <c r="C59" s="15" t="s">
        <v>10</v>
      </c>
      <c r="D59" s="48">
        <f>+'Washington volumes'!F52</f>
        <v>0</v>
      </c>
      <c r="E59" s="48">
        <v>600000</v>
      </c>
      <c r="F59" s="76"/>
      <c r="G59" s="367"/>
      <c r="H59" s="367"/>
      <c r="I59" s="192">
        <f>+'Rates in summary'!D51</f>
        <v>4.3180000000000003E-2</v>
      </c>
      <c r="J59" s="135"/>
      <c r="K59" s="192">
        <f>'Rates in detail'!I51+SUM('Rates in detail'!O51:Q51)</f>
        <v>4.0260000000000004E-2</v>
      </c>
      <c r="L59" s="135"/>
      <c r="M59" s="165"/>
      <c r="N59" s="192">
        <f>'Rates in detail'!I51+'Rates in detail'!K51</f>
        <v>5.1530000000000006E-2</v>
      </c>
      <c r="O59" s="135"/>
      <c r="P59" s="165"/>
      <c r="Q59" s="134">
        <f>+'Rates in summary'!I51</f>
        <v>4.8600000000000004E-2</v>
      </c>
      <c r="R59" s="135"/>
      <c r="S59" s="77"/>
      <c r="T59" s="135"/>
    </row>
    <row r="60" spans="1:21" x14ac:dyDescent="0.25">
      <c r="A60" s="31">
        <f t="shared" si="0"/>
        <v>54</v>
      </c>
      <c r="B60" s="47"/>
      <c r="C60" s="15" t="s">
        <v>11</v>
      </c>
      <c r="D60" s="48">
        <f>+'Washington volumes'!F53</f>
        <v>240014.56328353498</v>
      </c>
      <c r="E60" s="75" t="s">
        <v>133</v>
      </c>
      <c r="F60" s="76"/>
      <c r="G60" s="367"/>
      <c r="H60" s="367"/>
      <c r="I60" s="192">
        <f>+'Rates in summary'!D52</f>
        <v>1.619E-2</v>
      </c>
      <c r="J60" s="135"/>
      <c r="K60" s="192">
        <f>'Rates in detail'!I52+SUM('Rates in detail'!O52:Q52)</f>
        <v>1.5099999999999999E-2</v>
      </c>
      <c r="L60" s="135"/>
      <c r="M60" s="165"/>
      <c r="N60" s="192">
        <f>'Rates in detail'!I52+'Rates in detail'!K52</f>
        <v>1.932E-2</v>
      </c>
      <c r="O60" s="135"/>
      <c r="P60" s="165"/>
      <c r="Q60" s="134">
        <f>+'Rates in summary'!I52</f>
        <v>1.823E-2</v>
      </c>
      <c r="R60" s="135"/>
      <c r="S60" s="77"/>
      <c r="T60" s="135"/>
    </row>
    <row r="61" spans="1:21" x14ac:dyDescent="0.25">
      <c r="A61" s="31">
        <f t="shared" si="0"/>
        <v>55</v>
      </c>
      <c r="B61" s="51"/>
      <c r="C61" s="78" t="s">
        <v>137</v>
      </c>
      <c r="D61" s="79"/>
      <c r="E61" s="80"/>
      <c r="F61" s="81"/>
      <c r="G61" s="368"/>
      <c r="H61" s="368"/>
      <c r="I61" s="193"/>
      <c r="J61" s="186">
        <f>$H55+ROUND(IF($F55&lt;$E55,($F55*I55),IF($F55&lt;SUM($E55:$E56),(($E55*I55)+(($F55-$E55)*I56)),IF($F55&lt;SUM($E55:$E57),(($E55*I55)+($E56*I56)+(($F55-$E55-$E56)*I57)),IF($F55&lt;SUM($E55:$E58),(($E55*I55)+($E56*I56)+($E57*I57)+(($F55-SUM($E55:$E57))*I58)),IF($F55&lt;SUM($E55:$E59),(($E55*I55)+($E56*I56)+($E57*I57)+($E58*I58)+(($F55-SUM($E55:$E58))*I59)),(($E55*I55)+($E56*I56)+($E57*I57)+($E58*I57)+($E59*I59)+(($F55-SUM($E55:$E59))*I60))))))),2)</f>
        <v>8795.2099999999991</v>
      </c>
      <c r="K61" s="193"/>
      <c r="L61" s="186">
        <f>$G55+ROUND(IF($F55&lt;$E55,($F55*K55),IF($F55&lt;SUM($E55:$E56),(($E55*K55)+(($F55-$E55)*K56)),IF($F55&lt;SUM($E55:$E57),(($E55*K55)+($E56*K56)+(($F55-$E55-$E56)*K57)),IF($F55&lt;SUM($E55:$E58),(($E55*K55)+($E56*K56)+($E57*K57)+(($F55-SUM($E55:$E57))*K58)),IF($F55&lt;SUM($E55:$E59),(($E55*K55)+($E56*K56)+($E57*K57)+($E58*K58)+(($F55-SUM($E55:$E58))*K59)),(($E55*K55)+($E56*K56)+($E57*K57)+($E58*K57)+($E59*K59)+(($F55-SUM($E55:$E59))*K60))))))),2)</f>
        <v>8305.48</v>
      </c>
      <c r="M61" s="82">
        <f>ROUND((L61-J61)/J61,3)</f>
        <v>-5.6000000000000001E-2</v>
      </c>
      <c r="N61" s="193"/>
      <c r="O61" s="186">
        <f>$G55+ROUND(IF($F55&lt;$E55,($F55*N55),IF($F55&lt;SUM($E55:$E56),(($E55*N55)+(($F55-$E55)*N56)),IF($F55&lt;SUM($E55:$E57),(($E55*N55)+($E56*N56)+(($F55-$E55-$E56)*N57)),IF($F55&lt;SUM($E55:$E58),(($E55*N55)+($E56*N56)+($E57*N57)+(($F55-SUM($E55:$E57))*N58)),IF($F55&lt;SUM($E55:$E59),(($E55*N55)+($E56*N56)+($E57*N57)+($E58*N58)+(($F55-SUM($E55:$E58))*N59)),(($E55*N55)+($E56*N56)+($E57*N57)+($E58*N57)+($E59*N59)+(($F55-SUM($E55:$E59))*N60))))))),2)</f>
        <v>10195.450000000001</v>
      </c>
      <c r="P61" s="82">
        <f>ROUND((O61-J61)/J61,3)</f>
        <v>0.159</v>
      </c>
      <c r="Q61" s="183"/>
      <c r="R61" s="186">
        <f>$G55+ROUND(IF($F55&lt;$E55,($F55*Q55),IF($F55&lt;SUM($E55:$E56),(($E55*Q55)+(($F55-$E55)*Q56)),IF($F55&lt;SUM($E55:$E57),(($E55*Q55)+($E56*Q56)+(($F55-$E55-$E56)*Q57)),IF($F55&lt;SUM($E55:$E58),(($E55*Q55)+($E56*Q56)+($E57*Q57)+(($F55-SUM($E55:$E57))*Q58)),IF($F55&lt;SUM($E55:$E59),(($E55*Q55)+($E56*Q56)+($E57*Q57)+($E58*Q58)+(($F55-SUM($E55:$E58))*Q59)),(($E55*Q55)+($E56*Q56)+($E57*Q57)+($E58*Q57)+($E59*Q59)+(($F55-SUM($E55:$E59))*Q60))))))),2)</f>
        <v>9704.85</v>
      </c>
      <c r="S61" s="82">
        <f>ROUND((R61-J61)/J61,3)</f>
        <v>0.10299999999999999</v>
      </c>
      <c r="T61" s="138">
        <f t="shared" si="8"/>
        <v>909.64000000000124</v>
      </c>
      <c r="U61" s="158"/>
    </row>
    <row r="62" spans="1:21" x14ac:dyDescent="0.25">
      <c r="A62" s="31">
        <f t="shared" si="0"/>
        <v>56</v>
      </c>
      <c r="B62" s="47" t="s">
        <v>170</v>
      </c>
      <c r="C62" s="15" t="s">
        <v>6</v>
      </c>
      <c r="D62" s="48">
        <f>+'Washington volumes'!F53</f>
        <v>240014.56328353498</v>
      </c>
      <c r="E62" s="48">
        <v>10000</v>
      </c>
      <c r="F62" s="76">
        <f>+'Washington volumes'!I53</f>
        <v>56179.215530000001</v>
      </c>
      <c r="G62" s="367">
        <v>1300</v>
      </c>
      <c r="H62" s="367">
        <v>1300</v>
      </c>
      <c r="I62" s="192">
        <f>+'Rates in summary'!D53</f>
        <v>0.31897999999999999</v>
      </c>
      <c r="J62" s="135"/>
      <c r="K62" s="192">
        <f>'Rates in detail'!I53+SUM('Rates in detail'!O53:Q53)</f>
        <v>0.35294000000000003</v>
      </c>
      <c r="L62" s="135"/>
      <c r="M62" s="165"/>
      <c r="N62" s="192">
        <f>'Rates in detail'!I53+'Rates in detail'!K53</f>
        <v>0.38516</v>
      </c>
      <c r="O62" s="135"/>
      <c r="P62" s="165"/>
      <c r="Q62" s="134">
        <f>+'Rates in summary'!I53</f>
        <v>0.37346999999999997</v>
      </c>
      <c r="R62" s="135"/>
      <c r="S62" s="153"/>
      <c r="T62" s="135"/>
    </row>
    <row r="63" spans="1:21" x14ac:dyDescent="0.25">
      <c r="A63" s="31">
        <f t="shared" si="0"/>
        <v>57</v>
      </c>
      <c r="B63" s="47"/>
      <c r="C63" s="15" t="s">
        <v>7</v>
      </c>
      <c r="D63" s="48">
        <f>+'Washington volumes'!F54</f>
        <v>472188.31633306126</v>
      </c>
      <c r="E63" s="48">
        <v>20000</v>
      </c>
      <c r="F63" s="118"/>
      <c r="G63" s="369"/>
      <c r="H63" s="369"/>
      <c r="I63" s="192">
        <f>+'Rates in summary'!D54</f>
        <v>0.30522999999999989</v>
      </c>
      <c r="J63" s="135"/>
      <c r="K63" s="192">
        <f>'Rates in detail'!I54+SUM('Rates in detail'!O54:Q54)</f>
        <v>0.33986999999999989</v>
      </c>
      <c r="L63" s="135"/>
      <c r="M63" s="165"/>
      <c r="N63" s="192">
        <f>'Rates in detail'!I54+'Rates in detail'!K54</f>
        <v>0.36870999999999993</v>
      </c>
      <c r="O63" s="135"/>
      <c r="P63" s="165"/>
      <c r="Q63" s="134">
        <f>+'Rates in summary'!I54</f>
        <v>0.35824999999999985</v>
      </c>
      <c r="R63" s="135"/>
      <c r="S63" s="153"/>
      <c r="T63" s="135"/>
    </row>
    <row r="64" spans="1:21" x14ac:dyDescent="0.25">
      <c r="A64" s="31">
        <f t="shared" si="0"/>
        <v>58</v>
      </c>
      <c r="B64" s="47"/>
      <c r="C64" s="15" t="s">
        <v>8</v>
      </c>
      <c r="D64" s="48">
        <f>+'Washington volumes'!F55</f>
        <v>247080</v>
      </c>
      <c r="E64" s="48">
        <v>20000</v>
      </c>
      <c r="F64" s="118"/>
      <c r="G64" s="369"/>
      <c r="H64" s="369"/>
      <c r="I64" s="192">
        <f>+'Rates in summary'!D55</f>
        <v>0.27787000000000012</v>
      </c>
      <c r="J64" s="135"/>
      <c r="K64" s="192">
        <f>'Rates in detail'!I55+SUM('Rates in detail'!O55:Q55)</f>
        <v>0.31383000000000005</v>
      </c>
      <c r="L64" s="135"/>
      <c r="M64" s="165"/>
      <c r="N64" s="192">
        <f>'Rates in detail'!I55+'Rates in detail'!K55</f>
        <v>0.33594000000000007</v>
      </c>
      <c r="O64" s="135"/>
      <c r="P64" s="165"/>
      <c r="Q64" s="134">
        <f>+'Rates in summary'!I55</f>
        <v>0.3279200000000001</v>
      </c>
      <c r="R64" s="135"/>
      <c r="S64" s="153"/>
      <c r="T64" s="135"/>
    </row>
    <row r="65" spans="1:21" x14ac:dyDescent="0.25">
      <c r="A65" s="31">
        <f t="shared" si="0"/>
        <v>59</v>
      </c>
      <c r="B65" s="47"/>
      <c r="C65" s="15" t="s">
        <v>9</v>
      </c>
      <c r="D65" s="48">
        <f>+'Washington volumes'!F56</f>
        <v>51943</v>
      </c>
      <c r="E65" s="48">
        <v>100000</v>
      </c>
      <c r="F65" s="118"/>
      <c r="G65" s="369"/>
      <c r="H65" s="369"/>
      <c r="I65" s="192">
        <f>+'Rates in summary'!D56</f>
        <v>0.25987999999999994</v>
      </c>
      <c r="J65" s="135"/>
      <c r="K65" s="192">
        <f>'Rates in detail'!I56+SUM('Rates in detail'!O56:Q56)</f>
        <v>0.29670999999999997</v>
      </c>
      <c r="L65" s="135"/>
      <c r="M65" s="165"/>
      <c r="N65" s="192">
        <f>'Rates in detail'!I56+'Rates in detail'!K56</f>
        <v>0.31440999999999997</v>
      </c>
      <c r="O65" s="135"/>
      <c r="P65" s="165"/>
      <c r="Q65" s="134">
        <f>+'Rates in summary'!I56</f>
        <v>0.30798999999999999</v>
      </c>
      <c r="R65" s="135"/>
      <c r="S65" s="153"/>
      <c r="T65" s="135"/>
    </row>
    <row r="66" spans="1:21" x14ac:dyDescent="0.25">
      <c r="A66" s="31">
        <f t="shared" si="0"/>
        <v>60</v>
      </c>
      <c r="B66" s="47"/>
      <c r="C66" s="15" t="s">
        <v>10</v>
      </c>
      <c r="D66" s="48">
        <f>+'Washington volumes'!F57</f>
        <v>0</v>
      </c>
      <c r="E66" s="48">
        <v>600000</v>
      </c>
      <c r="F66" s="118"/>
      <c r="G66" s="369"/>
      <c r="H66" s="369"/>
      <c r="I66" s="192">
        <f>+'Rates in summary'!D57</f>
        <v>0.23588000000000003</v>
      </c>
      <c r="J66" s="135"/>
      <c r="K66" s="192">
        <f>'Rates in detail'!I57+SUM('Rates in detail'!O57:Q57)</f>
        <v>0.27389000000000002</v>
      </c>
      <c r="L66" s="135"/>
      <c r="M66" s="165"/>
      <c r="N66" s="192">
        <f>'Rates in detail'!I57+'Rates in detail'!K57</f>
        <v>0.28569000000000006</v>
      </c>
      <c r="O66" s="135"/>
      <c r="P66" s="165"/>
      <c r="Q66" s="134">
        <f>+'Rates in summary'!I57</f>
        <v>0.28141000000000005</v>
      </c>
      <c r="R66" s="135"/>
      <c r="S66" s="153"/>
      <c r="T66" s="135"/>
    </row>
    <row r="67" spans="1:21" x14ac:dyDescent="0.25">
      <c r="A67" s="31">
        <f t="shared" si="0"/>
        <v>61</v>
      </c>
      <c r="B67" s="47"/>
      <c r="C67" s="15" t="s">
        <v>11</v>
      </c>
      <c r="D67" s="48">
        <f>+'Washington volumes'!F58</f>
        <v>0</v>
      </c>
      <c r="E67" s="75" t="s">
        <v>133</v>
      </c>
      <c r="F67" s="118"/>
      <c r="G67" s="369"/>
      <c r="H67" s="369"/>
      <c r="I67" s="192">
        <f>+'Rates in summary'!D58</f>
        <v>0.20589999999999992</v>
      </c>
      <c r="J67" s="135"/>
      <c r="K67" s="192">
        <f>'Rates in detail'!I58+SUM('Rates in detail'!O58:Q58)</f>
        <v>0.24536999999999992</v>
      </c>
      <c r="L67" s="135"/>
      <c r="M67" s="165"/>
      <c r="N67" s="192">
        <f>'Rates in detail'!I58+'Rates in detail'!K58</f>
        <v>0.2497899999999999</v>
      </c>
      <c r="O67" s="135"/>
      <c r="P67" s="165"/>
      <c r="Q67" s="134">
        <f>+'Rates in summary'!I58</f>
        <v>0.24818999999999991</v>
      </c>
      <c r="R67" s="135"/>
      <c r="S67" s="153"/>
      <c r="T67" s="135"/>
    </row>
    <row r="68" spans="1:21" x14ac:dyDescent="0.25">
      <c r="A68" s="31">
        <f t="shared" si="0"/>
        <v>62</v>
      </c>
      <c r="B68" s="51"/>
      <c r="C68" s="78" t="s">
        <v>137</v>
      </c>
      <c r="D68" s="79"/>
      <c r="E68" s="80"/>
      <c r="F68" s="81"/>
      <c r="G68" s="368"/>
      <c r="H68" s="368"/>
      <c r="I68" s="193"/>
      <c r="J68" s="186">
        <f>$H62+ROUND(IF($F62&lt;$E62,($F62*I62),IF($F62&lt;SUM($E62:$E63),(($E62*I62)+(($F62-$E62)*I63)),IF($F62&lt;SUM($E62:$E64),(($E62*I62)+($E63*I63)+(($F62-$E62-$E63)*I64)),IF($F62&lt;SUM($E62:$E65),(($E62*I62)+($E63*I63)+($E64*I64)+(($F62-SUM($E62:$E64))*I65)),IF($F62&lt;SUM($E62:$E66),(($E62*I62)+($E63*I63)+($E64*I64)+($E65*I65)+(($F62-SUM($E62:$E65))*I66)),(($E62*I62)+($E63*I63)+($E64*I64)+($E65*I64)+($E66*I66)+(($F62-SUM($E62:$E66))*I67))))))),2)</f>
        <v>17757.650000000001</v>
      </c>
      <c r="K68" s="193"/>
      <c r="L68" s="186">
        <f>$G62+ROUND(IF($F62&lt;$E62,($F62*K62),IF($F62&lt;SUM($E62:$E63),(($E62*K62)+(($F62-$E62)*K63)),IF($F62&lt;SUM($E62:$E64),(($E62*K62)+($E63*K63)+(($F62-$E62-$E63)*K64)),IF($F62&lt;SUM($E62:$E65),(($E62*K62)+($E63*K63)+($E64*K64)+(($F62-SUM($E62:$E64))*K65)),IF($F62&lt;SUM($E62:$E66),(($E62*K62)+($E63*K63)+($E64*K64)+($E65*K65)+(($F62-SUM($E62:$E65))*K66)),(($E62*K62)+($E63*K63)+($E64*K64)+($E65*K64)+($E66*K66)+(($F62-SUM($E62:$E66))*K67))))))),2)</f>
        <v>19736.84</v>
      </c>
      <c r="M68" s="82">
        <f>ROUND((L68-J68)/J68,3)</f>
        <v>0.111</v>
      </c>
      <c r="N68" s="193"/>
      <c r="O68" s="186">
        <f>$G62+ROUND(IF($F62&lt;$E62,($F62*N62),IF($F62&lt;SUM($E62:$E63),(($E62*N62)+(($F62-$E62)*N63)),IF($F62&lt;SUM($E62:$E64),(($E62*N62)+($E63*N63)+(($F62-$E62-$E63)*N64)),IF($F62&lt;SUM($E62:$E65),(($E62*N62)+($E63*N63)+($E64*N64)+(($F62-SUM($E62:$E64))*N65)),IF($F62&lt;SUM($E62:$E66),(($E62*N62)+($E63*N63)+($E64*N64)+($E65*N65)+(($F62-SUM($E62:$E65))*N66)),(($E62*N62)+($E63*N63)+($E64*N64)+($E65*N64)+($E66*N66)+(($F62-SUM($E62:$E66))*N67))))))),2)</f>
        <v>21187.41</v>
      </c>
      <c r="P68" s="82">
        <f>ROUND((O68-J68)/J68,3)</f>
        <v>0.193</v>
      </c>
      <c r="Q68" s="183"/>
      <c r="R68" s="186">
        <f>$G62+ROUND(IF($F62&lt;$E62,($F62*Q62),IF($F62&lt;SUM($E62:$E63),(($E62*Q62)+(($F62-$E62)*Q63)),IF($F62&lt;SUM($E62:$E64),(($E62*Q62)+($E63*Q63)+(($F62-$E62-$E63)*Q64)),IF($F62&lt;SUM($E62:$E65),(($E62*Q62)+($E63*Q63)+($E64*Q64)+(($F62-SUM($E62:$E64))*Q65)),IF($F62&lt;SUM($E62:$E66),(($E62*Q62)+($E63*Q63)+($E64*Q64)+($E65*Q65)+(($F62-SUM($E62:$E65))*Q66)),(($E62*Q62)+($E63*Q63)+($E64*Q64)+($E65*Q64)+($E66*Q66)+(($F62-SUM($E62:$E66))*Q67))))))),2)</f>
        <v>20661.240000000002</v>
      </c>
      <c r="S68" s="82">
        <f>ROUND((R68-J68)/J68,3)</f>
        <v>0.16400000000000001</v>
      </c>
      <c r="T68" s="138">
        <f t="shared" si="8"/>
        <v>2903.59</v>
      </c>
      <c r="U68" s="158"/>
    </row>
    <row r="69" spans="1:21" x14ac:dyDescent="0.25">
      <c r="A69" s="31">
        <f t="shared" si="0"/>
        <v>63</v>
      </c>
      <c r="B69" s="47" t="s">
        <v>171</v>
      </c>
      <c r="C69" s="15" t="s">
        <v>6</v>
      </c>
      <c r="D69" s="48">
        <f>+'Washington volumes'!F59</f>
        <v>172005.43671646502</v>
      </c>
      <c r="E69" s="48">
        <v>10000</v>
      </c>
      <c r="F69" s="76">
        <f>+'Washington volumes'!I59</f>
        <v>25664.343369999999</v>
      </c>
      <c r="G69" s="367">
        <v>1300</v>
      </c>
      <c r="H69" s="367">
        <v>1300</v>
      </c>
      <c r="I69" s="192">
        <f>+'Rates in summary'!D59</f>
        <v>0.30886999999999998</v>
      </c>
      <c r="J69" s="135"/>
      <c r="K69" s="192">
        <f>'Rates in detail'!I59+SUM('Rates in detail'!O59:Q59)</f>
        <v>0.33407999999999993</v>
      </c>
      <c r="L69" s="135"/>
      <c r="M69" s="165"/>
      <c r="N69" s="192">
        <f>'Rates in detail'!I59+'Rates in detail'!K59</f>
        <v>0.37936999999999993</v>
      </c>
      <c r="O69" s="135"/>
      <c r="P69" s="165"/>
      <c r="Q69" s="134">
        <f>+'Rates in summary'!I59</f>
        <v>0.36416999999999999</v>
      </c>
      <c r="R69" s="135"/>
      <c r="S69" s="77"/>
      <c r="T69" s="135"/>
    </row>
    <row r="70" spans="1:21" x14ac:dyDescent="0.25">
      <c r="A70" s="31">
        <f t="shared" si="0"/>
        <v>64</v>
      </c>
      <c r="B70" s="47"/>
      <c r="C70" s="15" t="s">
        <v>7</v>
      </c>
      <c r="D70" s="48">
        <f>+'Washington volumes'!F60</f>
        <v>135966.68366693874</v>
      </c>
      <c r="E70" s="48">
        <v>20000</v>
      </c>
      <c r="F70" s="76"/>
      <c r="G70" s="367"/>
      <c r="H70" s="367"/>
      <c r="I70" s="192">
        <f>+'Rates in summary'!D60</f>
        <v>0.29617999999999989</v>
      </c>
      <c r="J70" s="135"/>
      <c r="K70" s="192">
        <f>'Rates in detail'!I60+SUM('Rates in detail'!O60:Q60)</f>
        <v>0.32298999999999989</v>
      </c>
      <c r="L70" s="135"/>
      <c r="M70" s="165"/>
      <c r="N70" s="192">
        <f>'Rates in detail'!I60+'Rates in detail'!K60</f>
        <v>0.36352999999999991</v>
      </c>
      <c r="O70" s="135"/>
      <c r="P70" s="165"/>
      <c r="Q70" s="134">
        <f>+'Rates in summary'!I60</f>
        <v>0.34992999999999991</v>
      </c>
      <c r="R70" s="135"/>
      <c r="S70" s="77"/>
      <c r="T70" s="135"/>
    </row>
    <row r="71" spans="1:21" x14ac:dyDescent="0.25">
      <c r="A71" s="31">
        <f t="shared" si="0"/>
        <v>65</v>
      </c>
      <c r="B71" s="47"/>
      <c r="C71" s="15" t="s">
        <v>8</v>
      </c>
      <c r="D71" s="48">
        <f>+'Washington volumes'!F61</f>
        <v>0</v>
      </c>
      <c r="E71" s="48">
        <v>20000</v>
      </c>
      <c r="F71" s="76"/>
      <c r="G71" s="367"/>
      <c r="H71" s="367"/>
      <c r="I71" s="192">
        <f>+'Rates in summary'!D61</f>
        <v>0.27094000000000013</v>
      </c>
      <c r="J71" s="135"/>
      <c r="K71" s="192">
        <f>'Rates in detail'!I61+SUM('Rates in detail'!O61:Q61)</f>
        <v>0.30089000000000005</v>
      </c>
      <c r="L71" s="135"/>
      <c r="M71" s="165"/>
      <c r="N71" s="192">
        <f>'Rates in detail'!I61+'Rates in detail'!K61</f>
        <v>0.33199000000000006</v>
      </c>
      <c r="O71" s="135"/>
      <c r="P71" s="165"/>
      <c r="Q71" s="134">
        <f>+'Rates in summary'!I61</f>
        <v>0.32155000000000011</v>
      </c>
      <c r="R71" s="135"/>
      <c r="S71" s="77"/>
      <c r="T71" s="135"/>
    </row>
    <row r="72" spans="1:21" x14ac:dyDescent="0.25">
      <c r="A72" s="31">
        <f t="shared" si="0"/>
        <v>66</v>
      </c>
      <c r="B72" s="47"/>
      <c r="C72" s="15" t="s">
        <v>9</v>
      </c>
      <c r="D72" s="48">
        <f>+'Washington volumes'!F62</f>
        <v>0</v>
      </c>
      <c r="E72" s="48">
        <v>100000</v>
      </c>
      <c r="F72" s="76"/>
      <c r="G72" s="367"/>
      <c r="H72" s="367"/>
      <c r="I72" s="192">
        <f>+'Rates in summary'!D62</f>
        <v>0.25432999999999983</v>
      </c>
      <c r="J72" s="135"/>
      <c r="K72" s="192">
        <f>'Rates in detail'!I62+SUM('Rates in detail'!O62:Q62)</f>
        <v>0.28635999999999984</v>
      </c>
      <c r="L72" s="135"/>
      <c r="M72" s="165"/>
      <c r="N72" s="192">
        <f>'Rates in detail'!I62+'Rates in detail'!K62</f>
        <v>0.31122999999999984</v>
      </c>
      <c r="O72" s="135"/>
      <c r="P72" s="165"/>
      <c r="Q72" s="134">
        <f>+'Rates in summary'!I62</f>
        <v>0.30288999999999977</v>
      </c>
      <c r="R72" s="135"/>
      <c r="S72" s="77"/>
      <c r="T72" s="135"/>
    </row>
    <row r="73" spans="1:21" x14ac:dyDescent="0.25">
      <c r="A73" s="31">
        <f t="shared" si="0"/>
        <v>67</v>
      </c>
      <c r="B73" s="47"/>
      <c r="C73" s="15" t="s">
        <v>10</v>
      </c>
      <c r="D73" s="48">
        <f>+'Washington volumes'!F63</f>
        <v>0</v>
      </c>
      <c r="E73" s="48">
        <v>600000</v>
      </c>
      <c r="F73" s="76"/>
      <c r="G73" s="367"/>
      <c r="H73" s="367"/>
      <c r="I73" s="192">
        <f>+'Rates in summary'!D63</f>
        <v>0.23218000000000003</v>
      </c>
      <c r="J73" s="135"/>
      <c r="K73" s="192">
        <f>'Rates in detail'!I63+SUM('Rates in detail'!O63:Q63)</f>
        <v>0.26698</v>
      </c>
      <c r="L73" s="135"/>
      <c r="M73" s="165"/>
      <c r="N73" s="192">
        <f>'Rates in detail'!I63+'Rates in detail'!K63</f>
        <v>0.28355999999999998</v>
      </c>
      <c r="O73" s="135"/>
      <c r="P73" s="165"/>
      <c r="Q73" s="134">
        <f>+'Rates in summary'!I63</f>
        <v>0.27800000000000002</v>
      </c>
      <c r="R73" s="135"/>
      <c r="S73" s="77"/>
      <c r="T73" s="135"/>
    </row>
    <row r="74" spans="1:21" x14ac:dyDescent="0.25">
      <c r="A74" s="31">
        <f t="shared" si="0"/>
        <v>68</v>
      </c>
      <c r="B74" s="47"/>
      <c r="C74" s="15" t="s">
        <v>11</v>
      </c>
      <c r="D74" s="48">
        <f>+'Washington volumes'!F64</f>
        <v>0</v>
      </c>
      <c r="E74" s="75" t="s">
        <v>133</v>
      </c>
      <c r="F74" s="76"/>
      <c r="G74" s="367"/>
      <c r="H74" s="367"/>
      <c r="I74" s="192">
        <f>+'Rates in summary'!D64</f>
        <v>0.20451999999999992</v>
      </c>
      <c r="J74" s="135"/>
      <c r="K74" s="192">
        <f>'Rates in detail'!I64+SUM('Rates in detail'!O64:Q64)</f>
        <v>0.2427699999999999</v>
      </c>
      <c r="L74" s="135"/>
      <c r="M74" s="165"/>
      <c r="N74" s="192">
        <f>'Rates in detail'!I64+'Rates in detail'!K64</f>
        <v>0.24898999999999991</v>
      </c>
      <c r="O74" s="135"/>
      <c r="P74" s="165"/>
      <c r="Q74" s="134">
        <f>+'Rates in summary'!I64</f>
        <v>0.2468999999999999</v>
      </c>
      <c r="R74" s="135"/>
      <c r="S74" s="77"/>
      <c r="T74" s="135"/>
    </row>
    <row r="75" spans="1:21" x14ac:dyDescent="0.25">
      <c r="A75" s="31">
        <f t="shared" si="0"/>
        <v>69</v>
      </c>
      <c r="B75" s="51"/>
      <c r="C75" s="78" t="s">
        <v>137</v>
      </c>
      <c r="D75" s="79"/>
      <c r="E75" s="80"/>
      <c r="F75" s="81"/>
      <c r="G75" s="368"/>
      <c r="H75" s="368"/>
      <c r="I75" s="193"/>
      <c r="J75" s="186">
        <f>$H69+ROUND(IF($F69&lt;$E69,($F69*I69),IF($F69&lt;SUM($E69:$E70),(($E69*I69)+(($F69-$E69)*I70)),IF($F69&lt;SUM($E69:$E71),(($E69*I69)+($E70*I70)+(($F69-$E69-$E70)*I71)),IF($F69&lt;SUM($E69:$E72),(($E69*I69)+($E70*I70)+($E71*I71)+(($F69-SUM($E69:$E71))*I72)),IF($F69&lt;SUM($E69:$E73),(($E69*I69)+($E70*I70)+($E71*I71)+($E72*I72)+(($F69-SUM($E69:$E72))*I73)),(($E69*I69)+($E70*I70)+($E71*I71)+($E72*I71)+($E73*I73)+(($F69-SUM($E69:$E73))*I74))))))),2)</f>
        <v>9028.17</v>
      </c>
      <c r="K75" s="193"/>
      <c r="L75" s="186">
        <f>$G69+ROUND(IF($F69&lt;$E69,($F69*K69),IF($F69&lt;SUM($E69:$E70),(($E69*K69)+(($F69-$E69)*K70)),IF($F69&lt;SUM($E69:$E71),(($E69*K69)+($E70*K70)+(($F69-$E69-$E70)*K71)),IF($F69&lt;SUM($E69:$E72),(($E69*K69)+($E70*K70)+($E71*K71)+(($F69-SUM($E69:$E71))*K72)),IF($F69&lt;SUM($E69:$E73),(($E69*K69)+($E70*K70)+($E71*K71)+($E72*K72)+(($F69-SUM($E69:$E72))*K73)),(($E69*K69)+($E70*K70)+($E71*K71)+($E72*K71)+($E73*K73)+(($F69-SUM($E69:$E73))*K74))))))),2)</f>
        <v>9700.23</v>
      </c>
      <c r="M75" s="82">
        <f>ROUND((L75-J75)/J75,3)</f>
        <v>7.3999999999999996E-2</v>
      </c>
      <c r="N75" s="193"/>
      <c r="O75" s="186">
        <f>$G69+ROUND(IF($F69&lt;$E69,($F69*N69),IF($F69&lt;SUM($E69:$E70),(($E69*N69)+(($F69-$E69)*N70)),IF($F69&lt;SUM($E69:$E71),(($E69*N69)+($E70*N70)+(($F69-$E69-$E70)*N71)),IF($F69&lt;SUM($E69:$E72),(($E69*N69)+($E70*N70)+($E71*N71)+(($F69-SUM($E69:$E71))*N72)),IF($F69&lt;SUM($E69:$E73),(($E69*N69)+($E70*N70)+($E71*N71)+($E72*N72)+(($F69-SUM($E69:$E72))*N73)),(($E69*N69)+($E70*N70)+($E71*N71)+($E72*N71)+($E73*N73)+(($F69-SUM($E69:$E73))*N74))))))),2)</f>
        <v>10788.16</v>
      </c>
      <c r="P75" s="82">
        <f>ROUND((O75-J75)/J75,3)</f>
        <v>0.19500000000000001</v>
      </c>
      <c r="Q75" s="183"/>
      <c r="R75" s="186">
        <f>$G69+ROUND(IF($F69&lt;$E69,($F69*Q69),IF($F69&lt;SUM($E69:$E70),(($E69*Q69)+(($F69-$E69)*Q70)),IF($F69&lt;SUM($E69:$E71),(($E69*Q69)+($E70*Q70)+(($F69-$E69-$E70)*Q71)),IF($F69&lt;SUM($E69:$E72),(($E69*Q69)+($E70*Q70)+($E71*Q71)+(($F69-SUM($E69:$E71))*Q72)),IF($F69&lt;SUM($E69:$E73),(($E69*Q69)+($E70*Q70)+($E71*Q71)+($E72*Q72)+(($F69-SUM($E69:$E72))*Q73)),(($E69*Q69)+($E70*Q70)+($E71*Q71)+($E72*Q71)+($E73*Q73)+(($F69-SUM($E69:$E73))*Q74))))))),2)</f>
        <v>10423.120000000001</v>
      </c>
      <c r="S75" s="82">
        <f>ROUND((R75-J75)/J75,3)</f>
        <v>0.155</v>
      </c>
      <c r="T75" s="138">
        <f>R75-J75</f>
        <v>1394.9500000000007</v>
      </c>
      <c r="U75" s="158"/>
    </row>
    <row r="76" spans="1:21" x14ac:dyDescent="0.25">
      <c r="A76" s="31">
        <f t="shared" si="0"/>
        <v>70</v>
      </c>
      <c r="B76" s="47" t="s">
        <v>112</v>
      </c>
      <c r="C76" s="15" t="s">
        <v>6</v>
      </c>
      <c r="D76" s="83">
        <f>+'Washington volumes'!F65</f>
        <v>924358</v>
      </c>
      <c r="E76" s="48">
        <v>10000</v>
      </c>
      <c r="F76" s="84">
        <f>+'Washington volumes'!I65</f>
        <v>166540.18320999999</v>
      </c>
      <c r="G76" s="367">
        <f>1300+250</f>
        <v>1550</v>
      </c>
      <c r="H76" s="367">
        <f>1300+250</f>
        <v>1550</v>
      </c>
      <c r="I76" s="184">
        <f>+'Rates in summary'!D65</f>
        <v>0.11796999999999999</v>
      </c>
      <c r="J76" s="135"/>
      <c r="K76" s="192">
        <f>'Rates in detail'!I65+SUM('Rates in detail'!O65:Q65)</f>
        <v>0.10793999999999998</v>
      </c>
      <c r="L76" s="135"/>
      <c r="M76" s="165"/>
      <c r="N76" s="192">
        <f>'Rates in detail'!I65+'Rates in detail'!K65</f>
        <v>0.13577999999999998</v>
      </c>
      <c r="O76" s="135"/>
      <c r="P76" s="165"/>
      <c r="Q76" s="134">
        <f>+'Rates in summary'!I65</f>
        <v>0.12574000000000002</v>
      </c>
      <c r="R76" s="135"/>
      <c r="S76" s="85"/>
      <c r="T76" s="135"/>
    </row>
    <row r="77" spans="1:21" x14ac:dyDescent="0.25">
      <c r="A77" s="31">
        <f t="shared" si="0"/>
        <v>71</v>
      </c>
      <c r="B77" s="47"/>
      <c r="C77" s="15" t="s">
        <v>7</v>
      </c>
      <c r="D77" s="86">
        <f>+'Washington volumes'!F66</f>
        <v>1661182</v>
      </c>
      <c r="E77" s="48">
        <v>20000</v>
      </c>
      <c r="F77" s="87"/>
      <c r="G77" s="140"/>
      <c r="H77" s="140"/>
      <c r="I77" s="184">
        <f>+'Rates in summary'!D66</f>
        <v>0.1056</v>
      </c>
      <c r="J77" s="135"/>
      <c r="K77" s="192">
        <f>'Rates in detail'!I66+SUM('Rates in detail'!O66:Q66)</f>
        <v>9.6619999999999998E-2</v>
      </c>
      <c r="L77" s="135"/>
      <c r="M77" s="165"/>
      <c r="N77" s="192">
        <f>'Rates in detail'!I66+'Rates in detail'!K66</f>
        <v>0.12154999999999999</v>
      </c>
      <c r="O77" s="135"/>
      <c r="P77" s="165"/>
      <c r="Q77" s="134">
        <f>+'Rates in summary'!I66</f>
        <v>0.11255999999999999</v>
      </c>
      <c r="R77" s="135"/>
      <c r="S77" s="88"/>
      <c r="T77" s="135"/>
    </row>
    <row r="78" spans="1:21" x14ac:dyDescent="0.25">
      <c r="A78" s="31">
        <f t="shared" si="0"/>
        <v>72</v>
      </c>
      <c r="B78" s="47"/>
      <c r="C78" s="15" t="s">
        <v>8</v>
      </c>
      <c r="D78" s="86">
        <f>+'Washington volumes'!F67</f>
        <v>1395939</v>
      </c>
      <c r="E78" s="48">
        <v>20000</v>
      </c>
      <c r="F78" s="87"/>
      <c r="G78" s="140"/>
      <c r="H78" s="140"/>
      <c r="I78" s="184">
        <f>+'Rates in summary'!D67</f>
        <v>8.0979999999999996E-2</v>
      </c>
      <c r="J78" s="135"/>
      <c r="K78" s="192">
        <f>'Rates in detail'!I67+SUM('Rates in detail'!O67:Q67)</f>
        <v>7.4089999999999989E-2</v>
      </c>
      <c r="L78" s="135"/>
      <c r="M78" s="165"/>
      <c r="N78" s="192">
        <f>'Rates in detail'!I67+'Rates in detail'!K67</f>
        <v>9.3199999999999991E-2</v>
      </c>
      <c r="O78" s="135"/>
      <c r="P78" s="165"/>
      <c r="Q78" s="134">
        <f>+'Rates in summary'!I67</f>
        <v>8.6309999999999998E-2</v>
      </c>
      <c r="R78" s="135"/>
      <c r="S78" s="88"/>
      <c r="T78" s="135"/>
    </row>
    <row r="79" spans="1:21" x14ac:dyDescent="0.25">
      <c r="A79" s="31">
        <f t="shared" si="0"/>
        <v>73</v>
      </c>
      <c r="B79" s="47"/>
      <c r="C79" s="15" t="s">
        <v>9</v>
      </c>
      <c r="D79" s="86">
        <f>+'Washington volumes'!F68</f>
        <v>4342579</v>
      </c>
      <c r="E79" s="48">
        <v>100000</v>
      </c>
      <c r="F79" s="87"/>
      <c r="G79" s="140"/>
      <c r="H79" s="140"/>
      <c r="I79" s="184">
        <f>+'Rates in summary'!D68</f>
        <v>6.479E-2</v>
      </c>
      <c r="J79" s="135"/>
      <c r="K79" s="192">
        <f>'Rates in detail'!I68+SUM('Rates in detail'!O68:Q68)</f>
        <v>5.9279999999999999E-2</v>
      </c>
      <c r="L79" s="135"/>
      <c r="M79" s="165"/>
      <c r="N79" s="192">
        <f>'Rates in detail'!I68+'Rates in detail'!K68</f>
        <v>7.4569999999999997E-2</v>
      </c>
      <c r="O79" s="135"/>
      <c r="P79" s="165"/>
      <c r="Q79" s="134">
        <f>+'Rates in summary'!I68</f>
        <v>6.9059999999999996E-2</v>
      </c>
      <c r="R79" s="135"/>
      <c r="S79" s="88"/>
      <c r="T79" s="135"/>
    </row>
    <row r="80" spans="1:21" x14ac:dyDescent="0.25">
      <c r="A80" s="31">
        <f t="shared" si="0"/>
        <v>74</v>
      </c>
      <c r="B80" s="47"/>
      <c r="C80" s="15" t="s">
        <v>10</v>
      </c>
      <c r="D80" s="86">
        <f>+'Washington volumes'!F69</f>
        <v>2584324</v>
      </c>
      <c r="E80" s="48">
        <v>600000</v>
      </c>
      <c r="F80" s="87"/>
      <c r="G80" s="140"/>
      <c r="H80" s="140"/>
      <c r="I80" s="184">
        <f>+'Rates in summary'!D69</f>
        <v>4.3190000000000006E-2</v>
      </c>
      <c r="J80" s="135"/>
      <c r="K80" s="192">
        <f>'Rates in detail'!I69+SUM('Rates in detail'!O69:Q69)</f>
        <v>3.9530000000000003E-2</v>
      </c>
      <c r="L80" s="135"/>
      <c r="M80" s="165"/>
      <c r="N80" s="192">
        <f>'Rates in detail'!I69+'Rates in detail'!K69</f>
        <v>4.972E-2</v>
      </c>
      <c r="O80" s="135"/>
      <c r="P80" s="165"/>
      <c r="Q80" s="134">
        <f>+'Rates in summary'!I69</f>
        <v>4.6050000000000008E-2</v>
      </c>
      <c r="R80" s="135"/>
      <c r="S80" s="88"/>
      <c r="T80" s="135"/>
    </row>
    <row r="81" spans="1:21" x14ac:dyDescent="0.25">
      <c r="A81" s="31">
        <f t="shared" ref="A81:A94" si="10">+A80+1</f>
        <v>75</v>
      </c>
      <c r="B81" s="47"/>
      <c r="C81" s="15" t="s">
        <v>11</v>
      </c>
      <c r="D81" s="86">
        <f>+'Washington volumes'!F70</f>
        <v>0</v>
      </c>
      <c r="E81" s="75" t="s">
        <v>133</v>
      </c>
      <c r="F81" s="87"/>
      <c r="G81" s="140"/>
      <c r="H81" s="140"/>
      <c r="I81" s="184">
        <f>+'Rates in summary'!D70</f>
        <v>1.619E-2</v>
      </c>
      <c r="J81" s="135"/>
      <c r="K81" s="192">
        <f>'Rates in detail'!I70+SUM('Rates in detail'!O70:Q70)</f>
        <v>1.481E-2</v>
      </c>
      <c r="L81" s="135"/>
      <c r="M81" s="165"/>
      <c r="N81" s="192">
        <f>'Rates in detail'!I70+'Rates in detail'!K70</f>
        <v>1.8630000000000001E-2</v>
      </c>
      <c r="O81" s="135"/>
      <c r="P81" s="165"/>
      <c r="Q81" s="134">
        <f>+'Rates in summary'!I70</f>
        <v>1.7250000000000001E-2</v>
      </c>
      <c r="R81" s="135"/>
      <c r="S81" s="88"/>
      <c r="T81" s="135"/>
    </row>
    <row r="82" spans="1:21" x14ac:dyDescent="0.25">
      <c r="A82" s="31">
        <f t="shared" si="10"/>
        <v>76</v>
      </c>
      <c r="B82" s="51"/>
      <c r="C82" s="78" t="s">
        <v>137</v>
      </c>
      <c r="D82" s="79"/>
      <c r="E82" s="80"/>
      <c r="F82" s="81"/>
      <c r="G82" s="368"/>
      <c r="H82" s="368"/>
      <c r="I82" s="193"/>
      <c r="J82" s="186">
        <f>$H76+ROUND(IF($F76&lt;$E76,($F76*I76),IF($F76&lt;SUM($E76:$E77),(($E76*I76)+(($F76-$E76)*I77)),IF($F76&lt;SUM($E76:$E78),(($E76*I76)+($E77*I77)+(($F76-$E76-$E77)*I78)),IF($F76&lt;SUM($E76:$E79),(($E76*I76)+($E77*I77)+($E78*I78)+(($F76-SUM($E76:$E78))*I79)),IF($F76&lt;SUM($E76:$E80),(($E76*I76)+($E77*I77)+($E78*I78)+($E79*I79)+(($F76-SUM($E76:$E79))*I80)),(($E76*I76)+($E77*I77)+($E78*I78)+($E79*I78)+($E80*I80)+(($F76-SUM($E76:$E80))*I81))))))),2)</f>
        <v>13654.67</v>
      </c>
      <c r="K82" s="194"/>
      <c r="L82" s="186">
        <f>$G76+ROUND(IF($F76&lt;$E76,($F76*K76),IF($F76&lt;SUM($E76:$E77),(($E76*K76)+(($F76-$E76)*K77)),IF($F76&lt;SUM($E76:$E78),(($E76*K76)+($E77*K77)+(($F76-$E76-$E77)*K78)),IF($F76&lt;SUM($E76:$E79),(($E76*K76)+($E77*K77)+($E78*K78)+(($F76-SUM($E76:$E78))*K79)),IF($F76&lt;SUM($E76:$E80),(($E76*K76)+($E77*K77)+($E78*K78)+($E79*K79)+(($F76-SUM($E76:$E79))*K80)),(($E76*K76)+($E77*K77)+($E78*K78)+($E79*K78)+($E80*K80)+(($F76-SUM($E76:$E80))*K81))))))),2)</f>
        <v>12625.43</v>
      </c>
      <c r="M82" s="153">
        <f>ROUND((L82-J82)/J82,3)</f>
        <v>-7.4999999999999997E-2</v>
      </c>
      <c r="N82" s="194"/>
      <c r="O82" s="186">
        <f>$G76+ROUND(IF($F76&lt;$E76,($F76*N76),IF($F76&lt;SUM($E76:$E77),(($E76*N76)+(($F76-$E76)*N77)),IF($F76&lt;SUM($E76:$E78),(($E76*N76)+($E77*N77)+(($F76-$E76-$E77)*N78)),IF($F76&lt;SUM($E76:$E79),(($E76*N76)+($E77*N77)+($E78*N78)+(($F76-SUM($E76:$E78))*N79)),IF($F76&lt;SUM($E76:$E80),(($E76*N76)+($E77*N77)+($E78*N78)+($E79*N79)+(($F76-SUM($E76:$E79))*N80)),(($E76*N76)+($E77*N77)+($E78*N78)+($E79*N78)+($E80*N80)+(($F76-SUM($E76:$E80))*N81))))))),2)</f>
        <v>15482.18</v>
      </c>
      <c r="P82" s="82">
        <f>ROUND((O82-J82)/J82,3)</f>
        <v>0.13400000000000001</v>
      </c>
      <c r="Q82" s="134"/>
      <c r="R82" s="186">
        <f>$G76+ROUND(IF($F76&lt;$E76,($F76*Q76),IF($F76&lt;SUM($E76:$E77),(($E76*Q76)+(($F76-$E76)*Q77)),IF($F76&lt;SUM($E76:$E78),(($E76*Q76)+($E77*Q77)+(($F76-$E76-$E77)*Q78)),IF($F76&lt;SUM($E76:$E79),(($E76*Q76)+($E77*Q77)+($E78*Q78)+(($F76-SUM($E76:$E78))*Q79)),IF($F76&lt;SUM($E76:$E80),(($E76*Q76)+($E77*Q77)+($E78*Q78)+($E79*Q79)+(($F76-SUM($E76:$E79))*Q80)),(($E76*Q76)+($E77*Q77)+($E78*Q78)+($E79*Q78)+($E80*Q80)+(($F76-SUM($E76:$E80))*Q81))))))),2)</f>
        <v>14452.48</v>
      </c>
      <c r="S82" s="82">
        <f>ROUND((R82-J82)/J82,3)</f>
        <v>5.8000000000000003E-2</v>
      </c>
      <c r="T82" s="138">
        <f t="shared" ref="T82:T84" si="11">R82-J82</f>
        <v>797.80999999999949</v>
      </c>
      <c r="U82" s="158"/>
    </row>
    <row r="83" spans="1:21" x14ac:dyDescent="0.25">
      <c r="A83" s="31">
        <f t="shared" si="10"/>
        <v>77</v>
      </c>
      <c r="B83" s="51" t="s">
        <v>113</v>
      </c>
      <c r="C83" s="17"/>
      <c r="D83" s="89">
        <f>+'Washington volumes'!F71</f>
        <v>0</v>
      </c>
      <c r="E83" s="90" t="s">
        <v>51</v>
      </c>
      <c r="F83" s="91">
        <f>+'Washington volumes'!I71</f>
        <v>0</v>
      </c>
      <c r="G83" s="142">
        <v>38000</v>
      </c>
      <c r="H83" s="142">
        <v>38000</v>
      </c>
      <c r="I83" s="185">
        <f>+'Rates in summary'!D71</f>
        <v>4.9800000000000001E-3</v>
      </c>
      <c r="J83" s="138">
        <f>ROUND(+$H83+(I83*$F83),2)</f>
        <v>38000</v>
      </c>
      <c r="K83" s="195">
        <f>'Rates in detail'!I71+SUM('Rates in detail'!O71:Q71)</f>
        <v>4.5599999999999998E-3</v>
      </c>
      <c r="L83" s="138">
        <f>ROUND(G83+(F83*K83),2)</f>
        <v>38000</v>
      </c>
      <c r="M83" s="166">
        <f>ROUND((L83-J83)/J83,3)</f>
        <v>0</v>
      </c>
      <c r="N83" s="237">
        <f>'Rates in detail'!I71+'Rates in detail'!K71</f>
        <v>4.9800000000000001E-3</v>
      </c>
      <c r="O83" s="138">
        <f>ROUND(J83+(I83*N83),2)</f>
        <v>38000</v>
      </c>
      <c r="P83" s="82">
        <f>ROUND((O83-J83)/J83,3)</f>
        <v>0</v>
      </c>
      <c r="Q83" s="185">
        <f>+'Rates in summary'!I71</f>
        <v>4.5599999999999998E-3</v>
      </c>
      <c r="R83" s="138">
        <f>ROUND(+$G83+(Q83*$F83),2)</f>
        <v>38000</v>
      </c>
      <c r="S83" s="92" t="s">
        <v>51</v>
      </c>
      <c r="T83" s="138">
        <f t="shared" si="11"/>
        <v>0</v>
      </c>
    </row>
    <row r="84" spans="1:21" x14ac:dyDescent="0.25">
      <c r="A84" s="31">
        <f t="shared" si="10"/>
        <v>78</v>
      </c>
      <c r="B84" s="13" t="s">
        <v>114</v>
      </c>
      <c r="C84" s="10"/>
      <c r="D84" s="93">
        <f>+'Washington volumes'!F72</f>
        <v>0</v>
      </c>
      <c r="E84" s="90" t="s">
        <v>51</v>
      </c>
      <c r="F84" s="94">
        <f>+'Washington volumes'!I72</f>
        <v>0</v>
      </c>
      <c r="G84" s="142">
        <v>38000</v>
      </c>
      <c r="H84" s="142">
        <v>38000</v>
      </c>
      <c r="I84" s="169">
        <f>+'Rates in summary'!D72</f>
        <v>4.9800000000000001E-3</v>
      </c>
      <c r="J84" s="138">
        <f>ROUND(+$H84+(I84*$F84),2)</f>
        <v>38000</v>
      </c>
      <c r="K84" s="195">
        <f>'Rates in detail'!I72+SUM('Rates in detail'!O72:Q72)</f>
        <v>4.5599999999999998E-3</v>
      </c>
      <c r="L84" s="138">
        <f>ROUND(G84+(F84*K84),2)</f>
        <v>38000</v>
      </c>
      <c r="M84" s="74">
        <f>ROUND((L84-J84)/J84,3)</f>
        <v>0</v>
      </c>
      <c r="N84" s="195">
        <f>'Rates in detail'!I72+'Rates in detail'!K72</f>
        <v>4.9800000000000001E-3</v>
      </c>
      <c r="O84" s="138">
        <f>ROUND(J84+(I84*N84),2)</f>
        <v>38000</v>
      </c>
      <c r="P84" s="82">
        <f>ROUND((O84-J84)/J84,3)</f>
        <v>0</v>
      </c>
      <c r="Q84" s="185">
        <f>+'Rates in summary'!I72</f>
        <v>4.5599999999999998E-3</v>
      </c>
      <c r="R84" s="138">
        <f>ROUND(+$G84+(Q84*$F84),2)</f>
        <v>38000</v>
      </c>
      <c r="S84" s="92" t="s">
        <v>51</v>
      </c>
      <c r="T84" s="138">
        <f t="shared" si="11"/>
        <v>0</v>
      </c>
    </row>
    <row r="85" spans="1:21" ht="13.8" thickBot="1" x14ac:dyDescent="0.3">
      <c r="A85" s="31">
        <f t="shared" si="10"/>
        <v>79</v>
      </c>
      <c r="B85" s="12" t="s">
        <v>144</v>
      </c>
      <c r="C85" s="10"/>
      <c r="D85" s="95"/>
      <c r="E85" s="90"/>
      <c r="F85" s="96"/>
      <c r="G85" s="370"/>
      <c r="H85" s="370"/>
      <c r="I85" s="20"/>
      <c r="J85" s="46"/>
      <c r="K85" s="196"/>
      <c r="L85" s="46"/>
      <c r="M85" s="167"/>
      <c r="N85" s="196"/>
      <c r="O85" s="46"/>
      <c r="P85" s="167"/>
      <c r="Q85" s="21"/>
      <c r="R85" s="46"/>
      <c r="S85" s="97"/>
      <c r="T85" s="46"/>
    </row>
    <row r="86" spans="1:21" x14ac:dyDescent="0.25">
      <c r="A86" s="31">
        <f t="shared" si="10"/>
        <v>80</v>
      </c>
      <c r="B86" s="463" t="s">
        <v>151</v>
      </c>
      <c r="C86" s="462"/>
      <c r="D86" s="462"/>
      <c r="E86" s="462"/>
      <c r="F86" s="462"/>
      <c r="G86" s="462"/>
      <c r="H86" s="462"/>
      <c r="I86" s="462"/>
      <c r="J86" s="462"/>
    </row>
    <row r="87" spans="1:21" x14ac:dyDescent="0.25">
      <c r="A87" s="31">
        <f t="shared" si="10"/>
        <v>81</v>
      </c>
      <c r="B87" s="462"/>
      <c r="C87" s="462"/>
      <c r="D87" s="462"/>
      <c r="E87" s="462"/>
      <c r="F87" s="462"/>
      <c r="G87" s="462"/>
      <c r="H87" s="462"/>
      <c r="I87" s="462"/>
      <c r="J87" s="462"/>
    </row>
    <row r="88" spans="1:21" x14ac:dyDescent="0.25">
      <c r="A88" s="31">
        <f t="shared" si="10"/>
        <v>82</v>
      </c>
      <c r="B88" s="460"/>
      <c r="C88" s="461"/>
      <c r="D88" s="461"/>
      <c r="E88" s="461"/>
      <c r="F88" s="461"/>
      <c r="G88" s="461"/>
      <c r="H88" s="461"/>
      <c r="I88" s="461"/>
      <c r="J88" s="461"/>
      <c r="K88" s="197"/>
      <c r="L88" s="197"/>
      <c r="M88" s="197"/>
      <c r="N88" s="197"/>
      <c r="O88" s="197"/>
      <c r="P88" s="197"/>
      <c r="R88" s="56"/>
      <c r="S88" s="98"/>
    </row>
    <row r="89" spans="1:21" ht="13.8" thickBot="1" x14ac:dyDescent="0.3">
      <c r="A89" s="31">
        <f t="shared" si="10"/>
        <v>83</v>
      </c>
      <c r="B89" s="461"/>
      <c r="C89" s="461"/>
      <c r="D89" s="461"/>
      <c r="E89" s="461"/>
      <c r="F89" s="461"/>
      <c r="G89" s="461"/>
      <c r="H89" s="461"/>
      <c r="I89" s="461"/>
      <c r="J89" s="461"/>
      <c r="T89" s="238"/>
    </row>
    <row r="90" spans="1:21" ht="19.5" customHeight="1" thickBot="1" x14ac:dyDescent="0.3">
      <c r="A90" s="31">
        <f t="shared" si="10"/>
        <v>84</v>
      </c>
      <c r="B90" s="462"/>
      <c r="C90" s="462"/>
      <c r="D90" s="462"/>
      <c r="E90" s="462"/>
      <c r="F90" s="462"/>
      <c r="G90" s="462"/>
      <c r="H90" s="462"/>
      <c r="I90" s="462"/>
      <c r="J90" s="462"/>
      <c r="T90" s="450" t="s">
        <v>122</v>
      </c>
    </row>
    <row r="91" spans="1:21" ht="13.8" thickBot="1" x14ac:dyDescent="0.3">
      <c r="A91" s="31">
        <f t="shared" si="10"/>
        <v>85</v>
      </c>
      <c r="B91" s="22" t="s">
        <v>115</v>
      </c>
      <c r="T91" s="451" t="s">
        <v>69</v>
      </c>
    </row>
    <row r="92" spans="1:21" ht="13.8" thickBot="1" x14ac:dyDescent="0.3">
      <c r="A92" s="31">
        <f t="shared" si="10"/>
        <v>86</v>
      </c>
      <c r="B92" s="64" t="s">
        <v>116</v>
      </c>
      <c r="C92" s="24"/>
      <c r="D92" s="371"/>
      <c r="E92" s="26" t="s">
        <v>136</v>
      </c>
      <c r="F92" s="371"/>
      <c r="G92" s="26" t="s">
        <v>136</v>
      </c>
      <c r="H92" s="26"/>
      <c r="I92" s="372"/>
      <c r="J92" s="59"/>
      <c r="K92" s="26"/>
      <c r="L92" s="26"/>
      <c r="M92" s="26"/>
      <c r="N92" s="26"/>
      <c r="O92" s="26"/>
      <c r="P92" s="26"/>
      <c r="Q92" s="59"/>
      <c r="R92" s="59"/>
      <c r="S92" s="59"/>
      <c r="T92" s="452" t="s">
        <v>290</v>
      </c>
    </row>
    <row r="93" spans="1:21" ht="13.8" thickBot="1" x14ac:dyDescent="0.3">
      <c r="A93" s="31">
        <f t="shared" si="10"/>
        <v>87</v>
      </c>
      <c r="T93" s="238"/>
    </row>
    <row r="94" spans="1:21" ht="13.8" thickBot="1" x14ac:dyDescent="0.3">
      <c r="A94" s="31">
        <f t="shared" si="10"/>
        <v>88</v>
      </c>
      <c r="B94" s="64" t="s">
        <v>122</v>
      </c>
      <c r="C94" s="24"/>
      <c r="D94" s="25"/>
      <c r="E94" s="59"/>
      <c r="F94" s="59"/>
      <c r="G94" s="61"/>
      <c r="H94" s="61"/>
      <c r="I94" s="26" t="s">
        <v>50</v>
      </c>
      <c r="J94" s="25"/>
      <c r="K94" s="61"/>
      <c r="L94" s="61"/>
      <c r="M94" s="61"/>
      <c r="N94" s="61"/>
      <c r="O94" s="61"/>
      <c r="P94" s="61"/>
      <c r="Q94" s="25"/>
      <c r="R94" s="25"/>
      <c r="S94" s="25"/>
    </row>
    <row r="95" spans="1:21" x14ac:dyDescent="0.25">
      <c r="A95" s="31"/>
    </row>
    <row r="96" spans="1:21" x14ac:dyDescent="0.25">
      <c r="A96" s="31"/>
    </row>
    <row r="97" spans="20:20" x14ac:dyDescent="0.25">
      <c r="T97" s="238"/>
    </row>
    <row r="98" spans="20:20" x14ac:dyDescent="0.25">
      <c r="T98" s="238"/>
    </row>
    <row r="99" spans="20:20" x14ac:dyDescent="0.25">
      <c r="T99" s="238"/>
    </row>
    <row r="100" spans="20:20" x14ac:dyDescent="0.25">
      <c r="T100" s="238"/>
    </row>
    <row r="101" spans="20:20" x14ac:dyDescent="0.25">
      <c r="T101" s="238"/>
    </row>
  </sheetData>
  <mergeCells count="2">
    <mergeCell ref="B88:J90"/>
    <mergeCell ref="B86:J87"/>
  </mergeCells>
  <phoneticPr fontId="3" type="noConversion"/>
  <printOptions horizontalCentered="1"/>
  <pageMargins left="0.5" right="0.5" top="0.5" bottom="0.5" header="0.25" footer="0.25"/>
  <pageSetup scale="35" orientation="landscape" r:id="rId1"/>
  <headerFooter alignWithMargins="0">
    <oddHeader xml:space="preserve">&amp;RUG-181053 NWN Compliance Filing
Advice 19-07 / Work Paper
</oddHeader>
    <oddFooter xml:space="preserve">&amp;C&amp;F &amp;D &amp;T
&amp;A  </oddFooter>
  </headerFooter>
  <colBreaks count="1" manualBreakCount="1">
    <brk id="16" max="8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  <pageSetUpPr fitToPage="1"/>
  </sheetPr>
  <dimension ref="A1:O81"/>
  <sheetViews>
    <sheetView showGridLines="0" zoomScaleNormal="100" zoomScaleSheetLayoutView="110" workbookViewId="0">
      <pane xSplit="3" ySplit="12" topLeftCell="D13" activePane="bottomRight" state="frozen"/>
      <selection activeCell="O39" sqref="O39"/>
      <selection pane="topRight" activeCell="O39" sqref="O39"/>
      <selection pane="bottomLeft" activeCell="O39" sqref="O39"/>
      <selection pane="bottomRight" activeCell="O39" sqref="O39"/>
    </sheetView>
  </sheetViews>
  <sheetFormatPr defaultColWidth="9.33203125" defaultRowHeight="13.2" x14ac:dyDescent="0.25"/>
  <cols>
    <col min="1" max="1" width="6.77734375" style="63" customWidth="1"/>
    <col min="2" max="2" width="17.77734375" style="128" customWidth="1"/>
    <col min="3" max="3" width="9.33203125" style="128"/>
    <col min="4" max="8" width="17.77734375" style="128" customWidth="1"/>
    <col min="9" max="9" width="19.109375" style="128" customWidth="1"/>
    <col min="10" max="10" width="12.77734375" style="63" customWidth="1"/>
    <col min="11" max="11" width="14.77734375" style="128" hidden="1" customWidth="1"/>
    <col min="12" max="12" width="0" style="63" hidden="1" customWidth="1"/>
    <col min="13" max="13" width="10.44140625" style="63" bestFit="1" customWidth="1"/>
    <col min="14" max="14" width="11.33203125" style="63" bestFit="1" customWidth="1"/>
    <col min="15" max="15" width="11" style="63" customWidth="1"/>
    <col min="16" max="16384" width="9.33203125" style="63"/>
  </cols>
  <sheetData>
    <row r="1" spans="1:15" ht="13.8" x14ac:dyDescent="0.25">
      <c r="A1" s="374" t="str">
        <f>+'Washington volumes'!A1</f>
        <v>NW Natural</v>
      </c>
    </row>
    <row r="2" spans="1:15" ht="13.8" x14ac:dyDescent="0.25">
      <c r="A2" s="374" t="str">
        <f>+'Washington volumes'!A2</f>
        <v>Rates &amp; Regulatory Affairs</v>
      </c>
    </row>
    <row r="3" spans="1:15" ht="13.8" x14ac:dyDescent="0.25">
      <c r="A3" s="374" t="str">
        <f>+'Washington volumes'!A3</f>
        <v>2019 WA GRC UG-181053</v>
      </c>
      <c r="F3" s="170"/>
      <c r="G3" s="170"/>
      <c r="H3" s="170"/>
    </row>
    <row r="4" spans="1:15" ht="13.8" x14ac:dyDescent="0.25">
      <c r="A4" s="374" t="s">
        <v>123</v>
      </c>
    </row>
    <row r="5" spans="1:15" ht="13.8" thickBot="1" x14ac:dyDescent="0.3"/>
    <row r="6" spans="1:15" x14ac:dyDescent="0.25">
      <c r="I6" s="375"/>
    </row>
    <row r="7" spans="1:15" x14ac:dyDescent="0.25">
      <c r="A7" s="47">
        <v>1</v>
      </c>
      <c r="E7" s="218" t="s">
        <v>225</v>
      </c>
      <c r="I7" s="163" t="s">
        <v>31</v>
      </c>
      <c r="K7" s="129"/>
    </row>
    <row r="8" spans="1:15" x14ac:dyDescent="0.25">
      <c r="A8" s="47">
        <f t="shared" ref="A8:A71" si="0">+A7+1</f>
        <v>2</v>
      </c>
      <c r="D8" s="353">
        <f>+'Avg Bill by RS'!I8</f>
        <v>43405</v>
      </c>
      <c r="E8" s="236" t="s">
        <v>192</v>
      </c>
      <c r="F8" s="218" t="s">
        <v>225</v>
      </c>
      <c r="G8" s="218" t="s">
        <v>273</v>
      </c>
      <c r="H8" s="218" t="s">
        <v>273</v>
      </c>
      <c r="I8" s="376">
        <f>'Avg Bill by RS'!K8</f>
        <v>43770</v>
      </c>
      <c r="K8" s="377"/>
    </row>
    <row r="9" spans="1:15" x14ac:dyDescent="0.25">
      <c r="A9" s="47">
        <f t="shared" si="0"/>
        <v>3</v>
      </c>
      <c r="D9" s="218" t="s">
        <v>22</v>
      </c>
      <c r="E9" s="218" t="s">
        <v>162</v>
      </c>
      <c r="F9" s="218" t="s">
        <v>191</v>
      </c>
      <c r="G9" s="218" t="s">
        <v>277</v>
      </c>
      <c r="H9" s="218" t="s">
        <v>274</v>
      </c>
      <c r="I9" s="163" t="s">
        <v>22</v>
      </c>
      <c r="K9" s="129"/>
    </row>
    <row r="10" spans="1:15" s="161" customFormat="1" ht="13.8" thickBot="1" x14ac:dyDescent="0.3">
      <c r="A10" s="47">
        <f t="shared" si="0"/>
        <v>4</v>
      </c>
      <c r="B10" s="128"/>
      <c r="C10" s="128"/>
      <c r="D10" s="228" t="s">
        <v>23</v>
      </c>
      <c r="E10" s="228" t="s">
        <v>193</v>
      </c>
      <c r="F10" s="228" t="s">
        <v>41</v>
      </c>
      <c r="G10" s="228" t="s">
        <v>278</v>
      </c>
      <c r="H10" s="228" t="s">
        <v>276</v>
      </c>
      <c r="I10" s="355" t="s">
        <v>146</v>
      </c>
    </row>
    <row r="11" spans="1:15" s="161" customFormat="1" x14ac:dyDescent="0.25">
      <c r="A11" s="47">
        <f t="shared" si="0"/>
        <v>5</v>
      </c>
      <c r="B11" s="128"/>
      <c r="C11" s="128"/>
      <c r="D11" s="168"/>
      <c r="E11" s="168"/>
      <c r="F11" s="103"/>
      <c r="G11" s="103"/>
      <c r="H11" s="103" t="s">
        <v>282</v>
      </c>
      <c r="I11" s="163" t="s">
        <v>279</v>
      </c>
      <c r="K11" s="129"/>
    </row>
    <row r="12" spans="1:15" s="161" customFormat="1" x14ac:dyDescent="0.25">
      <c r="A12" s="47">
        <f t="shared" si="0"/>
        <v>6</v>
      </c>
      <c r="B12" s="40" t="s">
        <v>2</v>
      </c>
      <c r="C12" s="8" t="s">
        <v>3</v>
      </c>
      <c r="D12" s="144" t="s">
        <v>58</v>
      </c>
      <c r="E12" s="144" t="s">
        <v>59</v>
      </c>
      <c r="F12" s="144" t="s">
        <v>16</v>
      </c>
      <c r="G12" s="144" t="s">
        <v>60</v>
      </c>
      <c r="H12" s="144" t="s">
        <v>61</v>
      </c>
      <c r="I12" s="164" t="s">
        <v>62</v>
      </c>
      <c r="K12" s="144"/>
    </row>
    <row r="13" spans="1:15" x14ac:dyDescent="0.25">
      <c r="A13" s="47">
        <f t="shared" si="0"/>
        <v>7</v>
      </c>
      <c r="B13" s="13" t="s">
        <v>4</v>
      </c>
      <c r="C13" s="10"/>
      <c r="D13" s="145">
        <v>1.0291799999999995</v>
      </c>
      <c r="E13" s="145">
        <f>'Rates in detail'!K13</f>
        <v>3.4299999999999999E-3</v>
      </c>
      <c r="F13" s="145">
        <f>SUM('Rates in detail'!O13:Q13)</f>
        <v>-5.858E-2</v>
      </c>
      <c r="G13" s="145">
        <v>-2.1049999999999999E-2</v>
      </c>
      <c r="H13" s="145">
        <f>[3]Temporaries!$AF$13</f>
        <v>9.5880000000000007E-2</v>
      </c>
      <c r="I13" s="378">
        <f>SUM(D13:H13)</f>
        <v>1.0488599999999997</v>
      </c>
      <c r="J13" s="458"/>
      <c r="K13" s="380"/>
      <c r="L13" s="381"/>
      <c r="M13" s="152"/>
      <c r="N13" s="459"/>
      <c r="O13" s="379"/>
    </row>
    <row r="14" spans="1:15" x14ac:dyDescent="0.25">
      <c r="A14" s="47">
        <f t="shared" si="0"/>
        <v>8</v>
      </c>
      <c r="B14" s="13" t="s">
        <v>5</v>
      </c>
      <c r="C14" s="10"/>
      <c r="D14" s="145">
        <v>1.0187299999999995</v>
      </c>
      <c r="E14" s="145">
        <f>'Rates in detail'!K14</f>
        <v>5.6840000000000002E-2</v>
      </c>
      <c r="F14" s="145">
        <f>SUM('Rates in detail'!O14:Q14)</f>
        <v>-4.8509999999999998E-2</v>
      </c>
      <c r="G14" s="145">
        <v>-2.1049999999999999E-2</v>
      </c>
      <c r="H14" s="145">
        <f>[3]Temporaries!$AF$14</f>
        <v>8.8700000000000001E-2</v>
      </c>
      <c r="I14" s="378">
        <f>SUM(D14:H14)</f>
        <v>1.0947099999999994</v>
      </c>
      <c r="J14" s="458"/>
      <c r="K14" s="380"/>
      <c r="L14" s="381"/>
      <c r="M14" s="152"/>
      <c r="N14" s="459"/>
      <c r="O14" s="379"/>
    </row>
    <row r="15" spans="1:15" x14ac:dyDescent="0.25">
      <c r="A15" s="47">
        <f t="shared" si="0"/>
        <v>9</v>
      </c>
      <c r="B15" s="13" t="s">
        <v>14</v>
      </c>
      <c r="C15" s="10"/>
      <c r="D15" s="145">
        <v>0.73545999999999978</v>
      </c>
      <c r="E15" s="145">
        <f>'Rates in detail'!K15</f>
        <v>5.0689999999999999E-2</v>
      </c>
      <c r="F15" s="145">
        <f>SUM('Rates in detail'!O15:Q15)</f>
        <v>-3.6409999999999998E-2</v>
      </c>
      <c r="G15" s="145">
        <v>-2.1049999999999999E-2</v>
      </c>
      <c r="H15" s="145">
        <f>[3]Temporaries!$AF$15</f>
        <v>8.1519999999999995E-2</v>
      </c>
      <c r="I15" s="378">
        <f>SUM(D15:H15)</f>
        <v>0.81020999999999987</v>
      </c>
      <c r="J15" s="458"/>
      <c r="K15" s="380"/>
      <c r="L15" s="381"/>
      <c r="M15" s="152"/>
      <c r="N15" s="459"/>
      <c r="O15" s="379"/>
    </row>
    <row r="16" spans="1:15" x14ac:dyDescent="0.25">
      <c r="A16" s="47">
        <f t="shared" si="0"/>
        <v>10</v>
      </c>
      <c r="B16" s="13" t="s">
        <v>12</v>
      </c>
      <c r="C16" s="10"/>
      <c r="D16" s="145">
        <v>0.73534000000000033</v>
      </c>
      <c r="E16" s="145">
        <f>'Rates in detail'!K16</f>
        <v>3.1440000000000003E-2</v>
      </c>
      <c r="F16" s="145">
        <f>SUM('Rates in detail'!O16:Q16)</f>
        <v>-3.2620000000000003E-2</v>
      </c>
      <c r="G16" s="145">
        <v>-2.1049999999999999E-2</v>
      </c>
      <c r="H16" s="145">
        <f>[3]Temporaries!$AF$16</f>
        <v>7.9079999999999984E-2</v>
      </c>
      <c r="I16" s="378">
        <f>SUM(D16:H16)</f>
        <v>0.79219000000000039</v>
      </c>
      <c r="J16" s="458"/>
      <c r="K16" s="380"/>
      <c r="L16" s="381"/>
      <c r="M16" s="152"/>
      <c r="N16" s="459"/>
      <c r="O16" s="379"/>
    </row>
    <row r="17" spans="1:15" x14ac:dyDescent="0.25">
      <c r="A17" s="47">
        <f t="shared" si="0"/>
        <v>11</v>
      </c>
      <c r="B17" s="13" t="s">
        <v>13</v>
      </c>
      <c r="C17" s="10"/>
      <c r="D17" s="145">
        <v>0.70457999999999954</v>
      </c>
      <c r="E17" s="145">
        <f>'Rates in detail'!K17</f>
        <v>4.9669999999999999E-2</v>
      </c>
      <c r="F17" s="145">
        <f>SUM('Rates in detail'!O17:Q17)</f>
        <v>-2.8979999999999999E-2</v>
      </c>
      <c r="G17" s="145">
        <v>-2.1049999999999999E-2</v>
      </c>
      <c r="H17" s="145">
        <f>[3]Temporaries!$AF$17</f>
        <v>5.8729999999999991E-2</v>
      </c>
      <c r="I17" s="378">
        <f t="shared" ref="I17:I72" si="1">SUM(D17:H17)</f>
        <v>0.76294999999999946</v>
      </c>
      <c r="J17" s="458"/>
      <c r="K17" s="380"/>
      <c r="L17" s="381"/>
      <c r="M17" s="152"/>
      <c r="N17" s="459"/>
      <c r="O17" s="379"/>
    </row>
    <row r="18" spans="1:15" x14ac:dyDescent="0.25">
      <c r="A18" s="47">
        <f t="shared" si="0"/>
        <v>12</v>
      </c>
      <c r="B18" s="51">
        <v>27</v>
      </c>
      <c r="C18" s="17"/>
      <c r="D18" s="145">
        <v>0.56221999999999994</v>
      </c>
      <c r="E18" s="145">
        <f>'Rates in detail'!K18</f>
        <v>-8.5400000000000007E-3</v>
      </c>
      <c r="F18" s="145">
        <f>SUM('Rates in detail'!O18:Q18)</f>
        <v>-2.4580000000000001E-2</v>
      </c>
      <c r="G18" s="145">
        <v>-2.1049999999999999E-2</v>
      </c>
      <c r="H18" s="145">
        <f>[3]Temporaries!$AF$18</f>
        <v>7.4859999999999996E-2</v>
      </c>
      <c r="I18" s="378">
        <f t="shared" si="1"/>
        <v>0.58290999999999993</v>
      </c>
      <c r="J18" s="458"/>
      <c r="K18" s="380"/>
      <c r="L18" s="381"/>
      <c r="M18" s="152"/>
      <c r="N18" s="459"/>
      <c r="O18" s="379"/>
    </row>
    <row r="19" spans="1:15" x14ac:dyDescent="0.25">
      <c r="A19" s="47">
        <f t="shared" si="0"/>
        <v>13</v>
      </c>
      <c r="B19" s="47" t="s">
        <v>166</v>
      </c>
      <c r="C19" s="15" t="s">
        <v>6</v>
      </c>
      <c r="D19" s="152">
        <v>0.49926000000000026</v>
      </c>
      <c r="E19" s="152">
        <f>'Rates in detail'!K19</f>
        <v>4.8070000000000002E-2</v>
      </c>
      <c r="F19" s="152">
        <f>SUM('Rates in detail'!O19:Q19)</f>
        <v>-2.5579999999999999E-2</v>
      </c>
      <c r="G19" s="152">
        <v>-2.0650000000000002E-2</v>
      </c>
      <c r="H19" s="152">
        <f>[3]Temporaries!$AF$19</f>
        <v>7.5240000000000001E-2</v>
      </c>
      <c r="I19" s="382">
        <f t="shared" si="1"/>
        <v>0.5763400000000003</v>
      </c>
      <c r="J19" s="458"/>
      <c r="K19" s="380"/>
      <c r="L19" s="381"/>
      <c r="M19" s="152"/>
      <c r="N19" s="459"/>
      <c r="O19" s="379"/>
    </row>
    <row r="20" spans="1:15" x14ac:dyDescent="0.25">
      <c r="A20" s="47">
        <f t="shared" si="0"/>
        <v>14</v>
      </c>
      <c r="B20" s="51"/>
      <c r="C20" s="18" t="s">
        <v>7</v>
      </c>
      <c r="D20" s="145">
        <v>0.46017999999999998</v>
      </c>
      <c r="E20" s="145">
        <f>'Rates in detail'!K20</f>
        <v>4.2360000000000002E-2</v>
      </c>
      <c r="F20" s="145">
        <f>SUM('Rates in detail'!O20:Q20)</f>
        <v>-2.2539999999999998E-2</v>
      </c>
      <c r="G20" s="145">
        <v>-2.0650000000000002E-2</v>
      </c>
      <c r="H20" s="145">
        <f>[3]Temporaries!$AF$20</f>
        <v>7.3359999999999981E-2</v>
      </c>
      <c r="I20" s="378">
        <f t="shared" si="1"/>
        <v>0.53271000000000002</v>
      </c>
      <c r="J20" s="458"/>
      <c r="K20" s="380"/>
      <c r="L20" s="381"/>
      <c r="M20" s="152"/>
      <c r="N20" s="459"/>
      <c r="O20" s="379"/>
    </row>
    <row r="21" spans="1:15" x14ac:dyDescent="0.25">
      <c r="A21" s="47">
        <f t="shared" si="0"/>
        <v>15</v>
      </c>
      <c r="B21" s="47" t="s">
        <v>167</v>
      </c>
      <c r="C21" s="15" t="s">
        <v>6</v>
      </c>
      <c r="D21" s="152">
        <v>0.51518999999999993</v>
      </c>
      <c r="E21" s="152">
        <f>'Rates in detail'!K21</f>
        <v>4.734E-2</v>
      </c>
      <c r="F21" s="152">
        <f>SUM('Rates in detail'!O21:Q21)</f>
        <v>-2.5819999999999999E-2</v>
      </c>
      <c r="G21" s="152">
        <v>-2.0650000000000002E-2</v>
      </c>
      <c r="H21" s="152">
        <f>[3]Temporaries!$AF$21</f>
        <v>7.5560000000000002E-2</v>
      </c>
      <c r="I21" s="382">
        <f t="shared" si="1"/>
        <v>0.59161999999999992</v>
      </c>
      <c r="J21" s="458"/>
      <c r="K21" s="380"/>
      <c r="L21" s="381"/>
      <c r="M21" s="152"/>
      <c r="N21" s="459"/>
      <c r="O21" s="379"/>
    </row>
    <row r="22" spans="1:15" x14ac:dyDescent="0.25">
      <c r="A22" s="47">
        <f t="shared" si="0"/>
        <v>16</v>
      </c>
      <c r="B22" s="51"/>
      <c r="C22" s="18" t="s">
        <v>7</v>
      </c>
      <c r="D22" s="145">
        <v>0.47625999999999991</v>
      </c>
      <c r="E22" s="145">
        <f>'Rates in detail'!K22</f>
        <v>4.1709999999999997E-2</v>
      </c>
      <c r="F22" s="145">
        <f>SUM('Rates in detail'!O22:Q22)</f>
        <v>-2.2749999999999999E-2</v>
      </c>
      <c r="G22" s="145">
        <v>-2.0650000000000002E-2</v>
      </c>
      <c r="H22" s="145">
        <f>[3]Temporaries!$AF$22</f>
        <v>7.3829999999999993E-2</v>
      </c>
      <c r="I22" s="378">
        <f t="shared" si="1"/>
        <v>0.54839999999999989</v>
      </c>
      <c r="J22" s="458"/>
      <c r="K22" s="380"/>
      <c r="L22" s="381"/>
      <c r="M22" s="152"/>
      <c r="N22" s="459"/>
      <c r="O22" s="379"/>
    </row>
    <row r="23" spans="1:15" x14ac:dyDescent="0.25">
      <c r="A23" s="47">
        <f t="shared" si="0"/>
        <v>17</v>
      </c>
      <c r="B23" s="47" t="s">
        <v>109</v>
      </c>
      <c r="C23" s="15" t="s">
        <v>6</v>
      </c>
      <c r="D23" s="152">
        <v>0.30018999999999996</v>
      </c>
      <c r="E23" s="152">
        <f>'Rates in detail'!K23</f>
        <v>5.2569999999999999E-2</v>
      </c>
      <c r="F23" s="152">
        <f>SUM('Rates in detail'!O23:Q23)</f>
        <v>-2.7960000000000002E-2</v>
      </c>
      <c r="G23" s="152">
        <v>0</v>
      </c>
      <c r="H23" s="152">
        <f>[3]Temporaries!$AF$23</f>
        <v>9.0000000000000019E-5</v>
      </c>
      <c r="I23" s="382">
        <f t="shared" si="1"/>
        <v>0.32488999999999996</v>
      </c>
      <c r="J23" s="458"/>
      <c r="K23" s="380"/>
      <c r="L23" s="381"/>
      <c r="M23" s="152"/>
      <c r="N23" s="459"/>
      <c r="O23" s="379"/>
    </row>
    <row r="24" spans="1:15" x14ac:dyDescent="0.25">
      <c r="A24" s="47">
        <f t="shared" si="0"/>
        <v>18</v>
      </c>
      <c r="B24" s="51"/>
      <c r="C24" s="18" t="s">
        <v>7</v>
      </c>
      <c r="D24" s="145">
        <v>0.26449</v>
      </c>
      <c r="E24" s="145">
        <f>'Rates in detail'!K24</f>
        <v>4.632E-2</v>
      </c>
      <c r="F24" s="145">
        <f>SUM('Rates in detail'!O24:Q24)</f>
        <v>-2.4639999999999999E-2</v>
      </c>
      <c r="G24" s="145">
        <v>0</v>
      </c>
      <c r="H24" s="145">
        <f>[3]Temporaries!$AF$24</f>
        <v>8.0000000000000047E-5</v>
      </c>
      <c r="I24" s="378">
        <f t="shared" si="1"/>
        <v>0.28625000000000006</v>
      </c>
      <c r="J24" s="458"/>
      <c r="K24" s="380"/>
      <c r="L24" s="381"/>
      <c r="M24" s="152"/>
      <c r="N24" s="459"/>
      <c r="O24" s="379"/>
    </row>
    <row r="25" spans="1:15" x14ac:dyDescent="0.25">
      <c r="A25" s="47">
        <f t="shared" si="0"/>
        <v>19</v>
      </c>
      <c r="B25" s="47" t="s">
        <v>168</v>
      </c>
      <c r="C25" s="15" t="s">
        <v>6</v>
      </c>
      <c r="D25" s="152">
        <v>0.47592000000000023</v>
      </c>
      <c r="E25" s="152">
        <f>'Rates in detail'!K25</f>
        <v>4.7379999999999999E-2</v>
      </c>
      <c r="F25" s="152">
        <f>SUM('Rates in detail'!O25:Q25)</f>
        <v>-2.5210000000000003E-2</v>
      </c>
      <c r="G25" s="152">
        <v>-2.0650000000000002E-2</v>
      </c>
      <c r="H25" s="152">
        <f>[3]Temporaries!$AF$25</f>
        <v>5.8779999999999992E-2</v>
      </c>
      <c r="I25" s="382">
        <f t="shared" si="1"/>
        <v>0.53622000000000014</v>
      </c>
      <c r="J25" s="458"/>
      <c r="K25" s="380"/>
      <c r="L25" s="381"/>
      <c r="M25" s="152"/>
      <c r="N25" s="459"/>
      <c r="O25" s="379"/>
    </row>
    <row r="26" spans="1:15" x14ac:dyDescent="0.25">
      <c r="A26" s="47">
        <f t="shared" si="0"/>
        <v>20</v>
      </c>
      <c r="B26" s="51"/>
      <c r="C26" s="18" t="s">
        <v>7</v>
      </c>
      <c r="D26" s="145">
        <v>0.43959999999999988</v>
      </c>
      <c r="E26" s="145">
        <f>'Rates in detail'!K26</f>
        <v>4.1750000000000002E-2</v>
      </c>
      <c r="F26" s="145">
        <f>SUM('Rates in detail'!O26:Q26)</f>
        <v>-2.222E-2</v>
      </c>
      <c r="G26" s="145">
        <v>-2.0650000000000002E-2</v>
      </c>
      <c r="H26" s="145">
        <f>[3]Temporaries!$AF$26</f>
        <v>5.8879999999999995E-2</v>
      </c>
      <c r="I26" s="378">
        <f t="shared" si="1"/>
        <v>0.49735999999999986</v>
      </c>
      <c r="J26" s="458"/>
      <c r="K26" s="380"/>
      <c r="L26" s="381"/>
      <c r="M26" s="152"/>
      <c r="N26" s="459"/>
      <c r="O26" s="379"/>
    </row>
    <row r="27" spans="1:15" x14ac:dyDescent="0.25">
      <c r="A27" s="47">
        <f t="shared" si="0"/>
        <v>21</v>
      </c>
      <c r="B27" s="47" t="s">
        <v>169</v>
      </c>
      <c r="C27" s="15" t="s">
        <v>6</v>
      </c>
      <c r="D27" s="152">
        <v>0.4930000000000001</v>
      </c>
      <c r="E27" s="152">
        <f>'Rates in detail'!K27</f>
        <v>4.734E-2</v>
      </c>
      <c r="F27" s="152">
        <f>SUM('Rates in detail'!O27:Q27)</f>
        <v>-2.5819999999999999E-2</v>
      </c>
      <c r="G27" s="152">
        <v>-2.0650000000000002E-2</v>
      </c>
      <c r="H27" s="152">
        <f>[3]Temporaries!$AF$27</f>
        <v>6.0329999999999995E-2</v>
      </c>
      <c r="I27" s="382">
        <f t="shared" si="1"/>
        <v>0.55420000000000025</v>
      </c>
      <c r="J27" s="458"/>
      <c r="K27" s="380"/>
      <c r="L27" s="381"/>
      <c r="M27" s="152"/>
      <c r="N27" s="459"/>
      <c r="O27" s="379"/>
    </row>
    <row r="28" spans="1:15" x14ac:dyDescent="0.25">
      <c r="A28" s="47">
        <f t="shared" si="0"/>
        <v>22</v>
      </c>
      <c r="B28" s="51"/>
      <c r="C28" s="18" t="s">
        <v>7</v>
      </c>
      <c r="D28" s="145">
        <v>0.45670999999999995</v>
      </c>
      <c r="E28" s="145">
        <f>'Rates in detail'!K28</f>
        <v>4.1709999999999997E-2</v>
      </c>
      <c r="F28" s="145">
        <f>SUM('Rates in detail'!O28:Q28)</f>
        <v>-2.2749999999999999E-2</v>
      </c>
      <c r="G28" s="145">
        <v>-2.0650000000000002E-2</v>
      </c>
      <c r="H28" s="145">
        <f>[3]Temporaries!$AF$28</f>
        <v>6.0409999999999991E-2</v>
      </c>
      <c r="I28" s="378">
        <f t="shared" si="1"/>
        <v>0.51542999999999994</v>
      </c>
      <c r="J28" s="458"/>
      <c r="K28" s="380"/>
      <c r="L28" s="381"/>
      <c r="M28" s="152"/>
      <c r="N28" s="459"/>
      <c r="O28" s="379"/>
    </row>
    <row r="29" spans="1:15" x14ac:dyDescent="0.25">
      <c r="A29" s="47">
        <f t="shared" si="0"/>
        <v>23</v>
      </c>
      <c r="B29" s="47" t="s">
        <v>110</v>
      </c>
      <c r="C29" s="15" t="s">
        <v>6</v>
      </c>
      <c r="D29" s="152">
        <v>0.30433999999999994</v>
      </c>
      <c r="E29" s="152">
        <f>'Rates in detail'!K29</f>
        <v>3.6949999999999997E-2</v>
      </c>
      <c r="F29" s="152">
        <f>SUM('Rates in detail'!O29:Q29)</f>
        <v>-1.678E-2</v>
      </c>
      <c r="G29" s="152">
        <v>-2.0650000000000002E-2</v>
      </c>
      <c r="H29" s="383">
        <f>[3]Temporaries!$AF29</f>
        <v>6.7649999999999988E-2</v>
      </c>
      <c r="I29" s="382">
        <f t="shared" si="1"/>
        <v>0.3715099999999999</v>
      </c>
      <c r="J29" s="458"/>
      <c r="K29" s="380"/>
      <c r="L29" s="381"/>
      <c r="M29" s="152"/>
      <c r="N29" s="459"/>
      <c r="O29" s="379"/>
    </row>
    <row r="30" spans="1:15" x14ac:dyDescent="0.25">
      <c r="A30" s="47">
        <f t="shared" si="0"/>
        <v>24</v>
      </c>
      <c r="B30" s="47"/>
      <c r="C30" s="15" t="s">
        <v>7</v>
      </c>
      <c r="D30" s="152">
        <v>0.29029999999999978</v>
      </c>
      <c r="E30" s="152">
        <f>'Rates in detail'!K30</f>
        <v>3.3070000000000002E-2</v>
      </c>
      <c r="F30" s="152">
        <f>SUM('Rates in detail'!O30:Q30)</f>
        <v>-1.5029999999999998E-2</v>
      </c>
      <c r="G30" s="152">
        <v>-2.0650000000000002E-2</v>
      </c>
      <c r="H30" s="283">
        <f>[3]Temporaries!$AF30</f>
        <v>6.6809999999999994E-2</v>
      </c>
      <c r="I30" s="382">
        <f t="shared" si="1"/>
        <v>0.35449999999999976</v>
      </c>
      <c r="J30" s="458"/>
      <c r="K30" s="380"/>
      <c r="L30" s="381"/>
      <c r="M30" s="152"/>
      <c r="N30" s="459"/>
      <c r="O30" s="379"/>
    </row>
    <row r="31" spans="1:15" x14ac:dyDescent="0.25">
      <c r="A31" s="47">
        <f t="shared" si="0"/>
        <v>25</v>
      </c>
      <c r="B31" s="47"/>
      <c r="C31" s="15" t="s">
        <v>8</v>
      </c>
      <c r="D31" s="152">
        <v>0.26236999999999994</v>
      </c>
      <c r="E31" s="152">
        <f>'Rates in detail'!K31</f>
        <v>2.537E-2</v>
      </c>
      <c r="F31" s="152">
        <f>SUM('Rates in detail'!O31:Q31)</f>
        <v>-1.1519999999999999E-2</v>
      </c>
      <c r="G31" s="152">
        <v>-2.0650000000000002E-2</v>
      </c>
      <c r="H31" s="283">
        <f>[3]Temporaries!$AF31</f>
        <v>6.5099999999999991E-2</v>
      </c>
      <c r="I31" s="382">
        <f t="shared" si="1"/>
        <v>0.32066999999999996</v>
      </c>
      <c r="J31" s="458"/>
      <c r="K31" s="380"/>
      <c r="L31" s="381"/>
      <c r="M31" s="152"/>
      <c r="N31" s="459"/>
      <c r="O31" s="379"/>
    </row>
    <row r="32" spans="1:15" x14ac:dyDescent="0.25">
      <c r="A32" s="47">
        <f t="shared" si="0"/>
        <v>26</v>
      </c>
      <c r="B32" s="47"/>
      <c r="C32" s="15" t="s">
        <v>9</v>
      </c>
      <c r="D32" s="152">
        <v>0.2439800000000002</v>
      </c>
      <c r="E32" s="152">
        <f>'Rates in detail'!K32</f>
        <v>2.0289999999999999E-2</v>
      </c>
      <c r="F32" s="152">
        <f>SUM('Rates in detail'!O32:Q32)</f>
        <v>-9.219999999999999E-3</v>
      </c>
      <c r="G32" s="152">
        <v>-2.0650000000000002E-2</v>
      </c>
      <c r="H32" s="283">
        <f>[3]Temporaries!$AF32</f>
        <v>6.3979999999999995E-2</v>
      </c>
      <c r="I32" s="382">
        <f t="shared" si="1"/>
        <v>0.29838000000000015</v>
      </c>
      <c r="J32" s="458"/>
      <c r="K32" s="380"/>
      <c r="L32" s="381"/>
      <c r="M32" s="152"/>
      <c r="N32" s="459"/>
      <c r="O32" s="379"/>
    </row>
    <row r="33" spans="1:15" x14ac:dyDescent="0.25">
      <c r="A33" s="47">
        <f t="shared" si="0"/>
        <v>27</v>
      </c>
      <c r="B33" s="47"/>
      <c r="C33" s="15" t="s">
        <v>10</v>
      </c>
      <c r="D33" s="152">
        <v>0.21944999999999995</v>
      </c>
      <c r="E33" s="152">
        <f>'Rates in detail'!K33</f>
        <v>1.3520000000000001E-2</v>
      </c>
      <c r="F33" s="152">
        <f>SUM('Rates in detail'!O33:Q33)</f>
        <v>-6.1400000000000005E-3</v>
      </c>
      <c r="G33" s="152">
        <v>-2.0650000000000002E-2</v>
      </c>
      <c r="H33" s="283">
        <f>[3]Temporaries!$AF33</f>
        <v>6.2499999999999993E-2</v>
      </c>
      <c r="I33" s="382">
        <f t="shared" si="1"/>
        <v>0.26867999999999992</v>
      </c>
      <c r="J33" s="458"/>
      <c r="K33" s="380"/>
      <c r="L33" s="381"/>
      <c r="M33" s="152"/>
      <c r="N33" s="459"/>
      <c r="O33" s="379"/>
    </row>
    <row r="34" spans="1:15" x14ac:dyDescent="0.25">
      <c r="A34" s="47">
        <f t="shared" si="0"/>
        <v>28</v>
      </c>
      <c r="B34" s="51"/>
      <c r="C34" s="18" t="s">
        <v>11</v>
      </c>
      <c r="D34" s="145">
        <v>0.18881000000000006</v>
      </c>
      <c r="E34" s="145">
        <f>'Rates in detail'!K34</f>
        <v>5.0699999999999999E-3</v>
      </c>
      <c r="F34" s="145">
        <f>SUM('Rates in detail'!O34:Q34)</f>
        <v>-2.31E-3</v>
      </c>
      <c r="G34" s="145">
        <v>-2.0650000000000002E-2</v>
      </c>
      <c r="H34" s="282">
        <f>[3]Temporaries!$AF34</f>
        <v>6.0619999999999993E-2</v>
      </c>
      <c r="I34" s="378">
        <f t="shared" si="1"/>
        <v>0.23154000000000002</v>
      </c>
      <c r="J34" s="458"/>
      <c r="K34" s="380"/>
      <c r="L34" s="381"/>
      <c r="M34" s="152"/>
      <c r="N34" s="459"/>
      <c r="O34" s="379"/>
    </row>
    <row r="35" spans="1:15" x14ac:dyDescent="0.25">
      <c r="A35" s="47">
        <f t="shared" si="0"/>
        <v>29</v>
      </c>
      <c r="B35" s="47" t="s">
        <v>111</v>
      </c>
      <c r="C35" s="15" t="s">
        <v>6</v>
      </c>
      <c r="D35" s="152">
        <v>0.29139999999999999</v>
      </c>
      <c r="E35" s="152">
        <f>'Rates in detail'!K35</f>
        <v>3.1390000000000001E-2</v>
      </c>
      <c r="F35" s="152">
        <f>SUM('Rates in detail'!O35:Q35)</f>
        <v>-1.489E-2</v>
      </c>
      <c r="G35" s="152">
        <v>-2.0650000000000002E-2</v>
      </c>
      <c r="H35" s="152">
        <f>[3]Temporaries!$AF35</f>
        <v>5.9159999999999997E-2</v>
      </c>
      <c r="I35" s="382">
        <f t="shared" si="1"/>
        <v>0.34641</v>
      </c>
      <c r="J35" s="458"/>
      <c r="K35" s="380"/>
      <c r="L35" s="381"/>
      <c r="M35" s="152"/>
      <c r="N35" s="459"/>
      <c r="O35" s="379"/>
    </row>
    <row r="36" spans="1:15" x14ac:dyDescent="0.25">
      <c r="A36" s="47">
        <f t="shared" si="0"/>
        <v>30</v>
      </c>
      <c r="B36" s="47"/>
      <c r="C36" s="15" t="s">
        <v>7</v>
      </c>
      <c r="D36" s="152">
        <v>0.27872000000000008</v>
      </c>
      <c r="E36" s="152">
        <f>'Rates in detail'!K36</f>
        <v>2.81E-2</v>
      </c>
      <c r="F36" s="152">
        <f>SUM('Rates in detail'!O36:Q36)</f>
        <v>-1.333E-2</v>
      </c>
      <c r="G36" s="152">
        <v>-2.0650000000000002E-2</v>
      </c>
      <c r="H36" s="152">
        <f>[3]Temporaries!$AF36</f>
        <v>5.9199999999999996E-2</v>
      </c>
      <c r="I36" s="382">
        <f t="shared" si="1"/>
        <v>0.33204000000000006</v>
      </c>
      <c r="J36" s="458"/>
      <c r="K36" s="380"/>
      <c r="L36" s="381"/>
      <c r="M36" s="152"/>
      <c r="N36" s="459"/>
      <c r="O36" s="379"/>
    </row>
    <row r="37" spans="1:15" x14ac:dyDescent="0.25">
      <c r="A37" s="47">
        <f t="shared" si="0"/>
        <v>31</v>
      </c>
      <c r="B37" s="47"/>
      <c r="C37" s="15" t="s">
        <v>8</v>
      </c>
      <c r="D37" s="152">
        <v>0.25346999999999992</v>
      </c>
      <c r="E37" s="152">
        <f>'Rates in detail'!K37</f>
        <v>2.155E-2</v>
      </c>
      <c r="F37" s="152">
        <f>SUM('Rates in detail'!O37:Q37)</f>
        <v>-1.0230000000000001E-2</v>
      </c>
      <c r="G37" s="152">
        <v>-2.0650000000000002E-2</v>
      </c>
      <c r="H37" s="152">
        <f>[3]Temporaries!$AF37</f>
        <v>5.9269999999999989E-2</v>
      </c>
      <c r="I37" s="382">
        <f t="shared" si="1"/>
        <v>0.3034099999999999</v>
      </c>
      <c r="J37" s="458"/>
      <c r="K37" s="380"/>
      <c r="L37" s="381"/>
      <c r="M37" s="152"/>
      <c r="N37" s="459"/>
      <c r="O37" s="379"/>
    </row>
    <row r="38" spans="1:15" x14ac:dyDescent="0.25">
      <c r="A38" s="47">
        <f t="shared" si="0"/>
        <v>32</v>
      </c>
      <c r="B38" s="47"/>
      <c r="C38" s="15" t="s">
        <v>9</v>
      </c>
      <c r="D38" s="152">
        <v>0.23686000000000015</v>
      </c>
      <c r="E38" s="152">
        <f>'Rates in detail'!K38</f>
        <v>1.7239999999999998E-2</v>
      </c>
      <c r="F38" s="152">
        <f>SUM('Rates in detail'!O38:Q38)</f>
        <v>-8.1799999999999998E-3</v>
      </c>
      <c r="G38" s="152">
        <v>-2.0650000000000002E-2</v>
      </c>
      <c r="H38" s="152">
        <f>[3]Temporaries!$AF38</f>
        <v>5.9319999999999998E-2</v>
      </c>
      <c r="I38" s="382">
        <f t="shared" si="1"/>
        <v>0.28459000000000018</v>
      </c>
      <c r="J38" s="458"/>
      <c r="K38" s="380"/>
      <c r="L38" s="381"/>
      <c r="M38" s="152"/>
      <c r="N38" s="459"/>
      <c r="O38" s="379"/>
    </row>
    <row r="39" spans="1:15" x14ac:dyDescent="0.25">
      <c r="A39" s="47">
        <f t="shared" si="0"/>
        <v>33</v>
      </c>
      <c r="B39" s="47"/>
      <c r="C39" s="15" t="s">
        <v>10</v>
      </c>
      <c r="D39" s="152">
        <v>0.2147300000000002</v>
      </c>
      <c r="E39" s="152">
        <f>'Rates in detail'!K39</f>
        <v>1.15E-2</v>
      </c>
      <c r="F39" s="152">
        <f>SUM('Rates in detail'!O39:Q39)</f>
        <v>-5.45E-3</v>
      </c>
      <c r="G39" s="152">
        <v>-2.0650000000000002E-2</v>
      </c>
      <c r="H39" s="152">
        <f>[3]Temporaries!$AF39</f>
        <v>5.9379999999999995E-2</v>
      </c>
      <c r="I39" s="382">
        <f t="shared" si="1"/>
        <v>0.25951000000000018</v>
      </c>
      <c r="J39" s="458"/>
      <c r="K39" s="380"/>
      <c r="L39" s="381"/>
      <c r="M39" s="152"/>
      <c r="N39" s="459"/>
      <c r="O39" s="379"/>
    </row>
    <row r="40" spans="1:15" x14ac:dyDescent="0.25">
      <c r="A40" s="47">
        <f t="shared" si="0"/>
        <v>34</v>
      </c>
      <c r="B40" s="51"/>
      <c r="C40" s="18" t="s">
        <v>11</v>
      </c>
      <c r="D40" s="145">
        <v>0.18703999999999993</v>
      </c>
      <c r="E40" s="145">
        <f>'Rates in detail'!K40</f>
        <v>4.3099999999999996E-3</v>
      </c>
      <c r="F40" s="145">
        <f>SUM('Rates in detail'!O40:Q40)</f>
        <v>-2.0500000000000002E-3</v>
      </c>
      <c r="G40" s="145">
        <v>-2.0650000000000002E-2</v>
      </c>
      <c r="H40" s="282">
        <f>[3]Temporaries!$AF40</f>
        <v>5.9449999999999989E-2</v>
      </c>
      <c r="I40" s="378">
        <f t="shared" si="1"/>
        <v>0.22809999999999991</v>
      </c>
      <c r="J40" s="458"/>
      <c r="K40" s="380"/>
      <c r="L40" s="381"/>
      <c r="M40" s="152"/>
      <c r="N40" s="459"/>
      <c r="O40" s="379"/>
    </row>
    <row r="41" spans="1:15" x14ac:dyDescent="0.25">
      <c r="A41" s="47">
        <f t="shared" si="0"/>
        <v>35</v>
      </c>
      <c r="B41" s="47" t="s">
        <v>265</v>
      </c>
      <c r="C41" s="15" t="s">
        <v>6</v>
      </c>
      <c r="D41" s="152">
        <v>0.11795</v>
      </c>
      <c r="E41" s="152">
        <f>'Rates in detail'!K41</f>
        <v>2.188E-2</v>
      </c>
      <c r="F41" s="152">
        <f>SUM('Rates in detail'!O41:Q41)</f>
        <v>-1.0999999999999999E-2</v>
      </c>
      <c r="G41" s="152">
        <v>0</v>
      </c>
      <c r="H41" s="152">
        <f>[3]Temporaries!$AF41</f>
        <v>9.9999999999999991E-6</v>
      </c>
      <c r="I41" s="382">
        <f t="shared" si="1"/>
        <v>0.12884000000000001</v>
      </c>
      <c r="J41" s="458"/>
      <c r="K41" s="380"/>
      <c r="L41" s="381"/>
      <c r="M41" s="152"/>
      <c r="N41" s="459"/>
      <c r="O41" s="379"/>
    </row>
    <row r="42" spans="1:15" x14ac:dyDescent="0.25">
      <c r="A42" s="47">
        <f t="shared" si="0"/>
        <v>36</v>
      </c>
      <c r="B42" s="47"/>
      <c r="C42" s="15" t="s">
        <v>7</v>
      </c>
      <c r="D42" s="152">
        <v>0.10557999999999999</v>
      </c>
      <c r="E42" s="152">
        <f>'Rates in detail'!K42</f>
        <v>1.959E-2</v>
      </c>
      <c r="F42" s="152">
        <f>SUM('Rates in detail'!O42:Q42)</f>
        <v>-9.8399999999999998E-3</v>
      </c>
      <c r="G42" s="152">
        <v>0</v>
      </c>
      <c r="H42" s="152">
        <f>[3]Temporaries!$AF42</f>
        <v>9.9999999999999991E-6</v>
      </c>
      <c r="I42" s="382">
        <f t="shared" si="1"/>
        <v>0.11534</v>
      </c>
      <c r="J42" s="458"/>
      <c r="K42" s="380"/>
      <c r="L42" s="381"/>
      <c r="M42" s="152"/>
      <c r="N42" s="459"/>
      <c r="O42" s="379"/>
    </row>
    <row r="43" spans="1:15" x14ac:dyDescent="0.25">
      <c r="A43" s="47">
        <f t="shared" si="0"/>
        <v>37</v>
      </c>
      <c r="B43" s="47"/>
      <c r="C43" s="15" t="s">
        <v>8</v>
      </c>
      <c r="D43" s="152">
        <v>8.0960000000000004E-2</v>
      </c>
      <c r="E43" s="152">
        <f>'Rates in detail'!K43</f>
        <v>1.502E-2</v>
      </c>
      <c r="F43" s="152">
        <f>SUM('Rates in detail'!O43:Q43)</f>
        <v>-7.5500000000000003E-3</v>
      </c>
      <c r="G43" s="152">
        <v>0</v>
      </c>
      <c r="H43" s="152">
        <f>[3]Temporaries!$AF43</f>
        <v>1.0000000000000026E-5</v>
      </c>
      <c r="I43" s="382">
        <f t="shared" si="1"/>
        <v>8.8440000000000005E-2</v>
      </c>
      <c r="J43" s="458"/>
      <c r="K43" s="380"/>
      <c r="L43" s="381"/>
      <c r="M43" s="152"/>
      <c r="N43" s="459"/>
      <c r="O43" s="379"/>
    </row>
    <row r="44" spans="1:15" x14ac:dyDescent="0.25">
      <c r="A44" s="47">
        <f t="shared" si="0"/>
        <v>38</v>
      </c>
      <c r="B44" s="47"/>
      <c r="C44" s="15" t="s">
        <v>9</v>
      </c>
      <c r="D44" s="152">
        <v>6.4769999999999994E-2</v>
      </c>
      <c r="E44" s="152">
        <f>'Rates in detail'!K44</f>
        <v>1.2019999999999999E-2</v>
      </c>
      <c r="F44" s="152">
        <f>SUM('Rates in detail'!O44:Q44)</f>
        <v>-6.0299999999999998E-3</v>
      </c>
      <c r="G44" s="152">
        <v>0</v>
      </c>
      <c r="H44" s="152">
        <f>[3]Temporaries!$AF44</f>
        <v>9.9999999999999856E-6</v>
      </c>
      <c r="I44" s="382">
        <f t="shared" si="1"/>
        <v>7.077E-2</v>
      </c>
      <c r="J44" s="458"/>
      <c r="K44" s="380"/>
      <c r="L44" s="381"/>
      <c r="M44" s="152"/>
      <c r="N44" s="459"/>
      <c r="O44" s="379"/>
    </row>
    <row r="45" spans="1:15" x14ac:dyDescent="0.25">
      <c r="A45" s="47">
        <f t="shared" si="0"/>
        <v>39</v>
      </c>
      <c r="B45" s="47"/>
      <c r="C45" s="15" t="s">
        <v>10</v>
      </c>
      <c r="D45" s="152">
        <v>4.3180000000000003E-2</v>
      </c>
      <c r="E45" s="152">
        <f>'Rates in detail'!K45</f>
        <v>8.0099999999999998E-3</v>
      </c>
      <c r="F45" s="152">
        <f>SUM('Rates in detail'!O45:Q45)</f>
        <v>-4.0200000000000001E-3</v>
      </c>
      <c r="G45" s="152">
        <v>0</v>
      </c>
      <c r="H45" s="152">
        <f>[3]Temporaries!$AF45</f>
        <v>9.9999999999999991E-6</v>
      </c>
      <c r="I45" s="382">
        <f t="shared" si="1"/>
        <v>4.718E-2</v>
      </c>
      <c r="J45" s="458"/>
      <c r="K45" s="380"/>
      <c r="L45" s="381"/>
      <c r="M45" s="152"/>
      <c r="N45" s="459"/>
      <c r="O45" s="379"/>
    </row>
    <row r="46" spans="1:15" x14ac:dyDescent="0.25">
      <c r="A46" s="47">
        <f t="shared" si="0"/>
        <v>40</v>
      </c>
      <c r="B46" s="51"/>
      <c r="C46" s="18" t="s">
        <v>11</v>
      </c>
      <c r="D46" s="145">
        <v>1.619E-2</v>
      </c>
      <c r="E46" s="145">
        <f>'Rates in detail'!K46</f>
        <v>3.0000000000000001E-3</v>
      </c>
      <c r="F46" s="145">
        <f>SUM('Rates in detail'!O46:Q46)</f>
        <v>-1.5100000000000001E-3</v>
      </c>
      <c r="G46" s="145">
        <v>0</v>
      </c>
      <c r="H46" s="282">
        <f>[3]Temporaries!$AF46</f>
        <v>0</v>
      </c>
      <c r="I46" s="378">
        <f t="shared" si="1"/>
        <v>1.7679999999999998E-2</v>
      </c>
      <c r="J46" s="458"/>
      <c r="K46" s="380"/>
      <c r="L46" s="381"/>
      <c r="M46" s="152"/>
      <c r="N46" s="459"/>
      <c r="O46" s="379"/>
    </row>
    <row r="47" spans="1:15" x14ac:dyDescent="0.25">
      <c r="A47" s="47">
        <f t="shared" si="0"/>
        <v>41</v>
      </c>
      <c r="B47" s="47" t="s">
        <v>266</v>
      </c>
      <c r="C47" s="15" t="s">
        <v>6</v>
      </c>
      <c r="D47" s="152">
        <v>0.11795</v>
      </c>
      <c r="E47" s="152">
        <f>'Rates in detail'!K47</f>
        <v>2.2780000000000002E-2</v>
      </c>
      <c r="F47" s="152">
        <f>SUM('Rates in detail'!O47:Q47)</f>
        <v>-7.9900000000000006E-3</v>
      </c>
      <c r="G47" s="152">
        <v>0</v>
      </c>
      <c r="H47" s="152">
        <f>H41</f>
        <v>9.9999999999999991E-6</v>
      </c>
      <c r="I47" s="382">
        <f t="shared" si="1"/>
        <v>0.13275000000000001</v>
      </c>
      <c r="J47" s="458"/>
      <c r="K47" s="380"/>
      <c r="L47" s="381"/>
      <c r="M47" s="152"/>
      <c r="N47" s="459"/>
      <c r="O47" s="379"/>
    </row>
    <row r="48" spans="1:15" x14ac:dyDescent="0.25">
      <c r="A48" s="47">
        <f t="shared" si="0"/>
        <v>42</v>
      </c>
      <c r="B48" s="47"/>
      <c r="C48" s="15" t="s">
        <v>7</v>
      </c>
      <c r="D48" s="152">
        <v>0.10557999999999999</v>
      </c>
      <c r="E48" s="152">
        <f>'Rates in detail'!K48</f>
        <v>2.0389999999999998E-2</v>
      </c>
      <c r="F48" s="152">
        <f>SUM('Rates in detail'!O48:Q48)</f>
        <v>-7.1500000000000001E-3</v>
      </c>
      <c r="G48" s="152">
        <v>0</v>
      </c>
      <c r="H48" s="152">
        <f t="shared" ref="H48:H52" si="2">H42</f>
        <v>9.9999999999999991E-6</v>
      </c>
      <c r="I48" s="382">
        <f t="shared" si="1"/>
        <v>0.11882999999999999</v>
      </c>
      <c r="J48" s="458"/>
      <c r="K48" s="380"/>
      <c r="L48" s="381"/>
      <c r="M48" s="152"/>
      <c r="N48" s="459"/>
      <c r="O48" s="379"/>
    </row>
    <row r="49" spans="1:15" x14ac:dyDescent="0.25">
      <c r="A49" s="47">
        <f t="shared" si="0"/>
        <v>43</v>
      </c>
      <c r="B49" s="47"/>
      <c r="C49" s="15" t="s">
        <v>8</v>
      </c>
      <c r="D49" s="152">
        <v>8.0960000000000004E-2</v>
      </c>
      <c r="E49" s="152">
        <f>'Rates in detail'!K49</f>
        <v>1.5640000000000001E-2</v>
      </c>
      <c r="F49" s="152">
        <f>SUM('Rates in detail'!O49:Q49)</f>
        <v>-5.4900000000000001E-3</v>
      </c>
      <c r="G49" s="152">
        <v>0</v>
      </c>
      <c r="H49" s="152">
        <f t="shared" si="2"/>
        <v>1.0000000000000026E-5</v>
      </c>
      <c r="I49" s="382">
        <f t="shared" si="1"/>
        <v>9.1120000000000007E-2</v>
      </c>
      <c r="J49" s="458"/>
      <c r="K49" s="380"/>
      <c r="L49" s="381"/>
      <c r="M49" s="152"/>
      <c r="N49" s="459"/>
      <c r="O49" s="379"/>
    </row>
    <row r="50" spans="1:15" x14ac:dyDescent="0.25">
      <c r="A50" s="47">
        <f t="shared" si="0"/>
        <v>44</v>
      </c>
      <c r="B50" s="47"/>
      <c r="C50" s="15" t="s">
        <v>9</v>
      </c>
      <c r="D50" s="152">
        <v>6.4769999999999994E-2</v>
      </c>
      <c r="E50" s="152">
        <f>'Rates in detail'!K50</f>
        <v>1.251E-2</v>
      </c>
      <c r="F50" s="152">
        <f>SUM('Rates in detail'!O50:Q50)</f>
        <v>-4.3800000000000002E-3</v>
      </c>
      <c r="G50" s="152">
        <v>0</v>
      </c>
      <c r="H50" s="152">
        <f t="shared" si="2"/>
        <v>9.9999999999999856E-6</v>
      </c>
      <c r="I50" s="382">
        <f t="shared" si="1"/>
        <v>7.2909999999999989E-2</v>
      </c>
      <c r="J50" s="458"/>
      <c r="K50" s="380"/>
      <c r="L50" s="381"/>
      <c r="M50" s="152"/>
      <c r="N50" s="459"/>
      <c r="O50" s="379"/>
    </row>
    <row r="51" spans="1:15" x14ac:dyDescent="0.25">
      <c r="A51" s="47">
        <f t="shared" si="0"/>
        <v>45</v>
      </c>
      <c r="B51" s="47"/>
      <c r="C51" s="15" t="s">
        <v>10</v>
      </c>
      <c r="D51" s="152">
        <v>4.3180000000000003E-2</v>
      </c>
      <c r="E51" s="152">
        <f>'Rates in detail'!K51</f>
        <v>8.3400000000000002E-3</v>
      </c>
      <c r="F51" s="152">
        <f>SUM('Rates in detail'!O51:Q51)</f>
        <v>-2.9300000000000003E-3</v>
      </c>
      <c r="G51" s="152">
        <v>0</v>
      </c>
      <c r="H51" s="152">
        <f t="shared" si="2"/>
        <v>9.9999999999999991E-6</v>
      </c>
      <c r="I51" s="382">
        <f t="shared" si="1"/>
        <v>4.8600000000000004E-2</v>
      </c>
      <c r="J51" s="458"/>
      <c r="K51" s="380"/>
      <c r="L51" s="381"/>
      <c r="M51" s="152"/>
      <c r="N51" s="459"/>
      <c r="O51" s="379"/>
    </row>
    <row r="52" spans="1:15" x14ac:dyDescent="0.25">
      <c r="A52" s="47">
        <f t="shared" si="0"/>
        <v>46</v>
      </c>
      <c r="B52" s="51"/>
      <c r="C52" s="18" t="s">
        <v>11</v>
      </c>
      <c r="D52" s="145">
        <v>1.619E-2</v>
      </c>
      <c r="E52" s="145">
        <f>'Rates in detail'!K52</f>
        <v>3.13E-3</v>
      </c>
      <c r="F52" s="145">
        <f>SUM('Rates in detail'!O52:Q52)</f>
        <v>-1.09E-3</v>
      </c>
      <c r="G52" s="145">
        <v>0</v>
      </c>
      <c r="H52" s="282">
        <f t="shared" si="2"/>
        <v>0</v>
      </c>
      <c r="I52" s="378">
        <f t="shared" si="1"/>
        <v>1.823E-2</v>
      </c>
      <c r="J52" s="458"/>
      <c r="K52" s="380"/>
      <c r="L52" s="381"/>
      <c r="M52" s="152"/>
      <c r="N52" s="459"/>
      <c r="O52" s="379"/>
    </row>
    <row r="53" spans="1:15" x14ac:dyDescent="0.25">
      <c r="A53" s="47">
        <f t="shared" si="0"/>
        <v>47</v>
      </c>
      <c r="B53" s="47" t="s">
        <v>170</v>
      </c>
      <c r="C53" s="15" t="s">
        <v>6</v>
      </c>
      <c r="D53" s="152">
        <v>0.31897999999999999</v>
      </c>
      <c r="E53" s="152">
        <f>'Rates in detail'!K53</f>
        <v>2.053E-2</v>
      </c>
      <c r="F53" s="152">
        <f>SUM('Rates in detail'!O53:Q53)</f>
        <v>-1.1689999999999999E-2</v>
      </c>
      <c r="G53" s="152">
        <v>-2.0650000000000002E-2</v>
      </c>
      <c r="H53" s="383">
        <f>[3]Temporaries!$AF47</f>
        <v>6.6299999999999998E-2</v>
      </c>
      <c r="I53" s="382">
        <f t="shared" si="1"/>
        <v>0.37346999999999997</v>
      </c>
      <c r="J53" s="458"/>
      <c r="K53" s="380"/>
      <c r="L53" s="381"/>
      <c r="M53" s="152"/>
      <c r="N53" s="459"/>
      <c r="O53" s="379"/>
    </row>
    <row r="54" spans="1:15" x14ac:dyDescent="0.25">
      <c r="A54" s="47">
        <f t="shared" si="0"/>
        <v>48</v>
      </c>
      <c r="B54" s="47"/>
      <c r="C54" s="15" t="s">
        <v>7</v>
      </c>
      <c r="D54" s="152">
        <v>0.30522999999999989</v>
      </c>
      <c r="E54" s="152">
        <f>'Rates in detail'!K54</f>
        <v>1.8380000000000001E-2</v>
      </c>
      <c r="F54" s="152">
        <f>SUM('Rates in detail'!O54:Q54)</f>
        <v>-1.0460000000000001E-2</v>
      </c>
      <c r="G54" s="152">
        <v>-2.0650000000000002E-2</v>
      </c>
      <c r="H54" s="283">
        <f>[3]Temporaries!$AF48</f>
        <v>6.5750000000000003E-2</v>
      </c>
      <c r="I54" s="382">
        <f t="shared" si="1"/>
        <v>0.35824999999999985</v>
      </c>
      <c r="J54" s="458"/>
      <c r="K54" s="380"/>
      <c r="L54" s="381"/>
      <c r="M54" s="152"/>
      <c r="N54" s="459"/>
      <c r="O54" s="379"/>
    </row>
    <row r="55" spans="1:15" x14ac:dyDescent="0.25">
      <c r="A55" s="47">
        <f t="shared" si="0"/>
        <v>49</v>
      </c>
      <c r="B55" s="47"/>
      <c r="C55" s="15" t="s">
        <v>8</v>
      </c>
      <c r="D55" s="152">
        <v>0.27787000000000012</v>
      </c>
      <c r="E55" s="152">
        <f>'Rates in detail'!K55</f>
        <v>1.409E-2</v>
      </c>
      <c r="F55" s="152">
        <f>SUM('Rates in detail'!O55:Q55)</f>
        <v>-8.0199999999999994E-3</v>
      </c>
      <c r="G55" s="152">
        <v>-2.0650000000000002E-2</v>
      </c>
      <c r="H55" s="283">
        <f>[3]Temporaries!$AF49</f>
        <v>6.4629999999999993E-2</v>
      </c>
      <c r="I55" s="382">
        <f t="shared" si="1"/>
        <v>0.3279200000000001</v>
      </c>
      <c r="J55" s="458"/>
      <c r="K55" s="380"/>
      <c r="L55" s="381"/>
      <c r="M55" s="152"/>
      <c r="N55" s="459"/>
      <c r="O55" s="379"/>
    </row>
    <row r="56" spans="1:15" x14ac:dyDescent="0.25">
      <c r="A56" s="47">
        <f t="shared" si="0"/>
        <v>50</v>
      </c>
      <c r="B56" s="47"/>
      <c r="C56" s="15" t="s">
        <v>9</v>
      </c>
      <c r="D56" s="152">
        <v>0.25987999999999994</v>
      </c>
      <c r="E56" s="152">
        <f>'Rates in detail'!K56</f>
        <v>1.128E-2</v>
      </c>
      <c r="F56" s="152">
        <f>SUM('Rates in detail'!O56:Q56)</f>
        <v>-6.4200000000000004E-3</v>
      </c>
      <c r="G56" s="152">
        <v>-2.0650000000000002E-2</v>
      </c>
      <c r="H56" s="283">
        <f>[3]Temporaries!$AF50</f>
        <v>6.3899999999999998E-2</v>
      </c>
      <c r="I56" s="382">
        <f t="shared" si="1"/>
        <v>0.30798999999999999</v>
      </c>
      <c r="J56" s="458"/>
      <c r="K56" s="380"/>
      <c r="L56" s="381"/>
      <c r="M56" s="152"/>
      <c r="N56" s="459"/>
      <c r="O56" s="379"/>
    </row>
    <row r="57" spans="1:15" x14ac:dyDescent="0.25">
      <c r="A57" s="47">
        <f t="shared" si="0"/>
        <v>51</v>
      </c>
      <c r="B57" s="47"/>
      <c r="C57" s="15" t="s">
        <v>10</v>
      </c>
      <c r="D57" s="152">
        <v>0.23588000000000003</v>
      </c>
      <c r="E57" s="152">
        <f>'Rates in detail'!K57</f>
        <v>7.5199999999999998E-3</v>
      </c>
      <c r="F57" s="152">
        <f>SUM('Rates in detail'!O57:Q57)</f>
        <v>-4.28E-3</v>
      </c>
      <c r="G57" s="152">
        <v>-2.0650000000000002E-2</v>
      </c>
      <c r="H57" s="283">
        <f>[3]Temporaries!$AF51</f>
        <v>6.2939999999999996E-2</v>
      </c>
      <c r="I57" s="382">
        <f t="shared" si="1"/>
        <v>0.28141000000000005</v>
      </c>
      <c r="J57" s="458"/>
      <c r="K57" s="380"/>
      <c r="L57" s="381"/>
      <c r="M57" s="152"/>
      <c r="N57" s="459"/>
      <c r="O57" s="379"/>
    </row>
    <row r="58" spans="1:15" x14ac:dyDescent="0.25">
      <c r="A58" s="47">
        <f t="shared" si="0"/>
        <v>52</v>
      </c>
      <c r="B58" s="51"/>
      <c r="C58" s="18" t="s">
        <v>11</v>
      </c>
      <c r="D58" s="145">
        <v>0.20589999999999992</v>
      </c>
      <c r="E58" s="145">
        <f>'Rates in detail'!K58</f>
        <v>2.82E-3</v>
      </c>
      <c r="F58" s="145">
        <f>SUM('Rates in detail'!O58:Q58)</f>
        <v>-1.5999999999999999E-3</v>
      </c>
      <c r="G58" s="145">
        <v>-2.0650000000000002E-2</v>
      </c>
      <c r="H58" s="282">
        <f>[3]Temporaries!$AF52</f>
        <v>6.1719999999999997E-2</v>
      </c>
      <c r="I58" s="378">
        <f t="shared" si="1"/>
        <v>0.24818999999999991</v>
      </c>
      <c r="J58" s="458"/>
      <c r="K58" s="380"/>
      <c r="L58" s="381"/>
      <c r="M58" s="152"/>
      <c r="N58" s="459"/>
      <c r="O58" s="379"/>
    </row>
    <row r="59" spans="1:15" x14ac:dyDescent="0.25">
      <c r="A59" s="47">
        <f t="shared" si="0"/>
        <v>53</v>
      </c>
      <c r="B59" s="47" t="s">
        <v>171</v>
      </c>
      <c r="C59" s="15" t="s">
        <v>6</v>
      </c>
      <c r="D59" s="152">
        <v>0.30886999999999998</v>
      </c>
      <c r="E59" s="152">
        <f>'Rates in detail'!K59</f>
        <v>3.0089999999999999E-2</v>
      </c>
      <c r="F59" s="152">
        <f>SUM('Rates in detail'!O59:Q59)</f>
        <v>-1.52E-2</v>
      </c>
      <c r="G59" s="152">
        <v>-2.0650000000000002E-2</v>
      </c>
      <c r="H59" s="383">
        <f>[3]Temporaries!$AF53</f>
        <v>6.1059999999999989E-2</v>
      </c>
      <c r="I59" s="382">
        <f t="shared" si="1"/>
        <v>0.36416999999999999</v>
      </c>
      <c r="J59" s="458"/>
      <c r="K59" s="380"/>
      <c r="L59" s="381"/>
      <c r="M59" s="152"/>
      <c r="N59" s="459"/>
      <c r="O59" s="379"/>
    </row>
    <row r="60" spans="1:15" x14ac:dyDescent="0.25">
      <c r="A60" s="47">
        <f t="shared" si="0"/>
        <v>54</v>
      </c>
      <c r="B60" s="47"/>
      <c r="C60" s="15" t="s">
        <v>7</v>
      </c>
      <c r="D60" s="152">
        <v>0.29617999999999989</v>
      </c>
      <c r="E60" s="152">
        <f>'Rates in detail'!K60</f>
        <v>2.6939999999999999E-2</v>
      </c>
      <c r="F60" s="152">
        <f>SUM('Rates in detail'!O60:Q60)</f>
        <v>-1.3599999999999999E-2</v>
      </c>
      <c r="G60" s="152">
        <v>-2.0650000000000002E-2</v>
      </c>
      <c r="H60" s="283">
        <f>[3]Temporaries!$AF54</f>
        <v>6.1060000000000003E-2</v>
      </c>
      <c r="I60" s="382">
        <f t="shared" si="1"/>
        <v>0.34992999999999991</v>
      </c>
      <c r="J60" s="458"/>
      <c r="K60" s="380"/>
      <c r="L60" s="381"/>
      <c r="M60" s="152"/>
      <c r="N60" s="459"/>
      <c r="O60" s="379"/>
    </row>
    <row r="61" spans="1:15" x14ac:dyDescent="0.25">
      <c r="A61" s="47">
        <f t="shared" si="0"/>
        <v>55</v>
      </c>
      <c r="B61" s="47"/>
      <c r="C61" s="15" t="s">
        <v>8</v>
      </c>
      <c r="D61" s="152">
        <v>0.27094000000000013</v>
      </c>
      <c r="E61" s="152">
        <f>'Rates in detail'!K61</f>
        <v>2.0660000000000001E-2</v>
      </c>
      <c r="F61" s="152">
        <f>SUM('Rates in detail'!O61:Q61)</f>
        <v>-1.0440000000000001E-2</v>
      </c>
      <c r="G61" s="152">
        <v>-2.0650000000000002E-2</v>
      </c>
      <c r="H61" s="283">
        <f>[3]Temporaries!$AF55</f>
        <v>6.1039999999999997E-2</v>
      </c>
      <c r="I61" s="382">
        <f t="shared" si="1"/>
        <v>0.32155000000000011</v>
      </c>
      <c r="J61" s="458"/>
      <c r="K61" s="380"/>
      <c r="L61" s="381"/>
      <c r="M61" s="152"/>
      <c r="N61" s="459"/>
      <c r="O61" s="379"/>
    </row>
    <row r="62" spans="1:15" x14ac:dyDescent="0.25">
      <c r="A62" s="47">
        <f t="shared" si="0"/>
        <v>56</v>
      </c>
      <c r="B62" s="47"/>
      <c r="C62" s="15" t="s">
        <v>9</v>
      </c>
      <c r="D62" s="152">
        <v>0.25432999999999983</v>
      </c>
      <c r="E62" s="152">
        <f>'Rates in detail'!K62</f>
        <v>1.653E-2</v>
      </c>
      <c r="F62" s="152">
        <f>SUM('Rates in detail'!O62:Q62)</f>
        <v>-8.3400000000000002E-3</v>
      </c>
      <c r="G62" s="152">
        <v>-2.0650000000000002E-2</v>
      </c>
      <c r="H62" s="283">
        <f>[3]Temporaries!$AF56</f>
        <v>6.1019999999999991E-2</v>
      </c>
      <c r="I62" s="382">
        <f t="shared" si="1"/>
        <v>0.30288999999999977</v>
      </c>
      <c r="J62" s="458"/>
      <c r="K62" s="380"/>
      <c r="L62" s="381"/>
      <c r="M62" s="152"/>
      <c r="N62" s="459"/>
      <c r="O62" s="379"/>
    </row>
    <row r="63" spans="1:15" x14ac:dyDescent="0.25">
      <c r="A63" s="47">
        <f t="shared" si="0"/>
        <v>57</v>
      </c>
      <c r="B63" s="47"/>
      <c r="C63" s="15" t="s">
        <v>10</v>
      </c>
      <c r="D63" s="152">
        <v>0.23218000000000003</v>
      </c>
      <c r="E63" s="152">
        <f>'Rates in detail'!K63</f>
        <v>1.102E-2</v>
      </c>
      <c r="F63" s="152">
        <f>SUM('Rates in detail'!O63:Q63)</f>
        <v>-5.5599999999999998E-3</v>
      </c>
      <c r="G63" s="152">
        <v>-2.0650000000000002E-2</v>
      </c>
      <c r="H63" s="283">
        <f>[3]Temporaries!$AF57</f>
        <v>6.1009999999999995E-2</v>
      </c>
      <c r="I63" s="382">
        <f t="shared" si="1"/>
        <v>0.27800000000000002</v>
      </c>
      <c r="J63" s="458"/>
      <c r="K63" s="380"/>
      <c r="L63" s="381"/>
      <c r="M63" s="152"/>
      <c r="N63" s="459"/>
      <c r="O63" s="379"/>
    </row>
    <row r="64" spans="1:15" x14ac:dyDescent="0.25">
      <c r="A64" s="47">
        <f t="shared" si="0"/>
        <v>58</v>
      </c>
      <c r="B64" s="51"/>
      <c r="C64" s="18" t="s">
        <v>11</v>
      </c>
      <c r="D64" s="145">
        <v>0.20451999999999992</v>
      </c>
      <c r="E64" s="145">
        <f>'Rates in detail'!K64</f>
        <v>4.13E-3</v>
      </c>
      <c r="F64" s="145">
        <f>SUM('Rates in detail'!O64:Q64)</f>
        <v>-2.0899999999999998E-3</v>
      </c>
      <c r="G64" s="145">
        <v>-2.0650000000000002E-2</v>
      </c>
      <c r="H64" s="282">
        <f>[3]Temporaries!$AF58</f>
        <v>6.0989999999999996E-2</v>
      </c>
      <c r="I64" s="378">
        <f t="shared" si="1"/>
        <v>0.2468999999999999</v>
      </c>
      <c r="J64" s="458"/>
      <c r="K64" s="380"/>
      <c r="L64" s="381"/>
      <c r="M64" s="152"/>
      <c r="N64" s="459"/>
      <c r="O64" s="379"/>
    </row>
    <row r="65" spans="1:15" x14ac:dyDescent="0.25">
      <c r="A65" s="47">
        <f t="shared" si="0"/>
        <v>59</v>
      </c>
      <c r="B65" s="47" t="s">
        <v>112</v>
      </c>
      <c r="C65" s="15" t="s">
        <v>6</v>
      </c>
      <c r="D65" s="54">
        <v>0.11796999999999999</v>
      </c>
      <c r="E65" s="54">
        <f>'Rates in detail'!K65</f>
        <v>1.78E-2</v>
      </c>
      <c r="F65" s="54">
        <f>SUM('Rates in detail'!O65:Q65)</f>
        <v>-1.004E-2</v>
      </c>
      <c r="G65" s="54">
        <v>0</v>
      </c>
      <c r="H65" s="54">
        <f>[3]Temporaries!$AF59</f>
        <v>9.9999999999999991E-6</v>
      </c>
      <c r="I65" s="88">
        <f t="shared" si="1"/>
        <v>0.12574000000000002</v>
      </c>
      <c r="J65" s="458"/>
      <c r="K65" s="380"/>
      <c r="L65" s="381"/>
      <c r="M65" s="152"/>
      <c r="N65" s="459"/>
      <c r="O65" s="379"/>
    </row>
    <row r="66" spans="1:15" x14ac:dyDescent="0.25">
      <c r="A66" s="47">
        <f t="shared" si="0"/>
        <v>60</v>
      </c>
      <c r="B66" s="47"/>
      <c r="C66" s="15" t="s">
        <v>7</v>
      </c>
      <c r="D66" s="54">
        <v>0.1056</v>
      </c>
      <c r="E66" s="54">
        <f>'Rates in detail'!K66</f>
        <v>1.5939999999999999E-2</v>
      </c>
      <c r="F66" s="54">
        <f>SUM('Rates in detail'!O66:Q66)</f>
        <v>-8.9899999999999997E-3</v>
      </c>
      <c r="G66" s="54">
        <v>0</v>
      </c>
      <c r="H66" s="54">
        <f>[3]Temporaries!$AF60</f>
        <v>9.9999999999999991E-6</v>
      </c>
      <c r="I66" s="88">
        <f t="shared" si="1"/>
        <v>0.11255999999999999</v>
      </c>
      <c r="J66" s="458"/>
      <c r="K66" s="380"/>
      <c r="L66" s="381"/>
      <c r="M66" s="152"/>
      <c r="N66" s="459"/>
      <c r="O66" s="379"/>
    </row>
    <row r="67" spans="1:15" x14ac:dyDescent="0.25">
      <c r="A67" s="47">
        <f t="shared" si="0"/>
        <v>61</v>
      </c>
      <c r="B67" s="47"/>
      <c r="C67" s="15" t="s">
        <v>8</v>
      </c>
      <c r="D67" s="54">
        <v>8.0979999999999996E-2</v>
      </c>
      <c r="E67" s="54">
        <f>'Rates in detail'!K67</f>
        <v>1.222E-2</v>
      </c>
      <c r="F67" s="54">
        <f>SUM('Rates in detail'!O67:Q67)</f>
        <v>-6.8900000000000003E-3</v>
      </c>
      <c r="G67" s="54">
        <v>0</v>
      </c>
      <c r="H67" s="54">
        <f>[3]Temporaries!$AF61</f>
        <v>0</v>
      </c>
      <c r="I67" s="88">
        <f t="shared" si="1"/>
        <v>8.6309999999999998E-2</v>
      </c>
      <c r="J67" s="458"/>
      <c r="K67" s="380"/>
      <c r="L67" s="381"/>
      <c r="M67" s="152"/>
      <c r="N67" s="459"/>
      <c r="O67" s="379"/>
    </row>
    <row r="68" spans="1:15" x14ac:dyDescent="0.25">
      <c r="A68" s="47">
        <f t="shared" si="0"/>
        <v>62</v>
      </c>
      <c r="B68" s="47"/>
      <c r="C68" s="15" t="s">
        <v>9</v>
      </c>
      <c r="D68" s="54">
        <v>6.479E-2</v>
      </c>
      <c r="E68" s="54">
        <f>'Rates in detail'!K68</f>
        <v>9.7800000000000005E-3</v>
      </c>
      <c r="F68" s="54">
        <f>SUM('Rates in detail'!O68:Q68)</f>
        <v>-5.5100000000000001E-3</v>
      </c>
      <c r="G68" s="54">
        <v>0</v>
      </c>
      <c r="H68" s="54">
        <f>[3]Temporaries!$AF62</f>
        <v>0</v>
      </c>
      <c r="I68" s="88">
        <f t="shared" si="1"/>
        <v>6.9059999999999996E-2</v>
      </c>
      <c r="J68" s="458"/>
      <c r="K68" s="380"/>
      <c r="L68" s="381"/>
      <c r="M68" s="152"/>
      <c r="N68" s="459"/>
      <c r="O68" s="379"/>
    </row>
    <row r="69" spans="1:15" x14ac:dyDescent="0.25">
      <c r="A69" s="47">
        <f t="shared" si="0"/>
        <v>63</v>
      </c>
      <c r="B69" s="47"/>
      <c r="C69" s="15" t="s">
        <v>10</v>
      </c>
      <c r="D69" s="54">
        <v>4.3190000000000006E-2</v>
      </c>
      <c r="E69" s="54">
        <f>'Rates in detail'!K69</f>
        <v>6.5199999999999998E-3</v>
      </c>
      <c r="F69" s="54">
        <f>SUM('Rates in detail'!O69:Q69)</f>
        <v>-3.6700000000000001E-3</v>
      </c>
      <c r="G69" s="54">
        <v>0</v>
      </c>
      <c r="H69" s="54">
        <f>[3]Temporaries!$AF63</f>
        <v>1.0000000000000013E-5</v>
      </c>
      <c r="I69" s="88">
        <f t="shared" si="1"/>
        <v>4.6050000000000008E-2</v>
      </c>
      <c r="J69" s="458"/>
      <c r="K69" s="380"/>
      <c r="L69" s="381"/>
      <c r="M69" s="152"/>
      <c r="N69" s="459"/>
      <c r="O69" s="379"/>
    </row>
    <row r="70" spans="1:15" x14ac:dyDescent="0.25">
      <c r="A70" s="47">
        <f t="shared" si="0"/>
        <v>64</v>
      </c>
      <c r="B70" s="51"/>
      <c r="C70" s="18" t="s">
        <v>11</v>
      </c>
      <c r="D70" s="20">
        <v>1.619E-2</v>
      </c>
      <c r="E70" s="20">
        <f>'Rates in detail'!K70</f>
        <v>2.4399999999999999E-3</v>
      </c>
      <c r="F70" s="20">
        <f>SUM('Rates in detail'!O70:Q70)</f>
        <v>-1.3800000000000002E-3</v>
      </c>
      <c r="G70" s="20">
        <v>0</v>
      </c>
      <c r="H70" s="285">
        <f>[3]Temporaries!$AF64</f>
        <v>0</v>
      </c>
      <c r="I70" s="309">
        <f t="shared" si="1"/>
        <v>1.7250000000000001E-2</v>
      </c>
      <c r="J70" s="458"/>
      <c r="K70" s="380"/>
      <c r="L70" s="381"/>
      <c r="M70" s="152"/>
      <c r="N70" s="459"/>
      <c r="O70" s="379"/>
    </row>
    <row r="71" spans="1:15" x14ac:dyDescent="0.25">
      <c r="A71" s="47">
        <f t="shared" si="0"/>
        <v>65</v>
      </c>
      <c r="B71" s="51" t="s">
        <v>113</v>
      </c>
      <c r="C71" s="17"/>
      <c r="D71" s="19">
        <v>4.9800000000000001E-3</v>
      </c>
      <c r="E71" s="19">
        <f>'Rates in detail'!K71</f>
        <v>0</v>
      </c>
      <c r="F71" s="19">
        <f>SUM('Rates in detail'!O71:Q71)</f>
        <v>-4.2000000000000002E-4</v>
      </c>
      <c r="G71" s="19">
        <v>0</v>
      </c>
      <c r="H71" s="19">
        <f>[3]Temporaries!$AF$65</f>
        <v>0</v>
      </c>
      <c r="I71" s="310">
        <f t="shared" si="1"/>
        <v>4.5599999999999998E-3</v>
      </c>
      <c r="J71" s="458"/>
      <c r="K71" s="380"/>
      <c r="L71" s="381"/>
      <c r="M71" s="152"/>
      <c r="N71" s="459"/>
      <c r="O71" s="379"/>
    </row>
    <row r="72" spans="1:15" x14ac:dyDescent="0.25">
      <c r="A72" s="47">
        <f t="shared" ref="A72:A81" si="3">+A71+1</f>
        <v>66</v>
      </c>
      <c r="B72" s="13" t="s">
        <v>114</v>
      </c>
      <c r="C72" s="10"/>
      <c r="D72" s="20">
        <v>4.9800000000000001E-3</v>
      </c>
      <c r="E72" s="20">
        <f>'Rates in detail'!K72</f>
        <v>0</v>
      </c>
      <c r="F72" s="20">
        <f>SUM('Rates in detail'!O72:Q72)</f>
        <v>-4.2000000000000002E-4</v>
      </c>
      <c r="G72" s="20">
        <v>0</v>
      </c>
      <c r="H72" s="20">
        <f>[3]Temporaries!$AF$66</f>
        <v>0</v>
      </c>
      <c r="I72" s="309">
        <f t="shared" si="1"/>
        <v>4.5599999999999998E-3</v>
      </c>
      <c r="J72" s="458"/>
      <c r="K72" s="380"/>
      <c r="L72" s="381"/>
      <c r="M72" s="152"/>
      <c r="N72" s="459"/>
      <c r="O72" s="379"/>
    </row>
    <row r="73" spans="1:15" ht="13.8" thickBot="1" x14ac:dyDescent="0.3">
      <c r="A73" s="47">
        <f t="shared" si="3"/>
        <v>67</v>
      </c>
      <c r="B73" s="12" t="s">
        <v>144</v>
      </c>
      <c r="C73" s="10"/>
      <c r="D73" s="20"/>
      <c r="E73" s="20"/>
      <c r="F73" s="20"/>
      <c r="G73" s="20"/>
      <c r="H73" s="286"/>
      <c r="I73" s="384"/>
      <c r="J73" s="379"/>
      <c r="K73" s="20"/>
      <c r="L73" s="381"/>
    </row>
    <row r="74" spans="1:15" x14ac:dyDescent="0.25">
      <c r="A74" s="47">
        <f t="shared" si="3"/>
        <v>68</v>
      </c>
    </row>
    <row r="75" spans="1:15" ht="13.8" thickBot="1" x14ac:dyDescent="0.3">
      <c r="A75" s="47">
        <f t="shared" si="3"/>
        <v>69</v>
      </c>
      <c r="B75" s="385" t="s">
        <v>115</v>
      </c>
      <c r="K75" s="63"/>
    </row>
    <row r="76" spans="1:15" ht="13.8" thickBot="1" x14ac:dyDescent="0.3">
      <c r="A76" s="47">
        <f t="shared" si="3"/>
        <v>70</v>
      </c>
      <c r="B76" s="386" t="s">
        <v>116</v>
      </c>
      <c r="C76" s="61"/>
      <c r="D76" s="26" t="s">
        <v>243</v>
      </c>
      <c r="E76" s="26"/>
      <c r="F76" s="26"/>
      <c r="G76" s="26"/>
      <c r="H76" s="26"/>
      <c r="I76" s="26"/>
      <c r="K76" s="63"/>
    </row>
    <row r="77" spans="1:15" ht="13.8" thickBot="1" x14ac:dyDescent="0.3">
      <c r="A77" s="47">
        <f t="shared" si="3"/>
        <v>71</v>
      </c>
      <c r="K77" s="63"/>
    </row>
    <row r="78" spans="1:15" ht="13.8" thickBot="1" x14ac:dyDescent="0.3">
      <c r="A78" s="47">
        <f t="shared" si="3"/>
        <v>72</v>
      </c>
      <c r="B78" s="386" t="s">
        <v>121</v>
      </c>
      <c r="C78" s="61"/>
      <c r="D78" s="61"/>
      <c r="E78" s="61"/>
      <c r="F78" s="26"/>
      <c r="G78" s="26"/>
      <c r="H78" s="26"/>
      <c r="I78" s="26" t="s">
        <v>180</v>
      </c>
      <c r="K78" s="63"/>
    </row>
    <row r="79" spans="1:15" x14ac:dyDescent="0.25">
      <c r="A79" s="47">
        <f t="shared" si="3"/>
        <v>73</v>
      </c>
      <c r="K79" s="63"/>
    </row>
    <row r="80" spans="1:15" x14ac:dyDescent="0.25">
      <c r="A80" s="47">
        <f t="shared" si="3"/>
        <v>74</v>
      </c>
      <c r="B80" s="387" t="s">
        <v>183</v>
      </c>
      <c r="C80" s="373"/>
      <c r="D80" s="373"/>
      <c r="E80" s="373"/>
      <c r="F80" s="373"/>
      <c r="G80" s="373"/>
      <c r="H80" s="373"/>
      <c r="I80" s="373"/>
      <c r="K80" s="63"/>
    </row>
    <row r="81" spans="1:11" x14ac:dyDescent="0.25">
      <c r="A81" s="47">
        <f t="shared" si="3"/>
        <v>75</v>
      </c>
      <c r="B81" s="387" t="s">
        <v>286</v>
      </c>
      <c r="C81" s="373"/>
      <c r="D81" s="373"/>
      <c r="E81" s="373"/>
      <c r="F81" s="373"/>
      <c r="G81" s="373"/>
      <c r="H81" s="373"/>
      <c r="I81" s="373"/>
      <c r="K81" s="63"/>
    </row>
  </sheetData>
  <phoneticPr fontId="3" type="noConversion"/>
  <printOptions horizontalCentered="1"/>
  <pageMargins left="0.5" right="0.5" top="0.5" bottom="0.5" header="0.25" footer="0.25"/>
  <pageSetup scale="52" orientation="landscape" r:id="rId1"/>
  <headerFooter alignWithMargins="0">
    <oddHeader xml:space="preserve">&amp;RUG-181053 NWN Compliance Filing
Advice 19-07 / Work Paper
</oddHeader>
    <oddFooter xml:space="preserve">&amp;C&amp;F &amp;D &amp;T
&amp;A 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2D050"/>
    <pageSetUpPr fitToPage="1"/>
  </sheetPr>
  <dimension ref="A1:Z82"/>
  <sheetViews>
    <sheetView showGridLines="0" zoomScaleNormal="100" workbookViewId="0">
      <pane xSplit="3" ySplit="12" topLeftCell="D13" activePane="bottomRight" state="frozen"/>
      <selection activeCell="O39" sqref="O39"/>
      <selection pane="topRight" activeCell="O39" sqref="O39"/>
      <selection pane="bottomLeft" activeCell="O39" sqref="O39"/>
      <selection pane="bottomRight" activeCell="O39" sqref="O39"/>
    </sheetView>
  </sheetViews>
  <sheetFormatPr defaultColWidth="9.33203125" defaultRowHeight="13.2" x14ac:dyDescent="0.25"/>
  <cols>
    <col min="1" max="1" width="6.77734375" style="63" customWidth="1"/>
    <col min="2" max="2" width="19" style="128" customWidth="1"/>
    <col min="3" max="3" width="10.33203125" style="128" customWidth="1"/>
    <col min="4" max="4" width="11.44140625" style="128" bestFit="1" customWidth="1"/>
    <col min="5" max="5" width="14" style="267" bestFit="1" customWidth="1"/>
    <col min="6" max="6" width="10.44140625" style="267" bestFit="1" customWidth="1"/>
    <col min="7" max="7" width="12.44140625" style="128" bestFit="1" customWidth="1"/>
    <col min="8" max="8" width="13.6640625" style="128" bestFit="1" customWidth="1"/>
    <col min="9" max="9" width="16.77734375" style="128" customWidth="1"/>
    <col min="10" max="10" width="2.77734375" style="128" customWidth="1"/>
    <col min="11" max="11" width="14.77734375" style="128" customWidth="1"/>
    <col min="12" max="12" width="2.77734375" style="128" customWidth="1"/>
    <col min="13" max="17" width="15.77734375" style="128" customWidth="1"/>
    <col min="18" max="18" width="17.44140625" style="128" customWidth="1"/>
    <col min="19" max="19" width="3.6640625" style="128" customWidth="1"/>
    <col min="20" max="21" width="15.77734375" style="128" customWidth="1"/>
    <col min="22" max="23" width="21" style="397" bestFit="1" customWidth="1"/>
    <col min="24" max="25" width="15.77734375" style="397" customWidth="1"/>
    <col min="26" max="26" width="5.44140625" style="397" customWidth="1"/>
    <col min="27" max="16384" width="9.33203125" style="63"/>
  </cols>
  <sheetData>
    <row r="1" spans="1:26" x14ac:dyDescent="0.25">
      <c r="A1" s="396" t="str">
        <f>+'Washington volumes'!A1</f>
        <v>NW Natural</v>
      </c>
    </row>
    <row r="2" spans="1:26" x14ac:dyDescent="0.25">
      <c r="A2" s="396" t="str">
        <f>+'Washington volumes'!A2</f>
        <v>Rates &amp; Regulatory Affairs</v>
      </c>
      <c r="E2" s="268"/>
      <c r="K2" s="170"/>
    </row>
    <row r="3" spans="1:26" x14ac:dyDescent="0.25">
      <c r="A3" s="396" t="str">
        <f>+'Washington volumes'!A3</f>
        <v>2019 WA GRC UG-181053</v>
      </c>
      <c r="E3" s="269"/>
      <c r="H3" s="170"/>
      <c r="K3" s="170"/>
    </row>
    <row r="4" spans="1:26" x14ac:dyDescent="0.25">
      <c r="A4" s="396" t="s">
        <v>124</v>
      </c>
      <c r="D4" s="170"/>
      <c r="E4" s="268"/>
      <c r="H4" s="170"/>
      <c r="J4" s="170"/>
      <c r="K4" s="170"/>
      <c r="L4" s="170"/>
      <c r="M4" s="170"/>
      <c r="O4" s="170"/>
      <c r="P4" s="170"/>
      <c r="Q4" s="170"/>
      <c r="R4" s="170"/>
      <c r="S4" s="170"/>
      <c r="T4" s="170"/>
      <c r="U4" s="170"/>
    </row>
    <row r="5" spans="1:26" ht="13.8" thickBot="1" x14ac:dyDescent="0.3">
      <c r="E5" s="270"/>
      <c r="K5" s="170"/>
    </row>
    <row r="6" spans="1:26" ht="13.8" thickBot="1" x14ac:dyDescent="0.3">
      <c r="K6" s="170"/>
      <c r="M6" s="467" t="s">
        <v>245</v>
      </c>
      <c r="N6" s="468"/>
      <c r="O6" s="468"/>
      <c r="P6" s="468"/>
      <c r="Q6" s="468"/>
      <c r="R6" s="469"/>
      <c r="T6" s="467" t="s">
        <v>248</v>
      </c>
      <c r="U6" s="468"/>
      <c r="V6" s="468"/>
      <c r="W6" s="468"/>
      <c r="X6" s="468"/>
      <c r="Y6" s="469"/>
    </row>
    <row r="7" spans="1:26" ht="13.8" thickBot="1" x14ac:dyDescent="0.3">
      <c r="A7" s="47">
        <v>1</v>
      </c>
      <c r="D7" s="464" t="s">
        <v>270</v>
      </c>
      <c r="E7" s="465"/>
      <c r="F7" s="465"/>
      <c r="G7" s="465"/>
      <c r="H7" s="465"/>
      <c r="I7" s="466"/>
      <c r="J7" s="398"/>
      <c r="K7" s="261" t="s">
        <v>225</v>
      </c>
      <c r="L7" s="398"/>
      <c r="M7" s="399" t="s">
        <v>24</v>
      </c>
      <c r="N7" s="103" t="s">
        <v>30</v>
      </c>
      <c r="O7" s="103" t="s">
        <v>30</v>
      </c>
      <c r="P7" s="103" t="s">
        <v>30</v>
      </c>
      <c r="Q7" s="103" t="s">
        <v>30</v>
      </c>
      <c r="R7" s="277">
        <f>'Avg Bill by RS'!K8</f>
        <v>43770</v>
      </c>
      <c r="S7" s="398"/>
      <c r="T7" s="400" t="s">
        <v>24</v>
      </c>
      <c r="U7" s="401" t="s">
        <v>30</v>
      </c>
      <c r="V7" s="401" t="s">
        <v>24</v>
      </c>
      <c r="W7" s="401" t="s">
        <v>30</v>
      </c>
      <c r="X7" s="401" t="s">
        <v>24</v>
      </c>
      <c r="Y7" s="277" t="s">
        <v>30</v>
      </c>
    </row>
    <row r="8" spans="1:26" x14ac:dyDescent="0.25">
      <c r="A8" s="47">
        <f>+A7+1</f>
        <v>2</v>
      </c>
      <c r="D8" s="399"/>
      <c r="E8" s="275"/>
      <c r="F8" s="276" t="s">
        <v>271</v>
      </c>
      <c r="G8" s="103" t="s">
        <v>271</v>
      </c>
      <c r="I8" s="277"/>
      <c r="J8" s="402"/>
      <c r="K8" s="235" t="s">
        <v>192</v>
      </c>
      <c r="L8" s="402"/>
      <c r="M8" s="403" t="s">
        <v>25</v>
      </c>
      <c r="N8" s="404" t="s">
        <v>225</v>
      </c>
      <c r="O8" s="404" t="s">
        <v>225</v>
      </c>
      <c r="P8" s="404" t="s">
        <v>225</v>
      </c>
      <c r="Q8" s="404" t="s">
        <v>225</v>
      </c>
      <c r="R8" s="278" t="s">
        <v>31</v>
      </c>
      <c r="S8" s="402"/>
      <c r="T8" s="405">
        <v>43405</v>
      </c>
      <c r="U8" s="404" t="s">
        <v>225</v>
      </c>
      <c r="V8" s="402">
        <v>43405</v>
      </c>
      <c r="W8" s="404" t="s">
        <v>225</v>
      </c>
      <c r="X8" s="402">
        <v>43405</v>
      </c>
      <c r="Y8" s="406" t="s">
        <v>225</v>
      </c>
      <c r="Z8" s="377"/>
    </row>
    <row r="9" spans="1:26" x14ac:dyDescent="0.25">
      <c r="A9" s="47">
        <f t="shared" ref="A9:A72" si="0">+A8+1</f>
        <v>3</v>
      </c>
      <c r="D9" s="399" t="s">
        <v>244</v>
      </c>
      <c r="E9" s="276" t="s">
        <v>271</v>
      </c>
      <c r="F9" s="276" t="s">
        <v>27</v>
      </c>
      <c r="G9" s="103" t="s">
        <v>29</v>
      </c>
      <c r="H9" s="352" t="s">
        <v>273</v>
      </c>
      <c r="I9" s="278"/>
      <c r="J9" s="407"/>
      <c r="K9" s="129" t="s">
        <v>162</v>
      </c>
      <c r="L9" s="407"/>
      <c r="M9" s="403" t="s">
        <v>223</v>
      </c>
      <c r="N9" s="404" t="s">
        <v>223</v>
      </c>
      <c r="O9" s="404" t="s">
        <v>185</v>
      </c>
      <c r="P9" s="404" t="s">
        <v>186</v>
      </c>
      <c r="Q9" s="404" t="s">
        <v>187</v>
      </c>
      <c r="R9" s="278" t="s">
        <v>145</v>
      </c>
      <c r="S9" s="407"/>
      <c r="T9" s="408" t="s">
        <v>149</v>
      </c>
      <c r="U9" s="404" t="s">
        <v>149</v>
      </c>
      <c r="V9" s="407" t="s">
        <v>228</v>
      </c>
      <c r="W9" s="404" t="s">
        <v>228</v>
      </c>
      <c r="X9" s="407" t="s">
        <v>229</v>
      </c>
      <c r="Y9" s="406" t="s">
        <v>229</v>
      </c>
      <c r="Z9" s="404"/>
    </row>
    <row r="10" spans="1:26" s="161" customFormat="1" ht="13.8" thickBot="1" x14ac:dyDescent="0.3">
      <c r="A10" s="47">
        <f t="shared" si="0"/>
        <v>4</v>
      </c>
      <c r="B10" s="409"/>
      <c r="C10" s="409"/>
      <c r="D10" s="410" t="s">
        <v>223</v>
      </c>
      <c r="E10" s="271" t="s">
        <v>26</v>
      </c>
      <c r="F10" s="271" t="s">
        <v>28</v>
      </c>
      <c r="G10" s="105" t="s">
        <v>28</v>
      </c>
      <c r="H10" s="105" t="s">
        <v>69</v>
      </c>
      <c r="I10" s="279" t="s">
        <v>272</v>
      </c>
      <c r="J10" s="407"/>
      <c r="K10" s="105" t="s">
        <v>193</v>
      </c>
      <c r="L10" s="407"/>
      <c r="M10" s="411" t="s">
        <v>224</v>
      </c>
      <c r="N10" s="412" t="s">
        <v>224</v>
      </c>
      <c r="O10" s="412" t="s">
        <v>226</v>
      </c>
      <c r="P10" s="412" t="s">
        <v>226</v>
      </c>
      <c r="Q10" s="412" t="s">
        <v>226</v>
      </c>
      <c r="R10" s="279" t="s">
        <v>146</v>
      </c>
      <c r="S10" s="407"/>
      <c r="T10" s="413" t="s">
        <v>130</v>
      </c>
      <c r="U10" s="412" t="s">
        <v>130</v>
      </c>
      <c r="V10" s="414" t="s">
        <v>130</v>
      </c>
      <c r="W10" s="412" t="s">
        <v>130</v>
      </c>
      <c r="X10" s="414" t="s">
        <v>130</v>
      </c>
      <c r="Y10" s="415" t="s">
        <v>130</v>
      </c>
      <c r="Z10" s="404"/>
    </row>
    <row r="11" spans="1:26" s="161" customFormat="1" x14ac:dyDescent="0.25">
      <c r="A11" s="47">
        <f t="shared" si="0"/>
        <v>5</v>
      </c>
      <c r="B11" s="128"/>
      <c r="C11" s="128"/>
      <c r="D11" s="399"/>
      <c r="E11" s="276"/>
      <c r="F11" s="276"/>
      <c r="G11" s="103"/>
      <c r="H11" s="103" t="s">
        <v>282</v>
      </c>
      <c r="I11" s="280" t="s">
        <v>284</v>
      </c>
      <c r="J11" s="103"/>
      <c r="K11" s="168"/>
      <c r="L11" s="103"/>
      <c r="M11" s="416"/>
      <c r="R11" s="280" t="s">
        <v>285</v>
      </c>
      <c r="S11" s="103"/>
      <c r="T11" s="416"/>
      <c r="Y11" s="280"/>
      <c r="Z11" s="404"/>
    </row>
    <row r="12" spans="1:26" s="103" customFormat="1" x14ac:dyDescent="0.25">
      <c r="A12" s="47">
        <f t="shared" si="0"/>
        <v>6</v>
      </c>
      <c r="B12" s="40" t="s">
        <v>2</v>
      </c>
      <c r="C12" s="40" t="s">
        <v>3</v>
      </c>
      <c r="D12" s="399" t="s">
        <v>58</v>
      </c>
      <c r="E12" s="272" t="s">
        <v>59</v>
      </c>
      <c r="F12" s="272" t="s">
        <v>16</v>
      </c>
      <c r="G12" s="144" t="s">
        <v>60</v>
      </c>
      <c r="H12" s="144" t="s">
        <v>61</v>
      </c>
      <c r="I12" s="281" t="s">
        <v>62</v>
      </c>
      <c r="K12" s="144" t="s">
        <v>63</v>
      </c>
      <c r="M12" s="399" t="s">
        <v>64</v>
      </c>
      <c r="N12" s="103" t="s">
        <v>65</v>
      </c>
      <c r="O12" s="103" t="s">
        <v>257</v>
      </c>
      <c r="P12" s="103" t="s">
        <v>258</v>
      </c>
      <c r="Q12" s="103" t="s">
        <v>66</v>
      </c>
      <c r="R12" s="278" t="s">
        <v>259</v>
      </c>
      <c r="T12" s="399" t="s">
        <v>260</v>
      </c>
      <c r="U12" s="103" t="s">
        <v>261</v>
      </c>
      <c r="V12" s="103" t="s">
        <v>262</v>
      </c>
      <c r="W12" s="103" t="s">
        <v>263</v>
      </c>
      <c r="X12" s="103" t="s">
        <v>160</v>
      </c>
      <c r="Y12" s="278" t="s">
        <v>173</v>
      </c>
    </row>
    <row r="13" spans="1:26" x14ac:dyDescent="0.25">
      <c r="A13" s="47">
        <f t="shared" si="0"/>
        <v>7</v>
      </c>
      <c r="B13" s="13" t="s">
        <v>4</v>
      </c>
      <c r="C13" s="10"/>
      <c r="D13" s="297">
        <v>0.68448000000000009</v>
      </c>
      <c r="E13" s="145">
        <f>+Inputs!B8</f>
        <v>0.20291000000000001</v>
      </c>
      <c r="F13" s="145">
        <f>+Inputs!B10</f>
        <v>0.1109</v>
      </c>
      <c r="G13" s="145">
        <v>0</v>
      </c>
      <c r="H13" s="145">
        <f>[3]Temporaries!AE13</f>
        <v>0.10571999999999999</v>
      </c>
      <c r="I13" s="282">
        <f>SUM(D13:H13)</f>
        <v>1.1040100000000002</v>
      </c>
      <c r="J13" s="238"/>
      <c r="K13" s="145">
        <v>3.4299999999999999E-3</v>
      </c>
      <c r="L13" s="238"/>
      <c r="M13" s="297">
        <f>(I13-E13-F13)-H13</f>
        <v>0.68448000000000009</v>
      </c>
      <c r="N13" s="145">
        <f>M13+K13</f>
        <v>0.68791000000000013</v>
      </c>
      <c r="O13" s="145">
        <f>'Allocation = % of margin'!P13</f>
        <v>-1.1379999999999999E-2</v>
      </c>
      <c r="P13" s="145">
        <f>'Allocation = % of margin'!S13</f>
        <v>0</v>
      </c>
      <c r="Q13" s="145">
        <f>'Allocation = % of margin'!V13</f>
        <v>-4.7199999999999999E-2</v>
      </c>
      <c r="R13" s="282">
        <f>I13-M13+N13+SUM(O13:Q13)</f>
        <v>1.0488600000000001</v>
      </c>
      <c r="S13" s="238"/>
      <c r="T13" s="347">
        <f>'Avg Bill by RS'!H13</f>
        <v>3.47</v>
      </c>
      <c r="U13" s="348">
        <f>'Avg Bill by RS'!G13</f>
        <v>5.5</v>
      </c>
      <c r="V13" s="152">
        <v>0</v>
      </c>
      <c r="W13" s="152">
        <v>0</v>
      </c>
      <c r="X13" s="152">
        <v>0</v>
      </c>
      <c r="Y13" s="283">
        <v>0</v>
      </c>
      <c r="Z13" s="152"/>
    </row>
    <row r="14" spans="1:26" x14ac:dyDescent="0.25">
      <c r="A14" s="47">
        <f t="shared" si="0"/>
        <v>8</v>
      </c>
      <c r="B14" s="13" t="s">
        <v>5</v>
      </c>
      <c r="C14" s="10"/>
      <c r="D14" s="297">
        <v>0.68406999999999973</v>
      </c>
      <c r="E14" s="145">
        <f t="shared" ref="E14:E22" si="1">+$E$13</f>
        <v>0.20291000000000001</v>
      </c>
      <c r="F14" s="145">
        <f>+$F$13</f>
        <v>0.1109</v>
      </c>
      <c r="G14" s="145">
        <v>0</v>
      </c>
      <c r="H14" s="145">
        <f>[3]Temporaries!AE14</f>
        <v>8.8500000000000009E-2</v>
      </c>
      <c r="I14" s="282">
        <f t="shared" ref="I14:I72" si="2">SUM(D14:H14)</f>
        <v>1.0863799999999997</v>
      </c>
      <c r="J14" s="152"/>
      <c r="K14" s="145">
        <v>5.6840000000000002E-2</v>
      </c>
      <c r="L14" s="152"/>
      <c r="M14" s="297">
        <f t="shared" ref="M14:M44" si="3">(I14-E14-F14)-H14</f>
        <v>0.68406999999999962</v>
      </c>
      <c r="N14" s="145">
        <f t="shared" ref="N14:N44" si="4">M14+K14</f>
        <v>0.74090999999999962</v>
      </c>
      <c r="O14" s="145">
        <f>'Allocation = % of margin'!P14</f>
        <v>-9.4199999999999996E-3</v>
      </c>
      <c r="P14" s="145">
        <f>'Allocation = % of margin'!S14</f>
        <v>0</v>
      </c>
      <c r="Q14" s="145">
        <f>'Allocation = % of margin'!V14</f>
        <v>-3.909E-2</v>
      </c>
      <c r="R14" s="282">
        <f t="shared" ref="R14:R44" si="5">I14-M14+N14+SUM(O14:Q14)</f>
        <v>1.0947099999999996</v>
      </c>
      <c r="S14" s="238"/>
      <c r="T14" s="347">
        <f>'Avg Bill by RS'!H14</f>
        <v>3.47</v>
      </c>
      <c r="U14" s="348">
        <f>'Avg Bill by RS'!G14</f>
        <v>7</v>
      </c>
      <c r="V14" s="152">
        <v>0</v>
      </c>
      <c r="W14" s="152">
        <v>0</v>
      </c>
      <c r="X14" s="152">
        <v>0</v>
      </c>
      <c r="Y14" s="283">
        <v>0</v>
      </c>
      <c r="Z14" s="152"/>
    </row>
    <row r="15" spans="1:26" x14ac:dyDescent="0.25">
      <c r="A15" s="47">
        <f t="shared" si="0"/>
        <v>9</v>
      </c>
      <c r="B15" s="13" t="s">
        <v>14</v>
      </c>
      <c r="C15" s="10"/>
      <c r="D15" s="297">
        <v>0.4145399999999998</v>
      </c>
      <c r="E15" s="145">
        <f t="shared" si="1"/>
        <v>0.20291000000000001</v>
      </c>
      <c r="F15" s="145">
        <f>+$F$13</f>
        <v>0.1109</v>
      </c>
      <c r="G15" s="145">
        <v>0</v>
      </c>
      <c r="H15" s="145">
        <f>[3]Temporaries!AE15</f>
        <v>6.7580000000000001E-2</v>
      </c>
      <c r="I15" s="282">
        <f t="shared" si="2"/>
        <v>0.7959299999999998</v>
      </c>
      <c r="J15" s="152"/>
      <c r="K15" s="145">
        <v>5.0689999999999999E-2</v>
      </c>
      <c r="L15" s="152"/>
      <c r="M15" s="297">
        <f t="shared" si="3"/>
        <v>0.4145399999999998</v>
      </c>
      <c r="N15" s="145">
        <f t="shared" si="4"/>
        <v>0.46522999999999981</v>
      </c>
      <c r="O15" s="145">
        <f>'Allocation = % of margin'!P15</f>
        <v>-7.0699999999999999E-3</v>
      </c>
      <c r="P15" s="145">
        <f>'Allocation = % of margin'!S15</f>
        <v>0</v>
      </c>
      <c r="Q15" s="145">
        <f>'Allocation = % of margin'!V15</f>
        <v>-2.9340000000000001E-2</v>
      </c>
      <c r="R15" s="282">
        <f>I15-M15+N15+SUM(O15:Q15)</f>
        <v>0.81020999999999987</v>
      </c>
      <c r="S15" s="238"/>
      <c r="T15" s="347">
        <f>'Avg Bill by RS'!H15</f>
        <v>7</v>
      </c>
      <c r="U15" s="348">
        <f>'Avg Bill by RS'!G15</f>
        <v>8</v>
      </c>
      <c r="V15" s="152">
        <v>0</v>
      </c>
      <c r="W15" s="152">
        <v>0</v>
      </c>
      <c r="X15" s="152">
        <v>0</v>
      </c>
      <c r="Y15" s="283">
        <v>0</v>
      </c>
      <c r="Z15" s="152"/>
    </row>
    <row r="16" spans="1:26" x14ac:dyDescent="0.25">
      <c r="A16" s="47">
        <f t="shared" si="0"/>
        <v>10</v>
      </c>
      <c r="B16" s="13" t="s">
        <v>12</v>
      </c>
      <c r="C16" s="10"/>
      <c r="D16" s="297">
        <v>0.41858000000000012</v>
      </c>
      <c r="E16" s="145">
        <f t="shared" si="1"/>
        <v>0.20291000000000001</v>
      </c>
      <c r="F16" s="145">
        <f>+$F$13</f>
        <v>0.1109</v>
      </c>
      <c r="G16" s="145">
        <v>0</v>
      </c>
      <c r="H16" s="145">
        <f>[3]Temporaries!AE16</f>
        <v>6.0979999999999999E-2</v>
      </c>
      <c r="I16" s="282">
        <f t="shared" si="2"/>
        <v>0.79337000000000013</v>
      </c>
      <c r="J16" s="152"/>
      <c r="K16" s="145">
        <v>3.1440000000000003E-2</v>
      </c>
      <c r="L16" s="152"/>
      <c r="M16" s="297">
        <f t="shared" si="3"/>
        <v>0.41858000000000012</v>
      </c>
      <c r="N16" s="145">
        <f t="shared" si="4"/>
        <v>0.45002000000000014</v>
      </c>
      <c r="O16" s="145">
        <f>'Allocation = % of margin'!P16</f>
        <v>-6.3400000000000001E-3</v>
      </c>
      <c r="P16" s="145">
        <f>'Allocation = % of margin'!S16</f>
        <v>0</v>
      </c>
      <c r="Q16" s="145">
        <f>'Allocation = % of margin'!V16</f>
        <v>-2.6280000000000001E-2</v>
      </c>
      <c r="R16" s="282">
        <f t="shared" si="5"/>
        <v>0.79219000000000017</v>
      </c>
      <c r="S16" s="238"/>
      <c r="T16" s="347">
        <f>'Avg Bill by RS'!H16</f>
        <v>15</v>
      </c>
      <c r="U16" s="348">
        <f>'Avg Bill by RS'!G16</f>
        <v>22</v>
      </c>
      <c r="V16" s="152">
        <v>0</v>
      </c>
      <c r="W16" s="152">
        <v>0</v>
      </c>
      <c r="X16" s="152">
        <v>0</v>
      </c>
      <c r="Y16" s="283">
        <v>0</v>
      </c>
      <c r="Z16" s="152"/>
    </row>
    <row r="17" spans="1:26" x14ac:dyDescent="0.25">
      <c r="A17" s="47">
        <f t="shared" si="0"/>
        <v>11</v>
      </c>
      <c r="B17" s="13" t="s">
        <v>13</v>
      </c>
      <c r="C17" s="10"/>
      <c r="D17" s="297">
        <v>0.41844999999999954</v>
      </c>
      <c r="E17" s="145">
        <f t="shared" si="1"/>
        <v>0.20291000000000001</v>
      </c>
      <c r="F17" s="145">
        <f>+$F$13</f>
        <v>0.1109</v>
      </c>
      <c r="G17" s="145">
        <v>0</v>
      </c>
      <c r="H17" s="145">
        <f>[3]Temporaries!AE17</f>
        <v>9.9999999999999967E-3</v>
      </c>
      <c r="I17" s="282">
        <f t="shared" si="2"/>
        <v>0.74225999999999959</v>
      </c>
      <c r="J17" s="152"/>
      <c r="K17" s="145">
        <v>4.9669999999999999E-2</v>
      </c>
      <c r="L17" s="152"/>
      <c r="M17" s="297">
        <f t="shared" si="3"/>
        <v>0.41844999999999954</v>
      </c>
      <c r="N17" s="145">
        <f t="shared" si="4"/>
        <v>0.46811999999999954</v>
      </c>
      <c r="O17" s="145">
        <f>'Allocation = % of margin'!P17</f>
        <v>-5.6299999999999996E-3</v>
      </c>
      <c r="P17" s="145">
        <f>'Allocation = % of margin'!S17</f>
        <v>0</v>
      </c>
      <c r="Q17" s="145">
        <f>'Allocation = % of margin'!V17</f>
        <v>-2.3349999999999999E-2</v>
      </c>
      <c r="R17" s="282">
        <f t="shared" si="5"/>
        <v>0.76294999999999957</v>
      </c>
      <c r="S17" s="238"/>
      <c r="T17" s="347">
        <f>'Avg Bill by RS'!H17</f>
        <v>15</v>
      </c>
      <c r="U17" s="348">
        <f>'Avg Bill by RS'!G17</f>
        <v>22</v>
      </c>
      <c r="V17" s="152">
        <v>0</v>
      </c>
      <c r="W17" s="152">
        <v>0</v>
      </c>
      <c r="X17" s="152">
        <v>0</v>
      </c>
      <c r="Y17" s="283">
        <v>0</v>
      </c>
      <c r="Z17" s="152"/>
    </row>
    <row r="18" spans="1:26" x14ac:dyDescent="0.25">
      <c r="A18" s="47">
        <f t="shared" si="0"/>
        <v>12</v>
      </c>
      <c r="B18" s="51">
        <v>27</v>
      </c>
      <c r="C18" s="17"/>
      <c r="D18" s="297">
        <v>0.25419999999999981</v>
      </c>
      <c r="E18" s="145">
        <f t="shared" si="1"/>
        <v>0.20291000000000001</v>
      </c>
      <c r="F18" s="145">
        <f>+$F$13</f>
        <v>0.1109</v>
      </c>
      <c r="G18" s="145">
        <v>0</v>
      </c>
      <c r="H18" s="145">
        <f>[3]Temporaries!AE18</f>
        <v>4.8019999999999993E-2</v>
      </c>
      <c r="I18" s="282">
        <f t="shared" si="2"/>
        <v>0.61602999999999974</v>
      </c>
      <c r="J18" s="152"/>
      <c r="K18" s="145">
        <v>-8.5400000000000007E-3</v>
      </c>
      <c r="L18" s="152"/>
      <c r="M18" s="297">
        <f t="shared" si="3"/>
        <v>0.2541999999999997</v>
      </c>
      <c r="N18" s="145">
        <f t="shared" si="4"/>
        <v>0.24565999999999971</v>
      </c>
      <c r="O18" s="145">
        <f>'Allocation = % of margin'!P18</f>
        <v>-4.7800000000000004E-3</v>
      </c>
      <c r="P18" s="145">
        <f>'Allocation = % of margin'!S18</f>
        <v>0</v>
      </c>
      <c r="Q18" s="145">
        <f>'Allocation = % of margin'!V18</f>
        <v>-1.9800000000000002E-2</v>
      </c>
      <c r="R18" s="282">
        <f t="shared" si="5"/>
        <v>0.58290999999999971</v>
      </c>
      <c r="S18" s="238"/>
      <c r="T18" s="347">
        <f>'Avg Bill by RS'!H18</f>
        <v>6</v>
      </c>
      <c r="U18" s="348">
        <f>'Avg Bill by RS'!G18</f>
        <v>9</v>
      </c>
      <c r="V18" s="152">
        <v>0</v>
      </c>
      <c r="W18" s="152">
        <v>0</v>
      </c>
      <c r="X18" s="152">
        <v>0</v>
      </c>
      <c r="Y18" s="283">
        <v>0</v>
      </c>
      <c r="Z18" s="152"/>
    </row>
    <row r="19" spans="1:26" x14ac:dyDescent="0.25">
      <c r="A19" s="47">
        <f t="shared" si="0"/>
        <v>13</v>
      </c>
      <c r="B19" s="47" t="s">
        <v>166</v>
      </c>
      <c r="C19" s="15" t="s">
        <v>6</v>
      </c>
      <c r="D19" s="241">
        <v>0.30164000000000019</v>
      </c>
      <c r="E19" s="152">
        <f t="shared" si="1"/>
        <v>0.20291000000000001</v>
      </c>
      <c r="F19" s="152"/>
      <c r="G19" s="152"/>
      <c r="H19" s="152">
        <f>[3]Temporaries!AE19</f>
        <v>4.9299999999999997E-2</v>
      </c>
      <c r="I19" s="283">
        <f t="shared" si="2"/>
        <v>0.55385000000000018</v>
      </c>
      <c r="J19" s="152"/>
      <c r="K19" s="152">
        <v>4.8070000000000002E-2</v>
      </c>
      <c r="L19" s="152"/>
      <c r="M19" s="241">
        <f t="shared" si="3"/>
        <v>0.30164000000000013</v>
      </c>
      <c r="N19" s="152">
        <f t="shared" si="4"/>
        <v>0.34971000000000013</v>
      </c>
      <c r="O19" s="152">
        <f>'Allocation = % of margin'!P19</f>
        <v>-4.9699999999999996E-3</v>
      </c>
      <c r="P19" s="152">
        <f>'Allocation = % of margin'!S19</f>
        <v>0</v>
      </c>
      <c r="Q19" s="152">
        <f>'Allocation = % of margin'!V19</f>
        <v>-2.061E-2</v>
      </c>
      <c r="R19" s="283">
        <f t="shared" si="5"/>
        <v>0.57634000000000019</v>
      </c>
      <c r="S19" s="238"/>
      <c r="T19" s="347">
        <f>'Avg Bill by RS'!H19</f>
        <v>250</v>
      </c>
      <c r="U19" s="348">
        <f>'Avg Bill by RS'!G19</f>
        <v>250</v>
      </c>
      <c r="V19" s="152">
        <v>0</v>
      </c>
      <c r="W19" s="152">
        <v>0</v>
      </c>
      <c r="X19" s="152">
        <v>0</v>
      </c>
      <c r="Y19" s="283">
        <v>0</v>
      </c>
      <c r="Z19" s="152"/>
    </row>
    <row r="20" spans="1:26" x14ac:dyDescent="0.25">
      <c r="A20" s="47">
        <f t="shared" si="0"/>
        <v>14</v>
      </c>
      <c r="B20" s="51"/>
      <c r="C20" s="18" t="s">
        <v>7</v>
      </c>
      <c r="D20" s="297">
        <v>0.26579000000000003</v>
      </c>
      <c r="E20" s="145">
        <f t="shared" si="1"/>
        <v>0.20291000000000001</v>
      </c>
      <c r="F20" s="145"/>
      <c r="G20" s="145"/>
      <c r="H20" s="145">
        <f>[3]Temporaries!AE20</f>
        <v>4.4189999999999993E-2</v>
      </c>
      <c r="I20" s="282">
        <f t="shared" si="2"/>
        <v>0.51288999999999996</v>
      </c>
      <c r="J20" s="152"/>
      <c r="K20" s="145">
        <v>4.2360000000000002E-2</v>
      </c>
      <c r="L20" s="152"/>
      <c r="M20" s="297">
        <f t="shared" si="3"/>
        <v>0.26578999999999992</v>
      </c>
      <c r="N20" s="145">
        <f t="shared" si="4"/>
        <v>0.30814999999999992</v>
      </c>
      <c r="O20" s="145">
        <f>'Allocation = % of margin'!P20</f>
        <v>-4.3800000000000002E-3</v>
      </c>
      <c r="P20" s="145">
        <f>'Allocation = % of margin'!S20</f>
        <v>0</v>
      </c>
      <c r="Q20" s="145">
        <f>'Allocation = % of margin'!V20</f>
        <v>-1.8159999999999999E-2</v>
      </c>
      <c r="R20" s="282">
        <f t="shared" si="5"/>
        <v>0.53271000000000002</v>
      </c>
      <c r="S20" s="238"/>
      <c r="T20" s="347"/>
      <c r="U20" s="348"/>
      <c r="V20" s="152"/>
      <c r="W20" s="152"/>
      <c r="X20" s="152"/>
      <c r="Y20" s="283"/>
      <c r="Z20" s="152"/>
    </row>
    <row r="21" spans="1:26" x14ac:dyDescent="0.25">
      <c r="A21" s="47">
        <f t="shared" si="0"/>
        <v>15</v>
      </c>
      <c r="B21" s="47" t="s">
        <v>167</v>
      </c>
      <c r="C21" s="15" t="s">
        <v>6</v>
      </c>
      <c r="D21" s="241">
        <v>0.30140999999999996</v>
      </c>
      <c r="E21" s="152">
        <f t="shared" si="1"/>
        <v>0.20291000000000001</v>
      </c>
      <c r="F21" s="152"/>
      <c r="G21" s="152"/>
      <c r="H21" s="152">
        <f>[3]Temporaries!AE21</f>
        <v>6.5780000000000005E-2</v>
      </c>
      <c r="I21" s="283">
        <f t="shared" si="2"/>
        <v>0.57010000000000005</v>
      </c>
      <c r="J21" s="152"/>
      <c r="K21" s="152">
        <v>4.734E-2</v>
      </c>
      <c r="L21" s="152"/>
      <c r="M21" s="241">
        <f t="shared" si="3"/>
        <v>0.30141000000000001</v>
      </c>
      <c r="N21" s="152">
        <f>M21+K21</f>
        <v>0.34875</v>
      </c>
      <c r="O21" s="152">
        <f>'Allocation = % of margin'!P21</f>
        <v>-5.0200000000000002E-3</v>
      </c>
      <c r="P21" s="152">
        <f>'Allocation = % of margin'!S21</f>
        <v>0</v>
      </c>
      <c r="Q21" s="152">
        <f>'Allocation = % of margin'!V21</f>
        <v>-2.0799999999999999E-2</v>
      </c>
      <c r="R21" s="283">
        <f t="shared" si="5"/>
        <v>0.59162000000000003</v>
      </c>
      <c r="S21" s="238"/>
      <c r="T21" s="347">
        <f>'Avg Bill by RS'!H22</f>
        <v>250</v>
      </c>
      <c r="U21" s="348">
        <f>'Avg Bill by RS'!G22</f>
        <v>250</v>
      </c>
      <c r="V21" s="152">
        <v>0</v>
      </c>
      <c r="W21" s="152">
        <v>0</v>
      </c>
      <c r="X21" s="152">
        <v>0</v>
      </c>
      <c r="Y21" s="283">
        <v>0</v>
      </c>
      <c r="Z21" s="152"/>
    </row>
    <row r="22" spans="1:26" x14ac:dyDescent="0.25">
      <c r="A22" s="47">
        <f t="shared" si="0"/>
        <v>16</v>
      </c>
      <c r="B22" s="51"/>
      <c r="C22" s="18" t="s">
        <v>7</v>
      </c>
      <c r="D22" s="297">
        <v>0.26555999999999991</v>
      </c>
      <c r="E22" s="145">
        <f t="shared" si="1"/>
        <v>0.20291000000000001</v>
      </c>
      <c r="F22" s="145"/>
      <c r="G22" s="145"/>
      <c r="H22" s="145">
        <f>[3]Temporaries!AE22</f>
        <v>6.0969999999999996E-2</v>
      </c>
      <c r="I22" s="282">
        <f t="shared" si="2"/>
        <v>0.52943999999999991</v>
      </c>
      <c r="J22" s="152"/>
      <c r="K22" s="145">
        <v>4.1709999999999997E-2</v>
      </c>
      <c r="L22" s="152"/>
      <c r="M22" s="297">
        <f t="shared" si="3"/>
        <v>0.26555999999999991</v>
      </c>
      <c r="N22" s="145">
        <f t="shared" si="4"/>
        <v>0.30726999999999993</v>
      </c>
      <c r="O22" s="145">
        <f>'Allocation = % of margin'!P22</f>
        <v>-4.4200000000000003E-3</v>
      </c>
      <c r="P22" s="145">
        <f>'Allocation = % of margin'!S22</f>
        <v>0</v>
      </c>
      <c r="Q22" s="145">
        <f>'Allocation = % of margin'!V22</f>
        <v>-1.8329999999999999E-2</v>
      </c>
      <c r="R22" s="282">
        <f t="shared" si="5"/>
        <v>0.54839999999999989</v>
      </c>
      <c r="S22" s="238"/>
      <c r="T22" s="308"/>
      <c r="U22" s="63"/>
      <c r="V22" s="152"/>
      <c r="W22" s="152"/>
      <c r="X22" s="152"/>
      <c r="Y22" s="283"/>
      <c r="Z22" s="152"/>
    </row>
    <row r="23" spans="1:26" x14ac:dyDescent="0.25">
      <c r="A23" s="47">
        <f t="shared" si="0"/>
        <v>17</v>
      </c>
      <c r="B23" s="47" t="s">
        <v>109</v>
      </c>
      <c r="C23" s="15" t="s">
        <v>6</v>
      </c>
      <c r="D23" s="241">
        <v>0.30076999999999998</v>
      </c>
      <c r="E23" s="152">
        <v>0</v>
      </c>
      <c r="F23" s="152"/>
      <c r="G23" s="152"/>
      <c r="H23" s="152">
        <f>[3]Temporaries!AE23</f>
        <v>-4.8999999999999998E-4</v>
      </c>
      <c r="I23" s="283">
        <f t="shared" si="2"/>
        <v>0.30027999999999999</v>
      </c>
      <c r="J23" s="152"/>
      <c r="K23" s="152">
        <v>5.2569999999999999E-2</v>
      </c>
      <c r="L23" s="152"/>
      <c r="M23" s="241">
        <f t="shared" si="3"/>
        <v>0.30076999999999998</v>
      </c>
      <c r="N23" s="152">
        <f t="shared" si="4"/>
        <v>0.35333999999999999</v>
      </c>
      <c r="O23" s="152">
        <f>'Allocation = % of margin'!P23</f>
        <v>-5.4299999999999999E-3</v>
      </c>
      <c r="P23" s="152">
        <f>'Allocation = % of margin'!S23</f>
        <v>0</v>
      </c>
      <c r="Q23" s="152">
        <f>'Allocation = % of margin'!V23</f>
        <v>-2.2530000000000001E-2</v>
      </c>
      <c r="R23" s="283">
        <f t="shared" si="5"/>
        <v>0.32489000000000001</v>
      </c>
      <c r="S23" s="238"/>
      <c r="T23" s="347">
        <f>'Avg Bill by RS'!H25</f>
        <v>500</v>
      </c>
      <c r="U23" s="348">
        <f>'Avg Bill by RS'!G25</f>
        <v>500</v>
      </c>
      <c r="V23" s="152">
        <v>0</v>
      </c>
      <c r="W23" s="152">
        <v>0</v>
      </c>
      <c r="X23" s="152">
        <v>0</v>
      </c>
      <c r="Y23" s="283">
        <v>0</v>
      </c>
      <c r="Z23" s="152"/>
    </row>
    <row r="24" spans="1:26" x14ac:dyDescent="0.25">
      <c r="A24" s="47">
        <f t="shared" si="0"/>
        <v>18</v>
      </c>
      <c r="B24" s="51"/>
      <c r="C24" s="18" t="s">
        <v>7</v>
      </c>
      <c r="D24" s="297">
        <v>0.26500000000000001</v>
      </c>
      <c r="E24" s="145">
        <v>0</v>
      </c>
      <c r="F24" s="145"/>
      <c r="G24" s="145"/>
      <c r="H24" s="145">
        <f>[3]Temporaries!AE24</f>
        <v>-4.2999999999999999E-4</v>
      </c>
      <c r="I24" s="282">
        <f t="shared" si="2"/>
        <v>0.26457000000000003</v>
      </c>
      <c r="J24" s="152"/>
      <c r="K24" s="145">
        <v>4.632E-2</v>
      </c>
      <c r="L24" s="152"/>
      <c r="M24" s="297">
        <f t="shared" si="3"/>
        <v>0.26500000000000001</v>
      </c>
      <c r="N24" s="145">
        <f>M24+K24</f>
        <v>0.31132000000000004</v>
      </c>
      <c r="O24" s="145">
        <f>'Allocation = % of margin'!P24</f>
        <v>-4.79E-3</v>
      </c>
      <c r="P24" s="145">
        <f>'Allocation = % of margin'!S24</f>
        <v>0</v>
      </c>
      <c r="Q24" s="145">
        <f>'Allocation = % of margin'!V24</f>
        <v>-1.985E-2</v>
      </c>
      <c r="R24" s="282">
        <f t="shared" si="5"/>
        <v>0.28625000000000006</v>
      </c>
      <c r="S24" s="238"/>
      <c r="T24" s="347"/>
      <c r="U24" s="348"/>
      <c r="V24" s="152"/>
      <c r="W24" s="152"/>
      <c r="X24" s="152"/>
      <c r="Y24" s="283"/>
      <c r="Z24" s="152"/>
    </row>
    <row r="25" spans="1:26" x14ac:dyDescent="0.25">
      <c r="A25" s="47">
        <f t="shared" si="0"/>
        <v>19</v>
      </c>
      <c r="B25" s="47" t="s">
        <v>168</v>
      </c>
      <c r="C25" s="15" t="s">
        <v>6</v>
      </c>
      <c r="D25" s="241">
        <v>0.30168000000000023</v>
      </c>
      <c r="E25" s="152">
        <f t="shared" ref="E25:E40" si="6">+$E$13</f>
        <v>0.20291000000000001</v>
      </c>
      <c r="F25" s="152"/>
      <c r="G25" s="152"/>
      <c r="H25" s="152">
        <f>[3]Temporaries!AE25</f>
        <v>9.4599999999999962E-3</v>
      </c>
      <c r="I25" s="283">
        <f t="shared" si="2"/>
        <v>0.51405000000000023</v>
      </c>
      <c r="J25" s="152"/>
      <c r="K25" s="152">
        <v>4.7379999999999999E-2</v>
      </c>
      <c r="L25" s="152"/>
      <c r="M25" s="241">
        <f t="shared" si="3"/>
        <v>0.30168000000000017</v>
      </c>
      <c r="N25" s="152">
        <f t="shared" si="4"/>
        <v>0.34906000000000015</v>
      </c>
      <c r="O25" s="152">
        <f>'Allocation = % of margin'!P25</f>
        <v>-4.8999999999999998E-3</v>
      </c>
      <c r="P25" s="152">
        <f>'Allocation = % of margin'!S25</f>
        <v>0</v>
      </c>
      <c r="Q25" s="152">
        <f>'Allocation = % of margin'!V25</f>
        <v>-2.0310000000000002E-2</v>
      </c>
      <c r="R25" s="283">
        <f t="shared" si="5"/>
        <v>0.53622000000000025</v>
      </c>
      <c r="S25" s="238"/>
      <c r="T25" s="347">
        <f>'Avg Bill by RS'!H28</f>
        <v>250</v>
      </c>
      <c r="U25" s="348">
        <f>'Avg Bill by RS'!G28</f>
        <v>250</v>
      </c>
      <c r="V25" s="152">
        <v>0</v>
      </c>
      <c r="W25" s="152">
        <v>0</v>
      </c>
      <c r="X25" s="152">
        <v>0</v>
      </c>
      <c r="Y25" s="283">
        <v>0</v>
      </c>
      <c r="Z25" s="152"/>
    </row>
    <row r="26" spans="1:26" x14ac:dyDescent="0.25">
      <c r="A26" s="47">
        <f t="shared" si="0"/>
        <v>20</v>
      </c>
      <c r="B26" s="51"/>
      <c r="C26" s="18" t="s">
        <v>7</v>
      </c>
      <c r="D26" s="297">
        <v>0.26581999999999989</v>
      </c>
      <c r="E26" s="145">
        <f t="shared" si="6"/>
        <v>0.20291000000000001</v>
      </c>
      <c r="F26" s="145"/>
      <c r="G26" s="145"/>
      <c r="H26" s="145">
        <f>[3]Temporaries!AE26</f>
        <v>9.099999999999997E-3</v>
      </c>
      <c r="I26" s="282">
        <f t="shared" si="2"/>
        <v>0.47782999999999987</v>
      </c>
      <c r="J26" s="152"/>
      <c r="K26" s="145">
        <v>4.1750000000000002E-2</v>
      </c>
      <c r="L26" s="152"/>
      <c r="M26" s="297">
        <f t="shared" si="3"/>
        <v>0.26581999999999983</v>
      </c>
      <c r="N26" s="145">
        <f t="shared" si="4"/>
        <v>0.30756999999999984</v>
      </c>
      <c r="O26" s="145">
        <f>'Allocation = % of margin'!P26</f>
        <v>-4.3200000000000001E-3</v>
      </c>
      <c r="P26" s="145">
        <f>'Allocation = % of margin'!S26</f>
        <v>0</v>
      </c>
      <c r="Q26" s="145">
        <f>'Allocation = % of margin'!V26</f>
        <v>-1.7899999999999999E-2</v>
      </c>
      <c r="R26" s="282">
        <f t="shared" si="5"/>
        <v>0.49735999999999991</v>
      </c>
      <c r="S26" s="238"/>
      <c r="T26" s="347"/>
      <c r="U26" s="348"/>
      <c r="V26" s="152"/>
      <c r="W26" s="152"/>
      <c r="X26" s="152"/>
      <c r="Y26" s="283"/>
      <c r="Z26" s="152"/>
    </row>
    <row r="27" spans="1:26" x14ac:dyDescent="0.25">
      <c r="A27" s="47">
        <f t="shared" si="0"/>
        <v>21</v>
      </c>
      <c r="B27" s="47" t="s">
        <v>169</v>
      </c>
      <c r="C27" s="15" t="s">
        <v>6</v>
      </c>
      <c r="D27" s="241">
        <v>0.30141000000000001</v>
      </c>
      <c r="E27" s="152">
        <f t="shared" si="6"/>
        <v>0.20291000000000001</v>
      </c>
      <c r="F27" s="152"/>
      <c r="G27" s="152"/>
      <c r="H27" s="152">
        <f>[3]Temporaries!AE27</f>
        <v>2.8359999999999996E-2</v>
      </c>
      <c r="I27" s="283">
        <f t="shared" si="2"/>
        <v>0.53268000000000004</v>
      </c>
      <c r="J27" s="152"/>
      <c r="K27" s="152">
        <v>4.734E-2</v>
      </c>
      <c r="L27" s="152"/>
      <c r="M27" s="241">
        <f t="shared" si="3"/>
        <v>0.30141000000000001</v>
      </c>
      <c r="N27" s="152">
        <f t="shared" si="4"/>
        <v>0.34875</v>
      </c>
      <c r="O27" s="152">
        <f>'Allocation = % of margin'!P27</f>
        <v>-5.0200000000000002E-3</v>
      </c>
      <c r="P27" s="152">
        <f>'Allocation = % of margin'!S27</f>
        <v>0</v>
      </c>
      <c r="Q27" s="152">
        <f>'Allocation = % of margin'!V27</f>
        <v>-2.0799999999999999E-2</v>
      </c>
      <c r="R27" s="283">
        <f t="shared" si="5"/>
        <v>0.55420000000000003</v>
      </c>
      <c r="S27" s="238"/>
      <c r="T27" s="347">
        <f>'Avg Bill by RS'!H31</f>
        <v>250</v>
      </c>
      <c r="U27" s="348">
        <f>'Avg Bill by RS'!G31</f>
        <v>250</v>
      </c>
      <c r="V27" s="152">
        <v>0</v>
      </c>
      <c r="W27" s="152">
        <v>0</v>
      </c>
      <c r="X27" s="152">
        <v>0</v>
      </c>
      <c r="Y27" s="283">
        <v>0</v>
      </c>
      <c r="Z27" s="152"/>
    </row>
    <row r="28" spans="1:26" x14ac:dyDescent="0.25">
      <c r="A28" s="47">
        <f t="shared" si="0"/>
        <v>22</v>
      </c>
      <c r="B28" s="51"/>
      <c r="C28" s="18" t="s">
        <v>7</v>
      </c>
      <c r="D28" s="297">
        <v>0.26555999999999991</v>
      </c>
      <c r="E28" s="145">
        <f t="shared" si="6"/>
        <v>0.20291000000000001</v>
      </c>
      <c r="F28" s="145"/>
      <c r="G28" s="145"/>
      <c r="H28" s="145">
        <f>[3]Temporaries!AE28</f>
        <v>2.7999999999999997E-2</v>
      </c>
      <c r="I28" s="282">
        <f t="shared" si="2"/>
        <v>0.49646999999999997</v>
      </c>
      <c r="J28" s="152"/>
      <c r="K28" s="145">
        <v>4.1709999999999997E-2</v>
      </c>
      <c r="L28" s="152"/>
      <c r="M28" s="297">
        <f t="shared" si="3"/>
        <v>0.26555999999999991</v>
      </c>
      <c r="N28" s="145">
        <f t="shared" si="4"/>
        <v>0.30726999999999993</v>
      </c>
      <c r="O28" s="145">
        <f>'Allocation = % of margin'!P28</f>
        <v>-4.4200000000000003E-3</v>
      </c>
      <c r="P28" s="145">
        <f>'Allocation = % of margin'!S28</f>
        <v>0</v>
      </c>
      <c r="Q28" s="145">
        <f>'Allocation = % of margin'!V28</f>
        <v>-1.8329999999999999E-2</v>
      </c>
      <c r="R28" s="282">
        <f t="shared" si="5"/>
        <v>0.51542999999999994</v>
      </c>
      <c r="S28" s="238"/>
      <c r="T28" s="308"/>
      <c r="U28" s="63"/>
      <c r="V28" s="152"/>
      <c r="W28" s="152"/>
      <c r="X28" s="152"/>
      <c r="Y28" s="283"/>
      <c r="Z28" s="152"/>
    </row>
    <row r="29" spans="1:26" x14ac:dyDescent="0.25">
      <c r="A29" s="47">
        <f t="shared" si="0"/>
        <v>23</v>
      </c>
      <c r="B29" s="47" t="s">
        <v>110</v>
      </c>
      <c r="C29" s="15" t="s">
        <v>6</v>
      </c>
      <c r="D29" s="241">
        <v>0.11876999999999993</v>
      </c>
      <c r="E29" s="152">
        <f t="shared" si="6"/>
        <v>0.20291000000000001</v>
      </c>
      <c r="F29" s="152"/>
      <c r="G29" s="152"/>
      <c r="H29" s="152">
        <f>[3]Temporaries!AE29</f>
        <v>2.9659999999999995E-2</v>
      </c>
      <c r="I29" s="283">
        <f t="shared" si="2"/>
        <v>0.35133999999999999</v>
      </c>
      <c r="J29" s="152"/>
      <c r="K29" s="152">
        <v>3.6949999999999997E-2</v>
      </c>
      <c r="L29" s="152"/>
      <c r="M29" s="241">
        <f t="shared" si="3"/>
        <v>0.11876999999999999</v>
      </c>
      <c r="N29" s="152">
        <f t="shared" si="4"/>
        <v>0.15571999999999997</v>
      </c>
      <c r="O29" s="152">
        <f>'Allocation = % of margin'!P29</f>
        <v>-3.2599999999999999E-3</v>
      </c>
      <c r="P29" s="152">
        <f>'Allocation = % of margin'!S29</f>
        <v>0</v>
      </c>
      <c r="Q29" s="152">
        <f>'Allocation = % of margin'!V29</f>
        <v>-1.3520000000000001E-2</v>
      </c>
      <c r="R29" s="283">
        <f t="shared" si="5"/>
        <v>0.37150999999999995</v>
      </c>
      <c r="S29" s="238"/>
      <c r="T29" s="347">
        <f>'Avg Bill by RS'!H34</f>
        <v>1300</v>
      </c>
      <c r="U29" s="348">
        <f>'Avg Bill by RS'!G34</f>
        <v>1300</v>
      </c>
      <c r="V29" s="152">
        <v>0.15748000000000001</v>
      </c>
      <c r="W29" s="152">
        <v>0.15748000000000001</v>
      </c>
      <c r="X29" s="152">
        <v>0.20415</v>
      </c>
      <c r="Y29" s="283">
        <v>0.20415</v>
      </c>
      <c r="Z29" s="152"/>
    </row>
    <row r="30" spans="1:26" x14ac:dyDescent="0.25">
      <c r="A30" s="47">
        <f t="shared" si="0"/>
        <v>24</v>
      </c>
      <c r="B30" s="47"/>
      <c r="C30" s="15" t="s">
        <v>7</v>
      </c>
      <c r="D30" s="241">
        <v>0.10631999999999978</v>
      </c>
      <c r="E30" s="152">
        <f t="shared" si="6"/>
        <v>0.20291000000000001</v>
      </c>
      <c r="F30" s="152"/>
      <c r="G30" s="152"/>
      <c r="H30" s="152">
        <f>[3]Temporaries!AE30</f>
        <v>2.7229999999999997E-2</v>
      </c>
      <c r="I30" s="283">
        <f t="shared" si="2"/>
        <v>0.33645999999999976</v>
      </c>
      <c r="J30" s="152"/>
      <c r="K30" s="152">
        <v>3.3070000000000002E-2</v>
      </c>
      <c r="L30" s="152"/>
      <c r="M30" s="241">
        <f t="shared" si="3"/>
        <v>0.10631999999999975</v>
      </c>
      <c r="N30" s="152">
        <f t="shared" si="4"/>
        <v>0.13938999999999974</v>
      </c>
      <c r="O30" s="152">
        <f>'Allocation = % of margin'!P30</f>
        <v>-2.9199999999999999E-3</v>
      </c>
      <c r="P30" s="152">
        <f>'Allocation = % of margin'!S30</f>
        <v>0</v>
      </c>
      <c r="Q30" s="152">
        <f>'Allocation = % of margin'!V30</f>
        <v>-1.2109999999999999E-2</v>
      </c>
      <c r="R30" s="283">
        <f t="shared" si="5"/>
        <v>0.35449999999999976</v>
      </c>
      <c r="S30" s="238"/>
      <c r="T30" s="347"/>
      <c r="U30" s="348"/>
      <c r="V30" s="152"/>
      <c r="W30" s="152"/>
      <c r="X30" s="152"/>
      <c r="Y30" s="283"/>
      <c r="Z30" s="152"/>
    </row>
    <row r="31" spans="1:26" x14ac:dyDescent="0.25">
      <c r="A31" s="47">
        <f t="shared" si="0"/>
        <v>25</v>
      </c>
      <c r="B31" s="47"/>
      <c r="C31" s="15" t="s">
        <v>8</v>
      </c>
      <c r="D31" s="241">
        <v>8.1539999999999918E-2</v>
      </c>
      <c r="E31" s="152">
        <f t="shared" si="6"/>
        <v>0.20291000000000001</v>
      </c>
      <c r="F31" s="152"/>
      <c r="G31" s="152"/>
      <c r="H31" s="152">
        <f>[3]Temporaries!AE31</f>
        <v>2.2369999999999998E-2</v>
      </c>
      <c r="I31" s="283">
        <f t="shared" si="2"/>
        <v>0.30681999999999993</v>
      </c>
      <c r="J31" s="152"/>
      <c r="K31" s="152">
        <v>2.537E-2</v>
      </c>
      <c r="L31" s="152"/>
      <c r="M31" s="241">
        <f t="shared" si="3"/>
        <v>8.1539999999999918E-2</v>
      </c>
      <c r="N31" s="152">
        <f t="shared" si="4"/>
        <v>0.10690999999999992</v>
      </c>
      <c r="O31" s="152">
        <f>'Allocation = % of margin'!P31</f>
        <v>-2.2399999999999998E-3</v>
      </c>
      <c r="P31" s="152">
        <f>'Allocation = % of margin'!S31</f>
        <v>0</v>
      </c>
      <c r="Q31" s="152">
        <f>'Allocation = % of margin'!V31</f>
        <v>-9.2800000000000001E-3</v>
      </c>
      <c r="R31" s="283">
        <f t="shared" si="5"/>
        <v>0.32066999999999996</v>
      </c>
      <c r="S31" s="238"/>
      <c r="T31" s="308"/>
      <c r="U31" s="63"/>
      <c r="V31" s="152"/>
      <c r="W31" s="152"/>
      <c r="X31" s="152"/>
      <c r="Y31" s="283"/>
      <c r="Z31" s="152"/>
    </row>
    <row r="32" spans="1:26" x14ac:dyDescent="0.25">
      <c r="A32" s="47">
        <f t="shared" si="0"/>
        <v>26</v>
      </c>
      <c r="B32" s="47"/>
      <c r="C32" s="15" t="s">
        <v>9</v>
      </c>
      <c r="D32" s="241">
        <v>6.5230000000000204E-2</v>
      </c>
      <c r="E32" s="152">
        <f t="shared" si="6"/>
        <v>0.20291000000000001</v>
      </c>
      <c r="F32" s="152"/>
      <c r="G32" s="152"/>
      <c r="H32" s="152">
        <f>[3]Temporaries!AE32</f>
        <v>1.9169999999999996E-2</v>
      </c>
      <c r="I32" s="283">
        <f t="shared" si="2"/>
        <v>0.28731000000000023</v>
      </c>
      <c r="J32" s="152"/>
      <c r="K32" s="152">
        <v>2.0289999999999999E-2</v>
      </c>
      <c r="L32" s="152"/>
      <c r="M32" s="241">
        <f t="shared" si="3"/>
        <v>6.5230000000000232E-2</v>
      </c>
      <c r="N32" s="152">
        <f t="shared" si="4"/>
        <v>8.5520000000000235E-2</v>
      </c>
      <c r="O32" s="152">
        <f>'Allocation = % of margin'!P32</f>
        <v>-1.7899999999999999E-3</v>
      </c>
      <c r="P32" s="152">
        <f>'Allocation = % of margin'!S32</f>
        <v>0</v>
      </c>
      <c r="Q32" s="152">
        <f>'Allocation = % of margin'!V32</f>
        <v>-7.43E-3</v>
      </c>
      <c r="R32" s="283">
        <f t="shared" si="5"/>
        <v>0.2983800000000002</v>
      </c>
      <c r="S32" s="238"/>
      <c r="T32" s="347"/>
      <c r="U32" s="348"/>
      <c r="V32" s="152"/>
      <c r="W32" s="152"/>
      <c r="X32" s="152"/>
      <c r="Y32" s="283"/>
      <c r="Z32" s="152"/>
    </row>
    <row r="33" spans="1:26" x14ac:dyDescent="0.25">
      <c r="A33" s="47">
        <f t="shared" si="0"/>
        <v>27</v>
      </c>
      <c r="B33" s="47"/>
      <c r="C33" s="15" t="s">
        <v>10</v>
      </c>
      <c r="D33" s="241">
        <v>4.3479999999999935E-2</v>
      </c>
      <c r="E33" s="152">
        <f t="shared" si="6"/>
        <v>0.20291000000000001</v>
      </c>
      <c r="F33" s="152"/>
      <c r="G33" s="152"/>
      <c r="H33" s="152">
        <f>[3]Temporaries!AE33</f>
        <v>1.4909999999999998E-2</v>
      </c>
      <c r="I33" s="283">
        <f t="shared" si="2"/>
        <v>0.26129999999999992</v>
      </c>
      <c r="J33" s="152"/>
      <c r="K33" s="152">
        <v>1.3520000000000001E-2</v>
      </c>
      <c r="L33" s="152"/>
      <c r="M33" s="241">
        <f t="shared" si="3"/>
        <v>4.3479999999999915E-2</v>
      </c>
      <c r="N33" s="152">
        <f t="shared" si="4"/>
        <v>5.6999999999999912E-2</v>
      </c>
      <c r="O33" s="152">
        <f>'Allocation = % of margin'!P33</f>
        <v>-1.1900000000000001E-3</v>
      </c>
      <c r="P33" s="152">
        <f>'Allocation = % of margin'!S33</f>
        <v>0</v>
      </c>
      <c r="Q33" s="152">
        <f>'Allocation = % of margin'!V33</f>
        <v>-4.9500000000000004E-3</v>
      </c>
      <c r="R33" s="283">
        <f t="shared" si="5"/>
        <v>0.26867999999999997</v>
      </c>
      <c r="S33" s="238"/>
      <c r="T33" s="347"/>
      <c r="U33" s="348"/>
      <c r="V33" s="152"/>
      <c r="W33" s="152"/>
      <c r="X33" s="152"/>
      <c r="Y33" s="283"/>
      <c r="Z33" s="152"/>
    </row>
    <row r="34" spans="1:26" x14ac:dyDescent="0.25">
      <c r="A34" s="47">
        <f t="shared" si="0"/>
        <v>28</v>
      </c>
      <c r="B34" s="51"/>
      <c r="C34" s="18" t="s">
        <v>11</v>
      </c>
      <c r="D34" s="297">
        <v>1.6300000000000078E-2</v>
      </c>
      <c r="E34" s="145">
        <f t="shared" si="6"/>
        <v>0.20291000000000001</v>
      </c>
      <c r="F34" s="145"/>
      <c r="G34" s="145"/>
      <c r="H34" s="145">
        <f>[3]Temporaries!AE34</f>
        <v>9.5699999999999969E-3</v>
      </c>
      <c r="I34" s="282">
        <f t="shared" si="2"/>
        <v>0.22878000000000007</v>
      </c>
      <c r="J34" s="152"/>
      <c r="K34" s="145">
        <v>5.0699999999999999E-3</v>
      </c>
      <c r="L34" s="152"/>
      <c r="M34" s="297">
        <f>(I34-E34-F34)-H34</f>
        <v>1.6300000000000064E-2</v>
      </c>
      <c r="N34" s="145">
        <f t="shared" si="4"/>
        <v>2.1370000000000063E-2</v>
      </c>
      <c r="O34" s="145">
        <f>'Allocation = % of margin'!P34</f>
        <v>-4.4999999999999999E-4</v>
      </c>
      <c r="P34" s="145">
        <f>'Allocation = % of margin'!S34</f>
        <v>0</v>
      </c>
      <c r="Q34" s="145">
        <f>'Allocation = % of margin'!V34</f>
        <v>-1.8600000000000001E-3</v>
      </c>
      <c r="R34" s="282">
        <f t="shared" si="5"/>
        <v>0.23154000000000005</v>
      </c>
      <c r="S34" s="238"/>
      <c r="T34" s="308"/>
      <c r="U34" s="63"/>
      <c r="V34" s="152"/>
      <c r="W34" s="152"/>
      <c r="X34" s="152"/>
      <c r="Y34" s="283"/>
      <c r="Z34" s="152"/>
    </row>
    <row r="35" spans="1:26" x14ac:dyDescent="0.25">
      <c r="A35" s="47">
        <f t="shared" si="0"/>
        <v>29</v>
      </c>
      <c r="B35" s="47" t="s">
        <v>111</v>
      </c>
      <c r="C35" s="15" t="s">
        <v>6</v>
      </c>
      <c r="D35" s="241">
        <v>0.11870999999999998</v>
      </c>
      <c r="E35" s="152">
        <f t="shared" si="6"/>
        <v>0.20291000000000001</v>
      </c>
      <c r="F35" s="152"/>
      <c r="G35" s="152"/>
      <c r="H35" s="152">
        <f>[3]Temporaries!AE35</f>
        <v>8.289999999999997E-3</v>
      </c>
      <c r="I35" s="283">
        <f t="shared" si="2"/>
        <v>0.32991000000000004</v>
      </c>
      <c r="J35" s="152"/>
      <c r="K35" s="152">
        <v>3.1390000000000001E-2</v>
      </c>
      <c r="L35" s="152"/>
      <c r="M35" s="241">
        <f t="shared" si="3"/>
        <v>0.11871000000000004</v>
      </c>
      <c r="N35" s="152">
        <f t="shared" si="4"/>
        <v>0.15010000000000004</v>
      </c>
      <c r="O35" s="152">
        <f>'Allocation = % of margin'!P35</f>
        <v>-2.8900000000000002E-3</v>
      </c>
      <c r="P35" s="152">
        <f>'Allocation = % of margin'!S35</f>
        <v>0</v>
      </c>
      <c r="Q35" s="152">
        <f>'Allocation = % of margin'!V35</f>
        <v>-1.2E-2</v>
      </c>
      <c r="R35" s="283">
        <f t="shared" si="5"/>
        <v>0.34641000000000005</v>
      </c>
      <c r="S35" s="238"/>
      <c r="T35" s="347">
        <f>'Avg Bill by RS'!H41</f>
        <v>1300</v>
      </c>
      <c r="U35" s="348">
        <f>'Avg Bill by RS'!G41</f>
        <v>1300</v>
      </c>
      <c r="V35" s="152">
        <v>0.15748000000000001</v>
      </c>
      <c r="W35" s="152">
        <f>V35</f>
        <v>0.15748000000000001</v>
      </c>
      <c r="X35" s="152">
        <v>0.20415</v>
      </c>
      <c r="Y35" s="283">
        <f>X35</f>
        <v>0.20415</v>
      </c>
      <c r="Z35" s="152"/>
    </row>
    <row r="36" spans="1:26" x14ac:dyDescent="0.25">
      <c r="A36" s="47">
        <f t="shared" si="0"/>
        <v>30</v>
      </c>
      <c r="B36" s="47"/>
      <c r="C36" s="15" t="s">
        <v>7</v>
      </c>
      <c r="D36" s="241">
        <v>0.10626000000000008</v>
      </c>
      <c r="E36" s="152">
        <f t="shared" si="6"/>
        <v>0.20291000000000001</v>
      </c>
      <c r="F36" s="152"/>
      <c r="G36" s="152"/>
      <c r="H36" s="152">
        <f>[3]Temporaries!AE36</f>
        <v>8.0999999999999961E-3</v>
      </c>
      <c r="I36" s="283">
        <f t="shared" si="2"/>
        <v>0.31727000000000005</v>
      </c>
      <c r="J36" s="152"/>
      <c r="K36" s="152">
        <v>2.81E-2</v>
      </c>
      <c r="L36" s="152"/>
      <c r="M36" s="241">
        <f t="shared" si="3"/>
        <v>0.10626000000000005</v>
      </c>
      <c r="N36" s="152">
        <f t="shared" si="4"/>
        <v>0.13436000000000003</v>
      </c>
      <c r="O36" s="152">
        <f>'Allocation = % of margin'!P36</f>
        <v>-2.5899999999999999E-3</v>
      </c>
      <c r="P36" s="152">
        <f>'Allocation = % of margin'!S36</f>
        <v>0</v>
      </c>
      <c r="Q36" s="152">
        <f>'Allocation = % of margin'!V36</f>
        <v>-1.074E-2</v>
      </c>
      <c r="R36" s="283">
        <f t="shared" si="5"/>
        <v>0.33204000000000006</v>
      </c>
      <c r="S36" s="238"/>
      <c r="T36" s="347"/>
      <c r="U36" s="348"/>
      <c r="V36" s="152"/>
      <c r="W36" s="152"/>
      <c r="X36" s="152"/>
      <c r="Y36" s="283"/>
      <c r="Z36" s="152"/>
    </row>
    <row r="37" spans="1:26" x14ac:dyDescent="0.25">
      <c r="A37" s="47">
        <f t="shared" si="0"/>
        <v>31</v>
      </c>
      <c r="B37" s="47"/>
      <c r="C37" s="15" t="s">
        <v>8</v>
      </c>
      <c r="D37" s="241">
        <v>8.1489999999999896E-2</v>
      </c>
      <c r="E37" s="152">
        <f t="shared" si="6"/>
        <v>0.20291000000000001</v>
      </c>
      <c r="F37" s="152"/>
      <c r="G37" s="152"/>
      <c r="H37" s="152">
        <f>[3]Temporaries!AE37</f>
        <v>7.6899999999999972E-3</v>
      </c>
      <c r="I37" s="283">
        <f t="shared" si="2"/>
        <v>0.29208999999999985</v>
      </c>
      <c r="J37" s="152"/>
      <c r="K37" s="152">
        <v>2.155E-2</v>
      </c>
      <c r="L37" s="152"/>
      <c r="M37" s="241">
        <f t="shared" si="3"/>
        <v>8.148999999999984E-2</v>
      </c>
      <c r="N37" s="152">
        <f t="shared" si="4"/>
        <v>0.10303999999999984</v>
      </c>
      <c r="O37" s="152">
        <f>'Allocation = % of margin'!P37</f>
        <v>-1.99E-3</v>
      </c>
      <c r="P37" s="152">
        <f>'Allocation = % of margin'!S37</f>
        <v>0</v>
      </c>
      <c r="Q37" s="152">
        <f>'Allocation = % of margin'!V37</f>
        <v>-8.2400000000000008E-3</v>
      </c>
      <c r="R37" s="283">
        <f t="shared" si="5"/>
        <v>0.30340999999999985</v>
      </c>
      <c r="S37" s="238"/>
      <c r="T37" s="347"/>
      <c r="U37" s="348"/>
      <c r="V37" s="152"/>
      <c r="W37" s="152"/>
      <c r="X37" s="152"/>
      <c r="Y37" s="283"/>
      <c r="Z37" s="152"/>
    </row>
    <row r="38" spans="1:26" x14ac:dyDescent="0.25">
      <c r="A38" s="47">
        <f t="shared" si="0"/>
        <v>32</v>
      </c>
      <c r="B38" s="47"/>
      <c r="C38" s="15" t="s">
        <v>9</v>
      </c>
      <c r="D38" s="241">
        <v>6.5190000000000164E-2</v>
      </c>
      <c r="E38" s="152">
        <f t="shared" si="6"/>
        <v>0.20291000000000001</v>
      </c>
      <c r="F38" s="152"/>
      <c r="G38" s="152"/>
      <c r="H38" s="152">
        <f>[3]Temporaries!AE38</f>
        <v>7.4299999999999965E-3</v>
      </c>
      <c r="I38" s="283">
        <f t="shared" si="2"/>
        <v>0.27553000000000016</v>
      </c>
      <c r="J38" s="152"/>
      <c r="K38" s="152">
        <v>1.7239999999999998E-2</v>
      </c>
      <c r="L38" s="152"/>
      <c r="M38" s="241">
        <f t="shared" si="3"/>
        <v>6.5190000000000164E-2</v>
      </c>
      <c r="N38" s="152">
        <f t="shared" si="4"/>
        <v>8.243000000000017E-2</v>
      </c>
      <c r="O38" s="152">
        <f>'Allocation = % of margin'!P38</f>
        <v>-1.5900000000000001E-3</v>
      </c>
      <c r="P38" s="152">
        <f>'Allocation = % of margin'!S38</f>
        <v>0</v>
      </c>
      <c r="Q38" s="152">
        <f>'Allocation = % of margin'!V38</f>
        <v>-6.5900000000000004E-3</v>
      </c>
      <c r="R38" s="283">
        <f t="shared" si="5"/>
        <v>0.28459000000000018</v>
      </c>
      <c r="S38" s="238"/>
      <c r="T38" s="347"/>
      <c r="U38" s="348"/>
      <c r="V38" s="152"/>
      <c r="W38" s="152"/>
      <c r="X38" s="152"/>
      <c r="Y38" s="283"/>
      <c r="Z38" s="152"/>
    </row>
    <row r="39" spans="1:26" x14ac:dyDescent="0.25">
      <c r="A39" s="47">
        <f t="shared" si="0"/>
        <v>33</v>
      </c>
      <c r="B39" s="47"/>
      <c r="C39" s="15" t="s">
        <v>10</v>
      </c>
      <c r="D39" s="241">
        <v>4.3470000000000189E-2</v>
      </c>
      <c r="E39" s="152">
        <f t="shared" si="6"/>
        <v>0.20291000000000001</v>
      </c>
      <c r="F39" s="152"/>
      <c r="G39" s="152"/>
      <c r="H39" s="152">
        <f>[3]Temporaries!AE39</f>
        <v>7.0799999999999969E-3</v>
      </c>
      <c r="I39" s="283">
        <f t="shared" si="2"/>
        <v>0.25346000000000019</v>
      </c>
      <c r="J39" s="152"/>
      <c r="K39" s="152">
        <v>1.15E-2</v>
      </c>
      <c r="L39" s="152"/>
      <c r="M39" s="241">
        <f t="shared" si="3"/>
        <v>4.3470000000000182E-2</v>
      </c>
      <c r="N39" s="152">
        <f t="shared" si="4"/>
        <v>5.4970000000000185E-2</v>
      </c>
      <c r="O39" s="152">
        <f>'Allocation = % of margin'!P39</f>
        <v>-1.06E-3</v>
      </c>
      <c r="P39" s="152">
        <f>'Allocation = % of margin'!S39</f>
        <v>0</v>
      </c>
      <c r="Q39" s="152">
        <f>'Allocation = % of margin'!V39</f>
        <v>-4.3899999999999998E-3</v>
      </c>
      <c r="R39" s="283">
        <f t="shared" si="5"/>
        <v>0.25951000000000018</v>
      </c>
      <c r="S39" s="238"/>
      <c r="T39" s="347"/>
      <c r="U39" s="348"/>
      <c r="V39" s="152"/>
      <c r="W39" s="152"/>
      <c r="X39" s="152"/>
      <c r="Y39" s="283"/>
      <c r="Z39" s="152"/>
    </row>
    <row r="40" spans="1:26" x14ac:dyDescent="0.25">
      <c r="A40" s="47">
        <f t="shared" si="0"/>
        <v>34</v>
      </c>
      <c r="B40" s="51"/>
      <c r="C40" s="18" t="s">
        <v>11</v>
      </c>
      <c r="D40" s="297">
        <v>1.6289999999999916E-2</v>
      </c>
      <c r="E40" s="145">
        <f t="shared" si="6"/>
        <v>0.20291000000000001</v>
      </c>
      <c r="F40" s="145"/>
      <c r="G40" s="145"/>
      <c r="H40" s="145">
        <f>[3]Temporaries!AE40</f>
        <v>6.6399999999999966E-3</v>
      </c>
      <c r="I40" s="282">
        <f t="shared" si="2"/>
        <v>0.22583999999999993</v>
      </c>
      <c r="J40" s="152"/>
      <c r="K40" s="145">
        <v>4.3099999999999996E-3</v>
      </c>
      <c r="L40" s="152"/>
      <c r="M40" s="297">
        <f t="shared" si="3"/>
        <v>1.6289999999999926E-2</v>
      </c>
      <c r="N40" s="145">
        <f t="shared" si="4"/>
        <v>2.0599999999999924E-2</v>
      </c>
      <c r="O40" s="145">
        <f>'Allocation = % of margin'!P40</f>
        <v>-4.0000000000000002E-4</v>
      </c>
      <c r="P40" s="145">
        <f>'Allocation = % of margin'!S40</f>
        <v>0</v>
      </c>
      <c r="Q40" s="145">
        <f>'Allocation = % of margin'!V40</f>
        <v>-1.65E-3</v>
      </c>
      <c r="R40" s="282">
        <f t="shared" si="5"/>
        <v>0.22809999999999994</v>
      </c>
      <c r="S40" s="238"/>
      <c r="T40" s="347"/>
      <c r="U40" s="348"/>
      <c r="V40" s="152"/>
      <c r="W40" s="152"/>
      <c r="X40" s="152"/>
      <c r="Y40" s="283"/>
      <c r="Z40" s="152"/>
    </row>
    <row r="41" spans="1:26" x14ac:dyDescent="0.25">
      <c r="A41" s="47">
        <f t="shared" si="0"/>
        <v>35</v>
      </c>
      <c r="B41" s="47" t="s">
        <v>265</v>
      </c>
      <c r="C41" s="15" t="s">
        <v>6</v>
      </c>
      <c r="D41" s="241">
        <v>0.11817999999999999</v>
      </c>
      <c r="E41" s="152">
        <v>0</v>
      </c>
      <c r="F41" s="152"/>
      <c r="G41" s="152"/>
      <c r="H41" s="152">
        <f>[3]Temporaries!AE41</f>
        <v>-2.2000000000000001E-4</v>
      </c>
      <c r="I41" s="283">
        <f t="shared" si="2"/>
        <v>0.11796</v>
      </c>
      <c r="J41" s="152"/>
      <c r="K41" s="152">
        <v>2.188E-2</v>
      </c>
      <c r="L41" s="152"/>
      <c r="M41" s="241">
        <f t="shared" si="3"/>
        <v>0.11817999999999999</v>
      </c>
      <c r="N41" s="152">
        <f t="shared" si="4"/>
        <v>0.14005999999999999</v>
      </c>
      <c r="O41" s="152">
        <f>'Allocation = % of margin'!P41</f>
        <v>-2.14E-3</v>
      </c>
      <c r="P41" s="152">
        <f>'Allocation = % of margin'!S41</f>
        <v>0</v>
      </c>
      <c r="Q41" s="152">
        <f>'Allocation = % of margin'!V41</f>
        <v>-8.8599999999999998E-3</v>
      </c>
      <c r="R41" s="283">
        <f t="shared" si="5"/>
        <v>0.12883999999999998</v>
      </c>
      <c r="S41" s="238"/>
      <c r="T41" s="347">
        <f>'Avg Bill by RS'!H48</f>
        <v>1550</v>
      </c>
      <c r="U41" s="348">
        <f>'Avg Bill by RS'!G48</f>
        <v>1550</v>
      </c>
      <c r="V41" s="152">
        <v>0.15748000000000001</v>
      </c>
      <c r="W41" s="152">
        <f>V41</f>
        <v>0.15748000000000001</v>
      </c>
      <c r="X41" s="152">
        <v>0</v>
      </c>
      <c r="Y41" s="283">
        <v>0</v>
      </c>
      <c r="Z41" s="152"/>
    </row>
    <row r="42" spans="1:26" x14ac:dyDescent="0.25">
      <c r="A42" s="47">
        <f t="shared" si="0"/>
        <v>36</v>
      </c>
      <c r="B42" s="47"/>
      <c r="C42" s="15" t="s">
        <v>7</v>
      </c>
      <c r="D42" s="241">
        <v>0.10579</v>
      </c>
      <c r="E42" s="152">
        <v>0</v>
      </c>
      <c r="F42" s="152"/>
      <c r="G42" s="152"/>
      <c r="H42" s="152">
        <f>[3]Temporaries!AE42</f>
        <v>-2.0000000000000001E-4</v>
      </c>
      <c r="I42" s="283">
        <f t="shared" si="2"/>
        <v>0.10558999999999999</v>
      </c>
      <c r="J42" s="152"/>
      <c r="K42" s="152">
        <v>1.959E-2</v>
      </c>
      <c r="L42" s="152"/>
      <c r="M42" s="241">
        <f t="shared" si="3"/>
        <v>0.10579</v>
      </c>
      <c r="N42" s="152">
        <f t="shared" si="4"/>
        <v>0.12537999999999999</v>
      </c>
      <c r="O42" s="152">
        <f>'Allocation = % of margin'!P42</f>
        <v>-1.91E-3</v>
      </c>
      <c r="P42" s="152">
        <f>'Allocation = % of margin'!S42</f>
        <v>0</v>
      </c>
      <c r="Q42" s="152">
        <f>'Allocation = % of margin'!V42</f>
        <v>-7.9299999999999995E-3</v>
      </c>
      <c r="R42" s="283">
        <f t="shared" si="5"/>
        <v>0.11533999999999998</v>
      </c>
      <c r="S42" s="238"/>
      <c r="T42" s="347"/>
      <c r="U42" s="348"/>
      <c r="V42" s="152"/>
      <c r="W42" s="152"/>
      <c r="X42" s="152"/>
      <c r="Y42" s="283"/>
      <c r="Z42" s="152"/>
    </row>
    <row r="43" spans="1:26" x14ac:dyDescent="0.25">
      <c r="A43" s="47">
        <f t="shared" si="0"/>
        <v>37</v>
      </c>
      <c r="B43" s="47"/>
      <c r="C43" s="15" t="s">
        <v>8</v>
      </c>
      <c r="D43" s="241">
        <v>8.1119999999999998E-2</v>
      </c>
      <c r="E43" s="152">
        <v>0</v>
      </c>
      <c r="F43" s="152"/>
      <c r="G43" s="152"/>
      <c r="H43" s="152">
        <f>[3]Temporaries!AE43</f>
        <v>-1.4999999999999999E-4</v>
      </c>
      <c r="I43" s="283">
        <f t="shared" si="2"/>
        <v>8.097E-2</v>
      </c>
      <c r="J43" s="152"/>
      <c r="K43" s="152">
        <v>1.502E-2</v>
      </c>
      <c r="L43" s="152"/>
      <c r="M43" s="241">
        <f t="shared" si="3"/>
        <v>8.1119999999999998E-2</v>
      </c>
      <c r="N43" s="152">
        <f t="shared" si="4"/>
        <v>9.6140000000000003E-2</v>
      </c>
      <c r="O43" s="152">
        <f>'Allocation = % of margin'!P43</f>
        <v>-1.47E-3</v>
      </c>
      <c r="P43" s="152">
        <f>'Allocation = % of margin'!S43</f>
        <v>0</v>
      </c>
      <c r="Q43" s="152">
        <f>'Allocation = % of margin'!V43</f>
        <v>-6.0800000000000003E-3</v>
      </c>
      <c r="R43" s="283">
        <f t="shared" si="5"/>
        <v>8.8440000000000005E-2</v>
      </c>
      <c r="S43" s="238"/>
      <c r="T43" s="347"/>
      <c r="U43" s="348"/>
      <c r="V43" s="152"/>
      <c r="W43" s="152"/>
      <c r="X43" s="152"/>
      <c r="Y43" s="283"/>
      <c r="Z43" s="152"/>
    </row>
    <row r="44" spans="1:26" x14ac:dyDescent="0.25">
      <c r="A44" s="47">
        <f t="shared" si="0"/>
        <v>38</v>
      </c>
      <c r="B44" s="47"/>
      <c r="C44" s="15" t="s">
        <v>9</v>
      </c>
      <c r="D44" s="241">
        <v>6.4899999999999999E-2</v>
      </c>
      <c r="E44" s="152">
        <v>0</v>
      </c>
      <c r="F44" s="152"/>
      <c r="G44" s="152"/>
      <c r="H44" s="152">
        <f>[3]Temporaries!AE44</f>
        <v>-1.2E-4</v>
      </c>
      <c r="I44" s="283">
        <f t="shared" si="2"/>
        <v>6.4780000000000004E-2</v>
      </c>
      <c r="J44" s="152"/>
      <c r="K44" s="152">
        <v>1.2019999999999999E-2</v>
      </c>
      <c r="L44" s="152"/>
      <c r="M44" s="241">
        <f t="shared" si="3"/>
        <v>6.4899999999999999E-2</v>
      </c>
      <c r="N44" s="152">
        <f t="shared" si="4"/>
        <v>7.6920000000000002E-2</v>
      </c>
      <c r="O44" s="152">
        <f>'Allocation = % of margin'!P44</f>
        <v>-1.17E-3</v>
      </c>
      <c r="P44" s="152">
        <f>'Allocation = % of margin'!S44</f>
        <v>0</v>
      </c>
      <c r="Q44" s="152">
        <f>'Allocation = % of margin'!V44</f>
        <v>-4.8599999999999997E-3</v>
      </c>
      <c r="R44" s="283">
        <f t="shared" si="5"/>
        <v>7.0770000000000013E-2</v>
      </c>
      <c r="S44" s="238"/>
      <c r="T44" s="347"/>
      <c r="U44" s="348"/>
      <c r="V44" s="152"/>
      <c r="W44" s="152"/>
      <c r="X44" s="152"/>
      <c r="Y44" s="283"/>
      <c r="Z44" s="152"/>
    </row>
    <row r="45" spans="1:26" x14ac:dyDescent="0.25">
      <c r="A45" s="47">
        <f t="shared" si="0"/>
        <v>39</v>
      </c>
      <c r="B45" s="47"/>
      <c r="C45" s="15" t="s">
        <v>10</v>
      </c>
      <c r="D45" s="241">
        <v>4.3270000000000003E-2</v>
      </c>
      <c r="E45" s="152">
        <v>0</v>
      </c>
      <c r="F45" s="152"/>
      <c r="G45" s="152"/>
      <c r="H45" s="152">
        <f>[3]Temporaries!AE45</f>
        <v>-8.0000000000000007E-5</v>
      </c>
      <c r="I45" s="283">
        <f t="shared" si="2"/>
        <v>4.3190000000000006E-2</v>
      </c>
      <c r="J45" s="152"/>
      <c r="K45" s="152">
        <v>8.0099999999999998E-3</v>
      </c>
      <c r="L45" s="152"/>
      <c r="M45" s="241">
        <f>(I45-E45-F45)-H45</f>
        <v>4.3270000000000003E-2</v>
      </c>
      <c r="N45" s="152">
        <f t="shared" ref="N45:N72" si="7">M45+K45</f>
        <v>5.1280000000000006E-2</v>
      </c>
      <c r="O45" s="152">
        <f>'Allocation = % of margin'!P45</f>
        <v>-7.7999999999999999E-4</v>
      </c>
      <c r="P45" s="152">
        <f>'Allocation = % of margin'!S45</f>
        <v>0</v>
      </c>
      <c r="Q45" s="152">
        <f>'Allocation = % of margin'!V45</f>
        <v>-3.2399999999999998E-3</v>
      </c>
      <c r="R45" s="283">
        <f t="shared" ref="R45:R72" si="8">I45-M45+N45+SUM(O45:Q45)</f>
        <v>4.7180000000000007E-2</v>
      </c>
      <c r="S45" s="238"/>
      <c r="T45" s="347"/>
      <c r="U45" s="348"/>
      <c r="V45" s="152"/>
      <c r="W45" s="152"/>
      <c r="X45" s="152"/>
      <c r="Y45" s="283"/>
      <c r="Z45" s="152"/>
    </row>
    <row r="46" spans="1:26" x14ac:dyDescent="0.25">
      <c r="A46" s="47">
        <f t="shared" si="0"/>
        <v>40</v>
      </c>
      <c r="B46" s="51"/>
      <c r="C46" s="18" t="s">
        <v>11</v>
      </c>
      <c r="D46" s="297">
        <v>1.6219999999999998E-2</v>
      </c>
      <c r="E46" s="145">
        <v>0</v>
      </c>
      <c r="F46" s="145"/>
      <c r="G46" s="145"/>
      <c r="H46" s="145">
        <f>[3]Temporaries!AE46</f>
        <v>-3.0000000000000001E-5</v>
      </c>
      <c r="I46" s="282">
        <f t="shared" si="2"/>
        <v>1.619E-2</v>
      </c>
      <c r="J46" s="152"/>
      <c r="K46" s="145">
        <v>3.0000000000000001E-3</v>
      </c>
      <c r="L46" s="152"/>
      <c r="M46" s="297">
        <f t="shared" ref="M46" si="9">(I46-E46-F46)-H46</f>
        <v>1.6219999999999998E-2</v>
      </c>
      <c r="N46" s="145">
        <f t="shared" si="7"/>
        <v>1.9219999999999998E-2</v>
      </c>
      <c r="O46" s="145">
        <f>'Allocation = % of margin'!P46</f>
        <v>-2.9E-4</v>
      </c>
      <c r="P46" s="145">
        <f>'Allocation = % of margin'!S46</f>
        <v>0</v>
      </c>
      <c r="Q46" s="145">
        <f>'Allocation = % of margin'!V46</f>
        <v>-1.2199999999999999E-3</v>
      </c>
      <c r="R46" s="282">
        <f t="shared" si="8"/>
        <v>1.7679999999999998E-2</v>
      </c>
      <c r="S46" s="238"/>
      <c r="T46" s="347"/>
      <c r="U46" s="348"/>
      <c r="V46" s="152"/>
      <c r="W46" s="152"/>
      <c r="X46" s="152"/>
      <c r="Y46" s="283"/>
      <c r="Z46" s="152"/>
    </row>
    <row r="47" spans="1:26" x14ac:dyDescent="0.25">
      <c r="A47" s="47">
        <f t="shared" si="0"/>
        <v>41</v>
      </c>
      <c r="B47" s="47" t="s">
        <v>266</v>
      </c>
      <c r="C47" s="15" t="s">
        <v>6</v>
      </c>
      <c r="D47" s="241">
        <f>D41</f>
        <v>0.11817999999999999</v>
      </c>
      <c r="E47" s="152">
        <v>0</v>
      </c>
      <c r="F47" s="152"/>
      <c r="G47" s="152"/>
      <c r="H47" s="152">
        <f>H41</f>
        <v>-2.2000000000000001E-4</v>
      </c>
      <c r="I47" s="283">
        <f t="shared" ref="I47:I52" si="10">SUM(D47:H47)</f>
        <v>0.11796</v>
      </c>
      <c r="J47" s="152"/>
      <c r="K47" s="152">
        <v>2.2780000000000002E-2</v>
      </c>
      <c r="L47" s="152"/>
      <c r="M47" s="241">
        <f t="shared" ref="M47:M70" si="11">(I47-E47-F47)-H47</f>
        <v>0.11817999999999999</v>
      </c>
      <c r="N47" s="152">
        <f t="shared" si="7"/>
        <v>0.14096</v>
      </c>
      <c r="O47" s="152">
        <f>'Allocation = % of margin'!P47</f>
        <v>-1.5499999999999999E-3</v>
      </c>
      <c r="P47" s="152">
        <f>'Allocation = % of margin'!S47</f>
        <v>0</v>
      </c>
      <c r="Q47" s="152">
        <f>'Allocation = % of margin'!V47</f>
        <v>-6.4400000000000004E-3</v>
      </c>
      <c r="R47" s="283">
        <f t="shared" ref="R47:R50" si="12">I47-M47+N47+SUM(O47:Q47)</f>
        <v>0.13275000000000001</v>
      </c>
      <c r="S47" s="238"/>
      <c r="T47" s="347">
        <f>'Avg Bill by RS'!H55</f>
        <v>1550</v>
      </c>
      <c r="U47" s="348">
        <f>'Avg Bill by RS'!G55</f>
        <v>1550</v>
      </c>
      <c r="V47" s="152">
        <v>0.15748000000000001</v>
      </c>
      <c r="W47" s="152">
        <f>V47</f>
        <v>0.15748000000000001</v>
      </c>
      <c r="X47" s="152">
        <v>0</v>
      </c>
      <c r="Y47" s="283">
        <v>0</v>
      </c>
      <c r="Z47" s="152"/>
    </row>
    <row r="48" spans="1:26" x14ac:dyDescent="0.25">
      <c r="A48" s="47">
        <f t="shared" si="0"/>
        <v>42</v>
      </c>
      <c r="B48" s="47"/>
      <c r="C48" s="15" t="s">
        <v>7</v>
      </c>
      <c r="D48" s="241">
        <f t="shared" ref="D48:D52" si="13">D42</f>
        <v>0.10579</v>
      </c>
      <c r="E48" s="152">
        <v>0</v>
      </c>
      <c r="F48" s="152"/>
      <c r="G48" s="152"/>
      <c r="H48" s="152">
        <f t="shared" ref="H48:H52" si="14">H42</f>
        <v>-2.0000000000000001E-4</v>
      </c>
      <c r="I48" s="283">
        <f t="shared" si="10"/>
        <v>0.10558999999999999</v>
      </c>
      <c r="J48" s="152"/>
      <c r="K48" s="152">
        <v>2.0389999999999998E-2</v>
      </c>
      <c r="L48" s="152"/>
      <c r="M48" s="241">
        <f t="shared" si="11"/>
        <v>0.10579</v>
      </c>
      <c r="N48" s="152">
        <f t="shared" si="7"/>
        <v>0.12617999999999999</v>
      </c>
      <c r="O48" s="152">
        <f>'Allocation = % of margin'!P48</f>
        <v>-1.39E-3</v>
      </c>
      <c r="P48" s="152">
        <f>'Allocation = % of margin'!S48</f>
        <v>0</v>
      </c>
      <c r="Q48" s="152">
        <f>'Allocation = % of margin'!V48</f>
        <v>-5.7600000000000004E-3</v>
      </c>
      <c r="R48" s="283">
        <f t="shared" si="12"/>
        <v>0.11882999999999998</v>
      </c>
      <c r="S48" s="238"/>
      <c r="T48" s="347"/>
      <c r="U48" s="348"/>
      <c r="V48" s="152"/>
      <c r="W48" s="152"/>
      <c r="X48" s="152"/>
      <c r="Y48" s="283"/>
      <c r="Z48" s="152"/>
    </row>
    <row r="49" spans="1:26" x14ac:dyDescent="0.25">
      <c r="A49" s="47">
        <f t="shared" si="0"/>
        <v>43</v>
      </c>
      <c r="B49" s="47"/>
      <c r="C49" s="15" t="s">
        <v>8</v>
      </c>
      <c r="D49" s="241">
        <f t="shared" si="13"/>
        <v>8.1119999999999998E-2</v>
      </c>
      <c r="E49" s="152">
        <v>0</v>
      </c>
      <c r="F49" s="152"/>
      <c r="G49" s="152"/>
      <c r="H49" s="152">
        <f t="shared" si="14"/>
        <v>-1.4999999999999999E-4</v>
      </c>
      <c r="I49" s="283">
        <f t="shared" si="10"/>
        <v>8.097E-2</v>
      </c>
      <c r="J49" s="152"/>
      <c r="K49" s="152">
        <v>1.5640000000000001E-2</v>
      </c>
      <c r="L49" s="152"/>
      <c r="M49" s="241">
        <f t="shared" si="11"/>
        <v>8.1119999999999998E-2</v>
      </c>
      <c r="N49" s="152">
        <f t="shared" si="7"/>
        <v>9.6759999999999999E-2</v>
      </c>
      <c r="O49" s="152">
        <f>'Allocation = % of margin'!P49</f>
        <v>-1.07E-3</v>
      </c>
      <c r="P49" s="152">
        <f>'Allocation = % of margin'!S49</f>
        <v>0</v>
      </c>
      <c r="Q49" s="152">
        <f>'Allocation = % of margin'!V49</f>
        <v>-4.4200000000000003E-3</v>
      </c>
      <c r="R49" s="283">
        <f t="shared" si="12"/>
        <v>9.1120000000000007E-2</v>
      </c>
      <c r="S49" s="238"/>
      <c r="T49" s="347"/>
      <c r="U49" s="348"/>
      <c r="V49" s="152"/>
      <c r="W49" s="152"/>
      <c r="X49" s="152"/>
      <c r="Y49" s="283"/>
      <c r="Z49" s="152"/>
    </row>
    <row r="50" spans="1:26" x14ac:dyDescent="0.25">
      <c r="A50" s="47">
        <f t="shared" si="0"/>
        <v>44</v>
      </c>
      <c r="B50" s="47"/>
      <c r="C50" s="15" t="s">
        <v>9</v>
      </c>
      <c r="D50" s="241">
        <f t="shared" si="13"/>
        <v>6.4899999999999999E-2</v>
      </c>
      <c r="E50" s="152">
        <v>0</v>
      </c>
      <c r="F50" s="152"/>
      <c r="G50" s="152"/>
      <c r="H50" s="152">
        <f t="shared" si="14"/>
        <v>-1.2E-4</v>
      </c>
      <c r="I50" s="283">
        <f t="shared" si="10"/>
        <v>6.4780000000000004E-2</v>
      </c>
      <c r="J50" s="152"/>
      <c r="K50" s="152">
        <v>1.251E-2</v>
      </c>
      <c r="L50" s="152"/>
      <c r="M50" s="241">
        <f>(I50-E50-F50)-H50</f>
        <v>6.4899999999999999E-2</v>
      </c>
      <c r="N50" s="152">
        <f t="shared" si="7"/>
        <v>7.7410000000000007E-2</v>
      </c>
      <c r="O50" s="152">
        <f>'Allocation = % of margin'!P50</f>
        <v>-8.4999999999999995E-4</v>
      </c>
      <c r="P50" s="152">
        <f>'Allocation = % of margin'!S50</f>
        <v>0</v>
      </c>
      <c r="Q50" s="152">
        <f>'Allocation = % of margin'!V50</f>
        <v>-3.5300000000000002E-3</v>
      </c>
      <c r="R50" s="283">
        <f t="shared" si="12"/>
        <v>7.2910000000000016E-2</v>
      </c>
      <c r="S50" s="238"/>
      <c r="T50" s="347"/>
      <c r="U50" s="348"/>
      <c r="V50" s="152"/>
      <c r="W50" s="152"/>
      <c r="X50" s="152"/>
      <c r="Y50" s="283"/>
      <c r="Z50" s="152"/>
    </row>
    <row r="51" spans="1:26" x14ac:dyDescent="0.25">
      <c r="A51" s="47">
        <f t="shared" si="0"/>
        <v>45</v>
      </c>
      <c r="B51" s="47"/>
      <c r="C51" s="15" t="s">
        <v>10</v>
      </c>
      <c r="D51" s="241">
        <f t="shared" si="13"/>
        <v>4.3270000000000003E-2</v>
      </c>
      <c r="E51" s="152">
        <v>0</v>
      </c>
      <c r="F51" s="152"/>
      <c r="G51" s="152"/>
      <c r="H51" s="152">
        <f t="shared" si="14"/>
        <v>-8.0000000000000007E-5</v>
      </c>
      <c r="I51" s="283">
        <f t="shared" si="10"/>
        <v>4.3190000000000006E-2</v>
      </c>
      <c r="J51" s="152"/>
      <c r="K51" s="152">
        <v>8.3400000000000002E-3</v>
      </c>
      <c r="L51" s="152"/>
      <c r="M51" s="241">
        <f t="shared" si="11"/>
        <v>4.3270000000000003E-2</v>
      </c>
      <c r="N51" s="152">
        <f t="shared" ref="N51:N52" si="15">M51+K51</f>
        <v>5.1610000000000003E-2</v>
      </c>
      <c r="O51" s="152">
        <f>'Allocation = % of margin'!P51</f>
        <v>-5.6999999999999998E-4</v>
      </c>
      <c r="P51" s="152">
        <f>'Allocation = % of margin'!S51</f>
        <v>0</v>
      </c>
      <c r="Q51" s="152">
        <f>'Allocation = % of margin'!V51</f>
        <v>-2.3600000000000001E-3</v>
      </c>
      <c r="R51" s="283">
        <f t="shared" ref="R51:R52" si="16">I51-M51+N51+SUM(O51:Q51)</f>
        <v>4.8600000000000004E-2</v>
      </c>
      <c r="S51" s="238"/>
      <c r="T51" s="347"/>
      <c r="U51" s="348"/>
      <c r="V51" s="152"/>
      <c r="W51" s="152"/>
      <c r="X51" s="152"/>
      <c r="Y51" s="283"/>
      <c r="Z51" s="152"/>
    </row>
    <row r="52" spans="1:26" x14ac:dyDescent="0.25">
      <c r="A52" s="47">
        <f t="shared" si="0"/>
        <v>46</v>
      </c>
      <c r="B52" s="51"/>
      <c r="C52" s="18" t="s">
        <v>11</v>
      </c>
      <c r="D52" s="297">
        <f t="shared" si="13"/>
        <v>1.6219999999999998E-2</v>
      </c>
      <c r="E52" s="145">
        <v>0</v>
      </c>
      <c r="F52" s="145"/>
      <c r="G52" s="145"/>
      <c r="H52" s="152">
        <f t="shared" si="14"/>
        <v>-3.0000000000000001E-5</v>
      </c>
      <c r="I52" s="282">
        <f t="shared" si="10"/>
        <v>1.619E-2</v>
      </c>
      <c r="J52" s="152"/>
      <c r="K52" s="145">
        <v>3.13E-3</v>
      </c>
      <c r="L52" s="152"/>
      <c r="M52" s="297">
        <f t="shared" si="11"/>
        <v>1.6219999999999998E-2</v>
      </c>
      <c r="N52" s="145">
        <f t="shared" si="15"/>
        <v>1.9349999999999999E-2</v>
      </c>
      <c r="O52" s="145">
        <f>'Allocation = % of margin'!P52</f>
        <v>-2.1000000000000001E-4</v>
      </c>
      <c r="P52" s="145">
        <f>'Allocation = % of margin'!S52</f>
        <v>0</v>
      </c>
      <c r="Q52" s="145">
        <f>'Allocation = % of margin'!V52</f>
        <v>-8.8000000000000003E-4</v>
      </c>
      <c r="R52" s="282">
        <f t="shared" si="16"/>
        <v>1.823E-2</v>
      </c>
      <c r="S52" s="238"/>
      <c r="T52" s="347"/>
      <c r="U52" s="348"/>
      <c r="V52" s="152"/>
      <c r="W52" s="152"/>
      <c r="X52" s="152"/>
      <c r="Y52" s="283"/>
      <c r="Z52" s="152"/>
    </row>
    <row r="53" spans="1:26" x14ac:dyDescent="0.25">
      <c r="A53" s="47">
        <f t="shared" si="0"/>
        <v>47</v>
      </c>
      <c r="B53" s="47" t="s">
        <v>170</v>
      </c>
      <c r="C53" s="15" t="s">
        <v>6</v>
      </c>
      <c r="D53" s="241">
        <v>0.11855999999999997</v>
      </c>
      <c r="E53" s="152">
        <f t="shared" ref="E53:E64" si="17">+$E$13</f>
        <v>0.20291000000000001</v>
      </c>
      <c r="F53" s="152"/>
      <c r="G53" s="152"/>
      <c r="H53" s="417">
        <f>[3]Temporaries!AE47</f>
        <v>4.3160000000000004E-2</v>
      </c>
      <c r="I53" s="283">
        <f t="shared" si="2"/>
        <v>0.36463000000000001</v>
      </c>
      <c r="J53" s="152"/>
      <c r="K53" s="152">
        <v>2.053E-2</v>
      </c>
      <c r="L53" s="152"/>
      <c r="M53" s="241">
        <f t="shared" si="11"/>
        <v>0.11856</v>
      </c>
      <c r="N53" s="152">
        <f t="shared" si="7"/>
        <v>0.13908999999999999</v>
      </c>
      <c r="O53" s="152">
        <f>'Allocation = % of margin'!P53</f>
        <v>-2.2699999999999999E-3</v>
      </c>
      <c r="P53" s="152">
        <f>'Allocation = % of margin'!S53</f>
        <v>0</v>
      </c>
      <c r="Q53" s="152">
        <f>'Allocation = % of margin'!V53</f>
        <v>-9.4199999999999996E-3</v>
      </c>
      <c r="R53" s="283">
        <f t="shared" si="8"/>
        <v>0.37347000000000002</v>
      </c>
      <c r="S53" s="238"/>
      <c r="T53" s="347">
        <f>'Avg Bill by RS'!H62</f>
        <v>1300</v>
      </c>
      <c r="U53" s="348">
        <f>'Avg Bill by RS'!G62</f>
        <v>1300</v>
      </c>
      <c r="V53" s="152">
        <v>0</v>
      </c>
      <c r="W53" s="152">
        <v>0</v>
      </c>
      <c r="X53" s="152">
        <v>0.10208</v>
      </c>
      <c r="Y53" s="283">
        <f>X53</f>
        <v>0.10208</v>
      </c>
      <c r="Z53" s="152"/>
    </row>
    <row r="54" spans="1:26" x14ac:dyDescent="0.25">
      <c r="A54" s="47">
        <f t="shared" si="0"/>
        <v>48</v>
      </c>
      <c r="B54" s="47"/>
      <c r="C54" s="15" t="s">
        <v>7</v>
      </c>
      <c r="D54" s="241">
        <v>0.10611999999999988</v>
      </c>
      <c r="E54" s="152">
        <f t="shared" si="17"/>
        <v>0.20291000000000001</v>
      </c>
      <c r="F54" s="152"/>
      <c r="G54" s="152"/>
      <c r="H54" s="152">
        <f>[3]Temporaries!AE48</f>
        <v>4.1300000000000003E-2</v>
      </c>
      <c r="I54" s="283">
        <f t="shared" si="2"/>
        <v>0.35032999999999992</v>
      </c>
      <c r="J54" s="152"/>
      <c r="K54" s="152">
        <v>1.8380000000000001E-2</v>
      </c>
      <c r="L54" s="152"/>
      <c r="M54" s="241">
        <f t="shared" si="11"/>
        <v>0.10611999999999991</v>
      </c>
      <c r="N54" s="152">
        <f t="shared" si="7"/>
        <v>0.12449999999999992</v>
      </c>
      <c r="O54" s="152">
        <f>'Allocation = % of margin'!P54</f>
        <v>-2.0300000000000001E-3</v>
      </c>
      <c r="P54" s="152">
        <f>'Allocation = % of margin'!S54</f>
        <v>0</v>
      </c>
      <c r="Q54" s="152">
        <f>'Allocation = % of margin'!V54</f>
        <v>-8.43E-3</v>
      </c>
      <c r="R54" s="283">
        <f t="shared" si="8"/>
        <v>0.3582499999999999</v>
      </c>
      <c r="S54" s="238"/>
      <c r="T54" s="308"/>
      <c r="U54" s="63"/>
      <c r="V54" s="152"/>
      <c r="W54" s="152"/>
      <c r="X54" s="152"/>
      <c r="Y54" s="283"/>
      <c r="Z54" s="152"/>
    </row>
    <row r="55" spans="1:26" x14ac:dyDescent="0.25">
      <c r="A55" s="47">
        <f t="shared" si="0"/>
        <v>49</v>
      </c>
      <c r="B55" s="47"/>
      <c r="C55" s="15" t="s">
        <v>8</v>
      </c>
      <c r="D55" s="241">
        <v>8.1380000000000105E-2</v>
      </c>
      <c r="E55" s="152">
        <f t="shared" si="17"/>
        <v>0.20291000000000001</v>
      </c>
      <c r="F55" s="152"/>
      <c r="G55" s="152"/>
      <c r="H55" s="152">
        <f>[3]Temporaries!AE49</f>
        <v>3.7559999999999996E-2</v>
      </c>
      <c r="I55" s="283">
        <f t="shared" si="2"/>
        <v>0.32185000000000008</v>
      </c>
      <c r="J55" s="152"/>
      <c r="K55" s="152">
        <v>1.409E-2</v>
      </c>
      <c r="L55" s="152"/>
      <c r="M55" s="241">
        <f t="shared" si="11"/>
        <v>8.1380000000000077E-2</v>
      </c>
      <c r="N55" s="152">
        <f t="shared" si="7"/>
        <v>9.5470000000000083E-2</v>
      </c>
      <c r="O55" s="152">
        <f>'Allocation = % of margin'!P55</f>
        <v>-1.56E-3</v>
      </c>
      <c r="P55" s="152">
        <f>'Allocation = % of margin'!S55</f>
        <v>0</v>
      </c>
      <c r="Q55" s="152">
        <f>'Allocation = % of margin'!V55</f>
        <v>-6.4599999999999996E-3</v>
      </c>
      <c r="R55" s="283">
        <f t="shared" si="8"/>
        <v>0.3279200000000001</v>
      </c>
      <c r="S55" s="238"/>
      <c r="T55" s="347"/>
      <c r="U55" s="348"/>
      <c r="V55" s="152"/>
      <c r="W55" s="152"/>
      <c r="X55" s="152"/>
      <c r="Y55" s="283"/>
      <c r="Z55" s="152"/>
    </row>
    <row r="56" spans="1:26" x14ac:dyDescent="0.25">
      <c r="A56" s="47">
        <f t="shared" si="0"/>
        <v>50</v>
      </c>
      <c r="B56" s="47"/>
      <c r="C56" s="15" t="s">
        <v>9</v>
      </c>
      <c r="D56" s="241">
        <v>6.5099999999999936E-2</v>
      </c>
      <c r="E56" s="152">
        <f t="shared" si="17"/>
        <v>0.20291000000000001</v>
      </c>
      <c r="F56" s="152"/>
      <c r="G56" s="152"/>
      <c r="H56" s="152">
        <f>[3]Temporaries!AE50</f>
        <v>3.5119999999999998E-2</v>
      </c>
      <c r="I56" s="283">
        <f t="shared" si="2"/>
        <v>0.30312999999999996</v>
      </c>
      <c r="J56" s="152"/>
      <c r="K56" s="152">
        <v>1.128E-2</v>
      </c>
      <c r="L56" s="152"/>
      <c r="M56" s="241">
        <f t="shared" si="11"/>
        <v>6.509999999999995E-2</v>
      </c>
      <c r="N56" s="152">
        <f t="shared" si="7"/>
        <v>7.6379999999999948E-2</v>
      </c>
      <c r="O56" s="152">
        <f>'Allocation = % of margin'!P56</f>
        <v>-1.25E-3</v>
      </c>
      <c r="P56" s="152">
        <f>'Allocation = % of margin'!S56</f>
        <v>0</v>
      </c>
      <c r="Q56" s="152">
        <f>'Allocation = % of margin'!V56</f>
        <v>-5.1700000000000001E-3</v>
      </c>
      <c r="R56" s="283">
        <f t="shared" si="8"/>
        <v>0.30798999999999999</v>
      </c>
      <c r="S56" s="238"/>
      <c r="T56" s="347"/>
      <c r="U56" s="348"/>
      <c r="V56" s="152"/>
      <c r="W56" s="152"/>
      <c r="X56" s="152"/>
      <c r="Y56" s="283"/>
      <c r="Z56" s="152"/>
    </row>
    <row r="57" spans="1:26" x14ac:dyDescent="0.25">
      <c r="A57" s="47">
        <f t="shared" si="0"/>
        <v>51</v>
      </c>
      <c r="B57" s="47"/>
      <c r="C57" s="15" t="s">
        <v>10</v>
      </c>
      <c r="D57" s="241">
        <v>4.3400000000000022E-2</v>
      </c>
      <c r="E57" s="152">
        <f t="shared" si="17"/>
        <v>0.20291000000000001</v>
      </c>
      <c r="F57" s="152"/>
      <c r="G57" s="152"/>
      <c r="H57" s="152">
        <f>[3]Temporaries!AE51</f>
        <v>3.1859999999999999E-2</v>
      </c>
      <c r="I57" s="283">
        <f t="shared" si="2"/>
        <v>0.27817000000000003</v>
      </c>
      <c r="J57" s="152"/>
      <c r="K57" s="152">
        <v>7.5199999999999998E-3</v>
      </c>
      <c r="L57" s="152"/>
      <c r="M57" s="241">
        <f t="shared" si="11"/>
        <v>4.3400000000000022E-2</v>
      </c>
      <c r="N57" s="152">
        <f t="shared" si="7"/>
        <v>5.0920000000000021E-2</v>
      </c>
      <c r="O57" s="152">
        <f>'Allocation = % of margin'!P57</f>
        <v>-8.3000000000000001E-4</v>
      </c>
      <c r="P57" s="152">
        <f>'Allocation = % of margin'!S57</f>
        <v>0</v>
      </c>
      <c r="Q57" s="152">
        <f>'Allocation = % of margin'!V57</f>
        <v>-3.4499999999999999E-3</v>
      </c>
      <c r="R57" s="283">
        <f t="shared" si="8"/>
        <v>0.28140999999999999</v>
      </c>
      <c r="S57" s="238"/>
      <c r="T57" s="347"/>
      <c r="U57" s="348"/>
      <c r="V57" s="152"/>
      <c r="W57" s="152"/>
      <c r="X57" s="152"/>
      <c r="Y57" s="283"/>
      <c r="Z57" s="152"/>
    </row>
    <row r="58" spans="1:26" x14ac:dyDescent="0.25">
      <c r="A58" s="47">
        <f t="shared" si="0"/>
        <v>52</v>
      </c>
      <c r="B58" s="51"/>
      <c r="C58" s="18" t="s">
        <v>11</v>
      </c>
      <c r="D58" s="297">
        <v>1.6279999999999906E-2</v>
      </c>
      <c r="E58" s="145">
        <f t="shared" si="17"/>
        <v>0.20291000000000001</v>
      </c>
      <c r="F58" s="145"/>
      <c r="G58" s="145"/>
      <c r="H58" s="145">
        <f>[3]Temporaries!AE52</f>
        <v>2.7779999999999999E-2</v>
      </c>
      <c r="I58" s="282">
        <f t="shared" si="2"/>
        <v>0.24696999999999991</v>
      </c>
      <c r="J58" s="152"/>
      <c r="K58" s="145">
        <v>2.82E-3</v>
      </c>
      <c r="L58" s="152"/>
      <c r="M58" s="297">
        <f t="shared" si="11"/>
        <v>1.6279999999999906E-2</v>
      </c>
      <c r="N58" s="145">
        <f t="shared" si="7"/>
        <v>1.9099999999999905E-2</v>
      </c>
      <c r="O58" s="145">
        <f>'Allocation = % of margin'!P58</f>
        <v>-3.1E-4</v>
      </c>
      <c r="P58" s="145">
        <f>'Allocation = % of margin'!S58</f>
        <v>0</v>
      </c>
      <c r="Q58" s="145">
        <f>'Allocation = % of margin'!V58</f>
        <v>-1.2899999999999999E-3</v>
      </c>
      <c r="R58" s="282">
        <f t="shared" si="8"/>
        <v>0.24818999999999991</v>
      </c>
      <c r="S58" s="238"/>
      <c r="T58" s="347"/>
      <c r="U58" s="348"/>
      <c r="V58" s="152"/>
      <c r="W58" s="152"/>
      <c r="X58" s="152"/>
      <c r="Y58" s="283"/>
      <c r="Z58" s="152"/>
    </row>
    <row r="59" spans="1:26" x14ac:dyDescent="0.25">
      <c r="A59" s="47">
        <f t="shared" si="0"/>
        <v>53</v>
      </c>
      <c r="B59" s="47" t="s">
        <v>171</v>
      </c>
      <c r="C59" s="15" t="s">
        <v>6</v>
      </c>
      <c r="D59" s="241">
        <v>0.11869999999999997</v>
      </c>
      <c r="E59" s="152">
        <f t="shared" si="17"/>
        <v>0.20291000000000001</v>
      </c>
      <c r="F59" s="152"/>
      <c r="G59" s="152"/>
      <c r="H59" s="152">
        <f>[3]Temporaries!AE53</f>
        <v>2.7669999999999997E-2</v>
      </c>
      <c r="I59" s="283">
        <f t="shared" si="2"/>
        <v>0.34927999999999992</v>
      </c>
      <c r="J59" s="152"/>
      <c r="K59" s="152">
        <v>3.0089999999999999E-2</v>
      </c>
      <c r="L59" s="152"/>
      <c r="M59" s="241">
        <f t="shared" si="11"/>
        <v>0.11869999999999992</v>
      </c>
      <c r="N59" s="152">
        <f t="shared" si="7"/>
        <v>0.14878999999999992</v>
      </c>
      <c r="O59" s="152">
        <f>'Allocation = % of margin'!P59</f>
        <v>-2.9499999999999999E-3</v>
      </c>
      <c r="P59" s="152">
        <f>'Allocation = % of margin'!S59</f>
        <v>0</v>
      </c>
      <c r="Q59" s="152">
        <f>'Allocation = % of margin'!V59</f>
        <v>-1.225E-2</v>
      </c>
      <c r="R59" s="283">
        <f t="shared" si="8"/>
        <v>0.36416999999999994</v>
      </c>
      <c r="S59" s="238"/>
      <c r="T59" s="347">
        <f>'Avg Bill by RS'!H69</f>
        <v>1300</v>
      </c>
      <c r="U59" s="348">
        <f>'Avg Bill by RS'!G69</f>
        <v>1300</v>
      </c>
      <c r="V59" s="152">
        <v>0</v>
      </c>
      <c r="W59" s="152">
        <v>0</v>
      </c>
      <c r="X59" s="152">
        <v>0.10208</v>
      </c>
      <c r="Y59" s="283">
        <f>X59</f>
        <v>0.10208</v>
      </c>
      <c r="Z59" s="152"/>
    </row>
    <row r="60" spans="1:26" x14ac:dyDescent="0.25">
      <c r="A60" s="47">
        <f t="shared" si="0"/>
        <v>54</v>
      </c>
      <c r="B60" s="47"/>
      <c r="C60" s="15" t="s">
        <v>7</v>
      </c>
      <c r="D60" s="241">
        <v>0.10624999999999987</v>
      </c>
      <c r="E60" s="152">
        <f t="shared" si="17"/>
        <v>0.20291000000000001</v>
      </c>
      <c r="F60" s="152"/>
      <c r="G60" s="152"/>
      <c r="H60" s="152">
        <f>[3]Temporaries!AE54</f>
        <v>2.743E-2</v>
      </c>
      <c r="I60" s="283">
        <f t="shared" si="2"/>
        <v>0.33658999999999989</v>
      </c>
      <c r="J60" s="152"/>
      <c r="K60" s="152">
        <v>2.6939999999999999E-2</v>
      </c>
      <c r="L60" s="152"/>
      <c r="M60" s="241">
        <f t="shared" si="11"/>
        <v>0.10624999999999989</v>
      </c>
      <c r="N60" s="152">
        <f t="shared" si="7"/>
        <v>0.13318999999999989</v>
      </c>
      <c r="O60" s="152">
        <f>'Allocation = % of margin'!P60</f>
        <v>-2.64E-3</v>
      </c>
      <c r="P60" s="152">
        <f>'Allocation = % of margin'!S60</f>
        <v>0</v>
      </c>
      <c r="Q60" s="152">
        <f>'Allocation = % of margin'!V60</f>
        <v>-1.0959999999999999E-2</v>
      </c>
      <c r="R60" s="283">
        <f t="shared" si="8"/>
        <v>0.34992999999999991</v>
      </c>
      <c r="S60" s="238"/>
      <c r="T60" s="347"/>
      <c r="U60" s="348"/>
      <c r="V60" s="152"/>
      <c r="W60" s="152"/>
      <c r="X60" s="152"/>
      <c r="Y60" s="283"/>
      <c r="Z60" s="152"/>
    </row>
    <row r="61" spans="1:26" x14ac:dyDescent="0.25">
      <c r="A61" s="47">
        <f t="shared" si="0"/>
        <v>55</v>
      </c>
      <c r="B61" s="47"/>
      <c r="C61" s="15" t="s">
        <v>8</v>
      </c>
      <c r="D61" s="241">
        <v>8.1480000000000052E-2</v>
      </c>
      <c r="E61" s="152">
        <f t="shared" si="17"/>
        <v>0.20291000000000001</v>
      </c>
      <c r="F61" s="152"/>
      <c r="G61" s="152"/>
      <c r="H61" s="152">
        <f>[3]Temporaries!AE55</f>
        <v>2.6939999999999999E-2</v>
      </c>
      <c r="I61" s="283">
        <f t="shared" si="2"/>
        <v>0.31133000000000005</v>
      </c>
      <c r="J61" s="152"/>
      <c r="K61" s="152">
        <v>2.0660000000000001E-2</v>
      </c>
      <c r="L61" s="152"/>
      <c r="M61" s="241">
        <f t="shared" si="11"/>
        <v>8.1480000000000052E-2</v>
      </c>
      <c r="N61" s="152">
        <f t="shared" si="7"/>
        <v>0.10214000000000005</v>
      </c>
      <c r="O61" s="152">
        <f>'Allocation = % of margin'!P61</f>
        <v>-2.0300000000000001E-3</v>
      </c>
      <c r="P61" s="152">
        <f>'Allocation = % of margin'!S61</f>
        <v>0</v>
      </c>
      <c r="Q61" s="152">
        <f>'Allocation = % of margin'!V61</f>
        <v>-8.4100000000000008E-3</v>
      </c>
      <c r="R61" s="283">
        <f t="shared" si="8"/>
        <v>0.32155000000000006</v>
      </c>
      <c r="S61" s="238"/>
      <c r="T61" s="347"/>
      <c r="U61" s="348"/>
      <c r="V61" s="152"/>
      <c r="W61" s="152"/>
      <c r="X61" s="152"/>
      <c r="Y61" s="283"/>
      <c r="Z61" s="152"/>
    </row>
    <row r="62" spans="1:26" x14ac:dyDescent="0.25">
      <c r="A62" s="47">
        <f t="shared" si="0"/>
        <v>56</v>
      </c>
      <c r="B62" s="47"/>
      <c r="C62" s="15" t="s">
        <v>9</v>
      </c>
      <c r="D62" s="241">
        <v>6.5179999999999821E-2</v>
      </c>
      <c r="E62" s="152">
        <f t="shared" si="17"/>
        <v>0.20291000000000001</v>
      </c>
      <c r="F62" s="152"/>
      <c r="G62" s="152"/>
      <c r="H62" s="152">
        <f>[3]Temporaries!AE56</f>
        <v>2.6609999999999998E-2</v>
      </c>
      <c r="I62" s="283">
        <f t="shared" si="2"/>
        <v>0.29469999999999985</v>
      </c>
      <c r="J62" s="152"/>
      <c r="K62" s="152">
        <v>1.653E-2</v>
      </c>
      <c r="L62" s="152"/>
      <c r="M62" s="241">
        <f t="shared" si="11"/>
        <v>6.5179999999999849E-2</v>
      </c>
      <c r="N62" s="152">
        <f t="shared" si="7"/>
        <v>8.1709999999999852E-2</v>
      </c>
      <c r="O62" s="152">
        <f>'Allocation = % of margin'!P62</f>
        <v>-1.6199999999999999E-3</v>
      </c>
      <c r="P62" s="152">
        <f>'Allocation = % of margin'!S62</f>
        <v>0</v>
      </c>
      <c r="Q62" s="152">
        <f>'Allocation = % of margin'!V62</f>
        <v>-6.7200000000000003E-3</v>
      </c>
      <c r="R62" s="283">
        <f t="shared" si="8"/>
        <v>0.30288999999999983</v>
      </c>
      <c r="S62" s="238"/>
      <c r="T62" s="347"/>
      <c r="U62" s="348"/>
      <c r="V62" s="152"/>
      <c r="W62" s="152"/>
      <c r="X62" s="152"/>
      <c r="Y62" s="283"/>
      <c r="Z62" s="152"/>
    </row>
    <row r="63" spans="1:26" x14ac:dyDescent="0.25">
      <c r="A63" s="47">
        <f t="shared" si="0"/>
        <v>57</v>
      </c>
      <c r="B63" s="47"/>
      <c r="C63" s="15" t="s">
        <v>10</v>
      </c>
      <c r="D63" s="241">
        <v>4.3450000000000016E-2</v>
      </c>
      <c r="E63" s="152">
        <f t="shared" si="17"/>
        <v>0.20291000000000001</v>
      </c>
      <c r="F63" s="152"/>
      <c r="G63" s="152"/>
      <c r="H63" s="152">
        <f>[3]Temporaries!AE57</f>
        <v>2.6179999999999998E-2</v>
      </c>
      <c r="I63" s="283">
        <f t="shared" si="2"/>
        <v>0.27254</v>
      </c>
      <c r="J63" s="152"/>
      <c r="K63" s="152">
        <v>1.102E-2</v>
      </c>
      <c r="L63" s="152"/>
      <c r="M63" s="241">
        <f t="shared" si="11"/>
        <v>4.3450000000000003E-2</v>
      </c>
      <c r="N63" s="152">
        <f t="shared" si="7"/>
        <v>5.4470000000000005E-2</v>
      </c>
      <c r="O63" s="152">
        <f>'Allocation = % of margin'!P63</f>
        <v>-1.08E-3</v>
      </c>
      <c r="P63" s="152">
        <f>'Allocation = % of margin'!S63</f>
        <v>0</v>
      </c>
      <c r="Q63" s="152">
        <f>'Allocation = % of margin'!V63</f>
        <v>-4.4799999999999996E-3</v>
      </c>
      <c r="R63" s="283">
        <f t="shared" si="8"/>
        <v>0.27800000000000002</v>
      </c>
      <c r="S63" s="238"/>
      <c r="T63" s="347"/>
      <c r="U63" s="348"/>
      <c r="V63" s="152"/>
      <c r="W63" s="152"/>
      <c r="X63" s="152"/>
      <c r="Y63" s="283"/>
      <c r="Z63" s="152"/>
    </row>
    <row r="64" spans="1:26" x14ac:dyDescent="0.25">
      <c r="A64" s="47">
        <f t="shared" si="0"/>
        <v>58</v>
      </c>
      <c r="B64" s="51"/>
      <c r="C64" s="18" t="s">
        <v>11</v>
      </c>
      <c r="D64" s="297">
        <v>1.6299999999999912E-2</v>
      </c>
      <c r="E64" s="145">
        <f t="shared" si="17"/>
        <v>0.20291000000000001</v>
      </c>
      <c r="F64" s="145"/>
      <c r="G64" s="145"/>
      <c r="H64" s="145">
        <f>[3]Temporaries!AE58</f>
        <v>2.5649999999999999E-2</v>
      </c>
      <c r="I64" s="282">
        <f t="shared" si="2"/>
        <v>0.24485999999999991</v>
      </c>
      <c r="J64" s="152"/>
      <c r="K64" s="145">
        <v>4.13E-3</v>
      </c>
      <c r="L64" s="152"/>
      <c r="M64" s="297">
        <f t="shared" si="11"/>
        <v>1.6299999999999905E-2</v>
      </c>
      <c r="N64" s="145">
        <f t="shared" si="7"/>
        <v>2.0429999999999907E-2</v>
      </c>
      <c r="O64" s="145">
        <f>'Allocation = % of margin'!P64</f>
        <v>-4.0999999999999999E-4</v>
      </c>
      <c r="P64" s="145">
        <f>'Allocation = % of margin'!S64</f>
        <v>0</v>
      </c>
      <c r="Q64" s="145">
        <f>'Allocation = % of margin'!V64</f>
        <v>-1.6800000000000001E-3</v>
      </c>
      <c r="R64" s="282">
        <f t="shared" si="8"/>
        <v>0.24689999999999993</v>
      </c>
      <c r="S64" s="238"/>
      <c r="T64" s="308"/>
      <c r="U64" s="63"/>
      <c r="V64" s="152"/>
      <c r="W64" s="152"/>
      <c r="X64" s="152"/>
      <c r="Y64" s="283"/>
      <c r="Z64" s="152"/>
    </row>
    <row r="65" spans="1:26" x14ac:dyDescent="0.25">
      <c r="A65" s="47">
        <f t="shared" si="0"/>
        <v>59</v>
      </c>
      <c r="B65" s="47" t="s">
        <v>112</v>
      </c>
      <c r="C65" s="15" t="s">
        <v>6</v>
      </c>
      <c r="D65" s="298">
        <v>0.11817999999999999</v>
      </c>
      <c r="E65" s="54">
        <v>0</v>
      </c>
      <c r="F65" s="54"/>
      <c r="G65" s="54"/>
      <c r="H65" s="54">
        <f>[3]Temporaries!AE59</f>
        <v>-2.0000000000000001E-4</v>
      </c>
      <c r="I65" s="284">
        <f t="shared" si="2"/>
        <v>0.11797999999999999</v>
      </c>
      <c r="J65" s="54"/>
      <c r="K65" s="152">
        <v>1.78E-2</v>
      </c>
      <c r="L65" s="54"/>
      <c r="M65" s="298">
        <f t="shared" si="11"/>
        <v>0.11817999999999999</v>
      </c>
      <c r="N65" s="54">
        <f t="shared" si="7"/>
        <v>0.13597999999999999</v>
      </c>
      <c r="O65" s="54">
        <f>'Allocation = % of margin'!P65</f>
        <v>-1.9499999999999999E-3</v>
      </c>
      <c r="P65" s="54">
        <f>'Allocation = % of margin'!S65</f>
        <v>0</v>
      </c>
      <c r="Q65" s="54">
        <f>'Allocation = % of margin'!V65</f>
        <v>-8.09E-3</v>
      </c>
      <c r="R65" s="284">
        <f t="shared" si="8"/>
        <v>0.12573999999999999</v>
      </c>
      <c r="S65" s="238"/>
      <c r="T65" s="347">
        <f>'Avg Bill by RS'!H76</f>
        <v>1550</v>
      </c>
      <c r="U65" s="348">
        <f>'Avg Bill by RS'!G76</f>
        <v>1550</v>
      </c>
      <c r="V65" s="152">
        <v>0</v>
      </c>
      <c r="W65" s="152">
        <f>V65</f>
        <v>0</v>
      </c>
      <c r="X65" s="152">
        <v>0</v>
      </c>
      <c r="Y65" s="283">
        <v>0</v>
      </c>
      <c r="Z65" s="152"/>
    </row>
    <row r="66" spans="1:26" x14ac:dyDescent="0.25">
      <c r="A66" s="47">
        <f t="shared" si="0"/>
        <v>60</v>
      </c>
      <c r="B66" s="47"/>
      <c r="C66" s="15" t="s">
        <v>7</v>
      </c>
      <c r="D66" s="298">
        <v>0.10579</v>
      </c>
      <c r="E66" s="54">
        <v>0</v>
      </c>
      <c r="F66" s="54"/>
      <c r="G66" s="54"/>
      <c r="H66" s="54">
        <f>[3]Temporaries!AE60</f>
        <v>-1.8000000000000001E-4</v>
      </c>
      <c r="I66" s="284">
        <f t="shared" si="2"/>
        <v>0.10561</v>
      </c>
      <c r="J66" s="54"/>
      <c r="K66" s="152">
        <v>1.5939999999999999E-2</v>
      </c>
      <c r="L66" s="54"/>
      <c r="M66" s="298">
        <f t="shared" si="11"/>
        <v>0.10579</v>
      </c>
      <c r="N66" s="54">
        <f t="shared" si="7"/>
        <v>0.12172999999999999</v>
      </c>
      <c r="O66" s="54">
        <f>'Allocation = % of margin'!P66</f>
        <v>-1.75E-3</v>
      </c>
      <c r="P66" s="54">
        <f>'Allocation = % of margin'!S66</f>
        <v>0</v>
      </c>
      <c r="Q66" s="54">
        <f>'Allocation = % of margin'!V66</f>
        <v>-7.2399999999999999E-3</v>
      </c>
      <c r="R66" s="284">
        <f t="shared" si="8"/>
        <v>0.11255999999999999</v>
      </c>
      <c r="S66" s="238"/>
      <c r="T66" s="308"/>
      <c r="U66" s="63"/>
      <c r="V66" s="152"/>
      <c r="W66" s="152"/>
      <c r="X66" s="152"/>
      <c r="Y66" s="283"/>
      <c r="Z66" s="152"/>
    </row>
    <row r="67" spans="1:26" x14ac:dyDescent="0.25">
      <c r="A67" s="47">
        <f t="shared" si="0"/>
        <v>61</v>
      </c>
      <c r="B67" s="47"/>
      <c r="C67" s="15" t="s">
        <v>8</v>
      </c>
      <c r="D67" s="298">
        <v>8.1119999999999998E-2</v>
      </c>
      <c r="E67" s="54">
        <v>0</v>
      </c>
      <c r="F67" s="54"/>
      <c r="G67" s="54"/>
      <c r="H67" s="54">
        <f>[3]Temporaries!AE61</f>
        <v>-1.3999999999999999E-4</v>
      </c>
      <c r="I67" s="284">
        <f t="shared" si="2"/>
        <v>8.0979999999999996E-2</v>
      </c>
      <c r="J67" s="54"/>
      <c r="K67" s="152">
        <v>1.222E-2</v>
      </c>
      <c r="L67" s="54"/>
      <c r="M67" s="298">
        <f t="shared" si="11"/>
        <v>8.1119999999999998E-2</v>
      </c>
      <c r="N67" s="54">
        <f t="shared" si="7"/>
        <v>9.3339999999999992E-2</v>
      </c>
      <c r="O67" s="54">
        <f>'Allocation = % of margin'!P67</f>
        <v>-1.34E-3</v>
      </c>
      <c r="P67" s="54">
        <f>'Allocation = % of margin'!S67</f>
        <v>0</v>
      </c>
      <c r="Q67" s="54">
        <f>'Allocation = % of margin'!V67</f>
        <v>-5.5500000000000002E-3</v>
      </c>
      <c r="R67" s="284">
        <f t="shared" si="8"/>
        <v>8.6309999999999998E-2</v>
      </c>
      <c r="S67" s="238"/>
      <c r="T67" s="347"/>
      <c r="U67" s="348"/>
      <c r="V67" s="152"/>
      <c r="W67" s="152"/>
      <c r="X67" s="152"/>
      <c r="Y67" s="283"/>
      <c r="Z67" s="152"/>
    </row>
    <row r="68" spans="1:26" x14ac:dyDescent="0.25">
      <c r="A68" s="47">
        <f t="shared" si="0"/>
        <v>62</v>
      </c>
      <c r="B68" s="47"/>
      <c r="C68" s="15" t="s">
        <v>9</v>
      </c>
      <c r="D68" s="298">
        <v>6.4899999999999999E-2</v>
      </c>
      <c r="E68" s="54">
        <v>0</v>
      </c>
      <c r="F68" s="54"/>
      <c r="G68" s="54"/>
      <c r="H68" s="54">
        <f>[3]Temporaries!AE62</f>
        <v>-1.1E-4</v>
      </c>
      <c r="I68" s="284">
        <f t="shared" si="2"/>
        <v>6.479E-2</v>
      </c>
      <c r="J68" s="54"/>
      <c r="K68" s="152">
        <v>9.7800000000000005E-3</v>
      </c>
      <c r="L68" s="54"/>
      <c r="M68" s="298">
        <f t="shared" si="11"/>
        <v>6.4899999999999999E-2</v>
      </c>
      <c r="N68" s="54">
        <f t="shared" si="7"/>
        <v>7.4679999999999996E-2</v>
      </c>
      <c r="O68" s="54">
        <f>'Allocation = % of margin'!P68</f>
        <v>-1.07E-3</v>
      </c>
      <c r="P68" s="54">
        <f>'Allocation = % of margin'!S68</f>
        <v>0</v>
      </c>
      <c r="Q68" s="54">
        <f>'Allocation = % of margin'!V68</f>
        <v>-4.4400000000000004E-3</v>
      </c>
      <c r="R68" s="284">
        <f t="shared" si="8"/>
        <v>6.9059999999999996E-2</v>
      </c>
      <c r="S68" s="238"/>
      <c r="T68" s="347"/>
      <c r="U68" s="348"/>
      <c r="V68" s="152"/>
      <c r="W68" s="152"/>
      <c r="X68" s="152"/>
      <c r="Y68" s="283"/>
      <c r="Z68" s="152"/>
    </row>
    <row r="69" spans="1:26" x14ac:dyDescent="0.25">
      <c r="A69" s="47">
        <f t="shared" si="0"/>
        <v>63</v>
      </c>
      <c r="B69" s="47"/>
      <c r="C69" s="15" t="s">
        <v>10</v>
      </c>
      <c r="D69" s="298">
        <v>4.3270000000000003E-2</v>
      </c>
      <c r="E69" s="54">
        <v>0</v>
      </c>
      <c r="F69" s="54"/>
      <c r="G69" s="54"/>
      <c r="H69" s="54">
        <f>[3]Temporaries!AE63</f>
        <v>-6.9999999999999994E-5</v>
      </c>
      <c r="I69" s="284">
        <f t="shared" si="2"/>
        <v>4.3200000000000002E-2</v>
      </c>
      <c r="J69" s="54"/>
      <c r="K69" s="152">
        <v>6.5199999999999998E-3</v>
      </c>
      <c r="L69" s="54"/>
      <c r="M69" s="298">
        <f t="shared" si="11"/>
        <v>4.3270000000000003E-2</v>
      </c>
      <c r="N69" s="54">
        <f t="shared" si="7"/>
        <v>4.9790000000000001E-2</v>
      </c>
      <c r="O69" s="54">
        <f>'Allocation = % of margin'!P69</f>
        <v>-7.1000000000000002E-4</v>
      </c>
      <c r="P69" s="54">
        <f>'Allocation = % of margin'!S69</f>
        <v>0</v>
      </c>
      <c r="Q69" s="54">
        <f>'Allocation = % of margin'!V69</f>
        <v>-2.96E-3</v>
      </c>
      <c r="R69" s="284">
        <f t="shared" si="8"/>
        <v>4.6050000000000001E-2</v>
      </c>
      <c r="S69" s="238"/>
      <c r="T69" s="347"/>
      <c r="U69" s="348"/>
      <c r="V69" s="152"/>
      <c r="W69" s="152"/>
      <c r="X69" s="152"/>
      <c r="Y69" s="283"/>
      <c r="Z69" s="152"/>
    </row>
    <row r="70" spans="1:26" x14ac:dyDescent="0.25">
      <c r="A70" s="47">
        <f t="shared" si="0"/>
        <v>64</v>
      </c>
      <c r="B70" s="51"/>
      <c r="C70" s="18" t="s">
        <v>11</v>
      </c>
      <c r="D70" s="299">
        <v>1.6219999999999998E-2</v>
      </c>
      <c r="E70" s="20">
        <v>0</v>
      </c>
      <c r="F70" s="20"/>
      <c r="G70" s="20"/>
      <c r="H70" s="20">
        <f>[3]Temporaries!AE64</f>
        <v>-3.0000000000000001E-5</v>
      </c>
      <c r="I70" s="285">
        <f t="shared" si="2"/>
        <v>1.619E-2</v>
      </c>
      <c r="J70" s="54"/>
      <c r="K70" s="145">
        <v>2.4399999999999999E-3</v>
      </c>
      <c r="L70" s="54"/>
      <c r="M70" s="299">
        <f t="shared" si="11"/>
        <v>1.6219999999999998E-2</v>
      </c>
      <c r="N70" s="20">
        <f t="shared" si="7"/>
        <v>1.866E-2</v>
      </c>
      <c r="O70" s="20">
        <f>'Allocation = % of margin'!P70</f>
        <v>-2.7E-4</v>
      </c>
      <c r="P70" s="20">
        <f>'Allocation = % of margin'!S70</f>
        <v>0</v>
      </c>
      <c r="Q70" s="20">
        <f>'Allocation = % of margin'!V70</f>
        <v>-1.1100000000000001E-3</v>
      </c>
      <c r="R70" s="285">
        <f t="shared" si="8"/>
        <v>1.7250000000000001E-2</v>
      </c>
      <c r="S70" s="238"/>
      <c r="T70" s="347"/>
      <c r="U70" s="238"/>
      <c r="V70" s="152"/>
      <c r="W70" s="152"/>
      <c r="X70" s="152"/>
      <c r="Y70" s="283"/>
      <c r="Z70" s="152"/>
    </row>
    <row r="71" spans="1:26" x14ac:dyDescent="0.25">
      <c r="A71" s="47">
        <f t="shared" si="0"/>
        <v>65</v>
      </c>
      <c r="B71" s="51" t="s">
        <v>113</v>
      </c>
      <c r="C71" s="17"/>
      <c r="D71" s="300">
        <v>4.9899999999999996E-3</v>
      </c>
      <c r="E71" s="19">
        <v>0</v>
      </c>
      <c r="F71" s="19">
        <v>0</v>
      </c>
      <c r="G71" s="19">
        <v>0</v>
      </c>
      <c r="H71" s="19">
        <f>[3]Temporaries!AE65</f>
        <v>-1.0000000000000001E-5</v>
      </c>
      <c r="I71" s="286">
        <f t="shared" si="2"/>
        <v>4.9800000000000001E-3</v>
      </c>
      <c r="J71" s="54"/>
      <c r="K71" s="19">
        <v>0</v>
      </c>
      <c r="L71" s="54"/>
      <c r="M71" s="300">
        <f>(I71-E71-F71)-H71</f>
        <v>4.9899999999999996E-3</v>
      </c>
      <c r="N71" s="19">
        <f t="shared" si="7"/>
        <v>4.9899999999999996E-3</v>
      </c>
      <c r="O71" s="19">
        <f>'Allocation = % of margin'!P71</f>
        <v>-8.0000000000000007E-5</v>
      </c>
      <c r="P71" s="19">
        <f>'Allocation = % of margin'!S71</f>
        <v>0</v>
      </c>
      <c r="Q71" s="19">
        <f>'Allocation = % of margin'!V71</f>
        <v>-3.4000000000000002E-4</v>
      </c>
      <c r="R71" s="286">
        <f t="shared" si="8"/>
        <v>4.5599999999999998E-3</v>
      </c>
      <c r="S71" s="238"/>
      <c r="T71" s="347"/>
      <c r="U71" s="238"/>
      <c r="V71" s="152"/>
      <c r="W71" s="152"/>
      <c r="X71" s="152"/>
      <c r="Y71" s="283"/>
      <c r="Z71" s="152"/>
    </row>
    <row r="72" spans="1:26" x14ac:dyDescent="0.25">
      <c r="A72" s="47">
        <f t="shared" si="0"/>
        <v>66</v>
      </c>
      <c r="B72" s="13" t="s">
        <v>114</v>
      </c>
      <c r="C72" s="10"/>
      <c r="D72" s="299">
        <v>4.9899999999999996E-3</v>
      </c>
      <c r="E72" s="20">
        <v>0</v>
      </c>
      <c r="F72" s="20">
        <v>0</v>
      </c>
      <c r="G72" s="20">
        <v>0</v>
      </c>
      <c r="H72" s="20">
        <f>[3]Temporaries!AE66</f>
        <v>-1.0000000000000001E-5</v>
      </c>
      <c r="I72" s="285">
        <f t="shared" si="2"/>
        <v>4.9800000000000001E-3</v>
      </c>
      <c r="J72" s="54"/>
      <c r="K72" s="20">
        <v>0</v>
      </c>
      <c r="L72" s="54"/>
      <c r="M72" s="299">
        <f>(I72-E72-F72)-H72</f>
        <v>4.9899999999999996E-3</v>
      </c>
      <c r="N72" s="20">
        <f t="shared" si="7"/>
        <v>4.9899999999999996E-3</v>
      </c>
      <c r="O72" s="20">
        <f>'Allocation = % of margin'!P72</f>
        <v>-8.0000000000000007E-5</v>
      </c>
      <c r="P72" s="20">
        <f>'Allocation = % of margin'!S72</f>
        <v>0</v>
      </c>
      <c r="Q72" s="20">
        <f>'Allocation = % of margin'!V72</f>
        <v>-3.4000000000000002E-4</v>
      </c>
      <c r="R72" s="285">
        <f t="shared" si="8"/>
        <v>4.5599999999999998E-3</v>
      </c>
      <c r="S72" s="238"/>
      <c r="T72" s="347"/>
      <c r="U72" s="238"/>
      <c r="V72" s="152"/>
      <c r="W72" s="152"/>
      <c r="X72" s="152"/>
      <c r="Y72" s="283"/>
      <c r="Z72" s="152"/>
    </row>
    <row r="73" spans="1:26" ht="13.8" thickBot="1" x14ac:dyDescent="0.3">
      <c r="A73" s="47">
        <f t="shared" ref="A73:A81" si="18">+A72+1</f>
        <v>67</v>
      </c>
      <c r="B73" s="12" t="s">
        <v>144</v>
      </c>
      <c r="C73" s="10"/>
      <c r="D73" s="418"/>
      <c r="E73" s="287"/>
      <c r="F73" s="287"/>
      <c r="G73" s="288"/>
      <c r="H73" s="288"/>
      <c r="I73" s="394"/>
      <c r="J73" s="54"/>
      <c r="K73" s="20"/>
      <c r="L73" s="54"/>
      <c r="M73" s="419"/>
      <c r="N73" s="288"/>
      <c r="O73" s="288"/>
      <c r="P73" s="288"/>
      <c r="Q73" s="288"/>
      <c r="R73" s="394"/>
      <c r="S73" s="54"/>
      <c r="T73" s="419"/>
      <c r="U73" s="288"/>
      <c r="V73" s="288"/>
      <c r="W73" s="288"/>
      <c r="X73" s="288"/>
      <c r="Y73" s="394"/>
      <c r="Z73" s="54"/>
    </row>
    <row r="74" spans="1:26" x14ac:dyDescent="0.25">
      <c r="A74" s="47">
        <f t="shared" si="18"/>
        <v>68</v>
      </c>
    </row>
    <row r="75" spans="1:26" ht="13.8" thickBot="1" x14ac:dyDescent="0.3">
      <c r="A75" s="47">
        <f t="shared" si="18"/>
        <v>69</v>
      </c>
      <c r="B75" s="385" t="s">
        <v>115</v>
      </c>
    </row>
    <row r="76" spans="1:26" ht="13.8" thickBot="1" x14ac:dyDescent="0.3">
      <c r="A76" s="47">
        <f t="shared" si="18"/>
        <v>70</v>
      </c>
      <c r="B76" s="386" t="s">
        <v>116</v>
      </c>
      <c r="C76" s="61"/>
      <c r="D76" s="61"/>
      <c r="E76" s="395" t="s">
        <v>165</v>
      </c>
      <c r="F76" s="395" t="s">
        <v>165</v>
      </c>
      <c r="G76" s="395" t="s">
        <v>165</v>
      </c>
      <c r="H76" s="61"/>
      <c r="I76" s="26" t="s">
        <v>195</v>
      </c>
      <c r="J76" s="63"/>
      <c r="K76" s="26" t="s">
        <v>246</v>
      </c>
      <c r="L76" s="63"/>
      <c r="M76" s="63"/>
      <c r="N76" s="63"/>
      <c r="O76" s="63"/>
      <c r="P76" s="63"/>
      <c r="Q76" s="63"/>
      <c r="R76" s="63"/>
      <c r="S76" s="63"/>
      <c r="T76" s="63"/>
      <c r="U76" s="63"/>
    </row>
    <row r="77" spans="1:26" ht="13.8" thickBot="1" x14ac:dyDescent="0.3">
      <c r="A77" s="47">
        <f t="shared" si="18"/>
        <v>71</v>
      </c>
      <c r="B77" s="420"/>
    </row>
    <row r="78" spans="1:26" ht="13.8" thickBot="1" x14ac:dyDescent="0.3">
      <c r="A78" s="47">
        <f t="shared" si="18"/>
        <v>72</v>
      </c>
      <c r="B78" s="386" t="s">
        <v>21</v>
      </c>
      <c r="C78" s="61"/>
      <c r="D78" s="61"/>
      <c r="E78" s="273"/>
      <c r="F78" s="273"/>
      <c r="G78" s="61"/>
      <c r="H78" s="26" t="s">
        <v>179</v>
      </c>
      <c r="I78" s="61"/>
      <c r="J78" s="63"/>
      <c r="K78" s="61"/>
      <c r="L78" s="63"/>
      <c r="M78" s="63"/>
      <c r="N78" s="63"/>
      <c r="O78" s="63"/>
      <c r="P78" s="63"/>
      <c r="Q78" s="63"/>
      <c r="R78" s="63"/>
      <c r="S78" s="63"/>
      <c r="T78" s="63"/>
      <c r="U78" s="63"/>
    </row>
    <row r="79" spans="1:26" ht="13.8" thickBot="1" x14ac:dyDescent="0.3">
      <c r="A79" s="47">
        <f t="shared" si="18"/>
        <v>73</v>
      </c>
      <c r="B79" s="386" t="s">
        <v>117</v>
      </c>
      <c r="C79" s="61"/>
      <c r="D79" s="61"/>
      <c r="E79" s="273"/>
      <c r="F79" s="273"/>
      <c r="G79" s="61"/>
      <c r="H79" s="61"/>
      <c r="I79" s="61"/>
      <c r="J79" s="63"/>
      <c r="K79" s="61"/>
      <c r="L79" s="63"/>
      <c r="M79" s="63"/>
      <c r="N79" s="63"/>
      <c r="O79" s="63"/>
      <c r="P79" s="63"/>
      <c r="Q79" s="63"/>
      <c r="R79" s="63"/>
      <c r="S79" s="63"/>
      <c r="T79" s="63"/>
      <c r="U79" s="63"/>
    </row>
    <row r="80" spans="1:26" x14ac:dyDescent="0.25">
      <c r="A80" s="47">
        <f t="shared" si="18"/>
        <v>74</v>
      </c>
      <c r="B80" s="421" t="s">
        <v>150</v>
      </c>
    </row>
    <row r="81" spans="1:2" x14ac:dyDescent="0.25">
      <c r="A81" s="47">
        <f t="shared" si="18"/>
        <v>75</v>
      </c>
      <c r="B81" s="421" t="s">
        <v>283</v>
      </c>
    </row>
    <row r="82" spans="1:2" x14ac:dyDescent="0.25">
      <c r="B82" s="420"/>
    </row>
  </sheetData>
  <mergeCells count="3">
    <mergeCell ref="D7:I7"/>
    <mergeCell ref="M6:R6"/>
    <mergeCell ref="T6:Y6"/>
  </mergeCells>
  <phoneticPr fontId="3" type="noConversion"/>
  <printOptions horizontalCentered="1"/>
  <pageMargins left="0.5" right="0.5" top="0.5" bottom="0.5" header="0.25" footer="0.25"/>
  <pageSetup scale="52" orientation="landscape" r:id="rId1"/>
  <headerFooter alignWithMargins="0">
    <oddHeader xml:space="preserve">&amp;RUG-181053 NWN Compliance Filing
Advice 19-07 / Work Paper
</oddHeader>
    <oddFooter xml:space="preserve">&amp;C&amp;F &amp;D &amp;T
&amp;A 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O94"/>
  <sheetViews>
    <sheetView showGridLines="0" zoomScale="90" zoomScaleNormal="90" workbookViewId="0">
      <pane xSplit="3" ySplit="12" topLeftCell="D13" activePane="bottomRight" state="frozen"/>
      <selection activeCell="O39" sqref="O39"/>
      <selection pane="topRight" activeCell="O39" sqref="O39"/>
      <selection pane="bottomLeft" activeCell="O39" sqref="O39"/>
      <selection pane="bottomRight" activeCell="O39" sqref="O39"/>
    </sheetView>
  </sheetViews>
  <sheetFormatPr defaultColWidth="9.33203125" defaultRowHeight="13.2" outlineLevelCol="1" x14ac:dyDescent="0.25"/>
  <cols>
    <col min="1" max="1" width="6.77734375" style="3" customWidth="1"/>
    <col min="2" max="2" width="19" style="2" customWidth="1"/>
    <col min="3" max="3" width="10.33203125" style="2" customWidth="1"/>
    <col min="4" max="4" width="2.77734375" style="2" customWidth="1"/>
    <col min="5" max="5" width="14.77734375" style="128" customWidth="1"/>
    <col min="6" max="6" width="2.77734375" style="2" customWidth="1"/>
    <col min="7" max="8" width="15.77734375" style="2" customWidth="1"/>
    <col min="9" max="9" width="2.77734375" style="2" customWidth="1"/>
    <col min="10" max="11" width="15.77734375" style="2" customWidth="1" outlineLevel="1"/>
    <col min="12" max="15" width="15.77734375" style="388" customWidth="1" outlineLevel="1"/>
    <col min="16" max="16" width="2.77734375" style="2" customWidth="1"/>
    <col min="17" max="17" width="17.77734375" style="388" customWidth="1"/>
    <col min="18" max="20" width="15.77734375" style="388" customWidth="1"/>
    <col min="21" max="21" width="2.77734375" style="2" customWidth="1"/>
    <col min="22" max="24" width="15.77734375" style="388" customWidth="1"/>
    <col min="25" max="25" width="2.77734375" style="2" customWidth="1"/>
    <col min="26" max="28" width="15.77734375" style="388" customWidth="1"/>
    <col min="29" max="29" width="2.77734375" style="2" customWidth="1"/>
    <col min="30" max="32" width="15.77734375" style="388" customWidth="1"/>
    <col min="33" max="33" width="2.77734375" style="2" customWidth="1"/>
    <col min="34" max="34" width="17" style="2" customWidth="1"/>
    <col min="35" max="35" width="18.109375" style="388" customWidth="1"/>
    <col min="36" max="36" width="2.77734375" style="2" customWidth="1"/>
    <col min="37" max="37" width="22" style="388" bestFit="1" customWidth="1"/>
    <col min="38" max="38" width="22.109375" style="388" customWidth="1"/>
    <col min="39" max="39" width="2.77734375" style="2" customWidth="1"/>
    <col min="40" max="40" width="22" style="3" bestFit="1" customWidth="1"/>
    <col min="41" max="41" width="20.6640625" style="3" customWidth="1"/>
    <col min="42" max="16384" width="9.33203125" style="3"/>
  </cols>
  <sheetData>
    <row r="1" spans="1:41" ht="13.8" thickBot="1" x14ac:dyDescent="0.3">
      <c r="A1" s="133" t="str">
        <f>+'Washington volumes'!A1</f>
        <v>NW Natural</v>
      </c>
    </row>
    <row r="2" spans="1:41" ht="13.8" thickBot="1" x14ac:dyDescent="0.3">
      <c r="A2" s="133" t="str">
        <f>+'Washington volumes'!A2</f>
        <v>Rates &amp; Regulatory Affairs</v>
      </c>
      <c r="E2" s="170"/>
      <c r="V2" s="342" t="s">
        <v>237</v>
      </c>
      <c r="W2" s="343" t="s">
        <v>238</v>
      </c>
      <c r="X2" s="344" t="s">
        <v>200</v>
      </c>
      <c r="Z2" s="342" t="s">
        <v>237</v>
      </c>
      <c r="AA2" s="343" t="s">
        <v>238</v>
      </c>
      <c r="AB2" s="344" t="s">
        <v>200</v>
      </c>
      <c r="AD2" s="342" t="s">
        <v>237</v>
      </c>
      <c r="AE2" s="343" t="s">
        <v>238</v>
      </c>
      <c r="AF2" s="344" t="s">
        <v>200</v>
      </c>
      <c r="AI2" s="260"/>
      <c r="AK2" s="473" t="s">
        <v>222</v>
      </c>
      <c r="AL2" s="474"/>
      <c r="AN2" s="473" t="s">
        <v>208</v>
      </c>
      <c r="AO2" s="474"/>
    </row>
    <row r="3" spans="1:41" x14ac:dyDescent="0.25">
      <c r="A3" s="133" t="str">
        <f>+'Washington volumes'!A3</f>
        <v>2019 WA GRC UG-181053</v>
      </c>
      <c r="E3" s="170"/>
      <c r="V3" s="422">
        <f>SUM(V13:V18)+V21+V24+V27+V30+V33+V40+V47+V54+V61+V68+V75+V82</f>
        <v>31748181.69262382</v>
      </c>
      <c r="W3" s="423">
        <f>SUM(W13:W18)+W21+W24+W27+W30+W33+W40+W47+W54+W61+W68+W75+W82</f>
        <v>8565066.4900000002</v>
      </c>
      <c r="X3" s="424">
        <f>SUM(X13:X18)+X21+X24+X27+X30+X33+X40+X47+X54+X61+X68+X75+X82</f>
        <v>136762.54248</v>
      </c>
      <c r="Z3" s="422">
        <f>SUM(Z13:Z18)+Z21+Z24+Z27+Z30+Z33+Z40+Z47+Z54+Z61+Z68+Z75+Z82</f>
        <v>35433078.949690171</v>
      </c>
      <c r="AA3" s="423">
        <f>SUM(AA13:AA18)+AA21+AA24+AA27+AA30+AA33+AA40+AA47+AA54+AA61+AA68+AA75+AA82</f>
        <v>10018519</v>
      </c>
      <c r="AB3" s="424">
        <f>SUM(AB13:AB18)+AB21+AB24+AB27+AB30+AB33+AB40+AB47+AB54+AB61+AB68+AB75+AB82</f>
        <v>136762.54248</v>
      </c>
      <c r="AD3" s="422">
        <f>SUM(AD13:AD18)+AD21+AD24+AD27+AD30+AD33+AD40+AD47+AD54+AD61+AD68+AD75+AD82</f>
        <v>3684897.2570663528</v>
      </c>
      <c r="AE3" s="423">
        <f>SUM(AE13:AE18)+AE21+AE24+AE27+AE30+AE33+AE40+AE47+AE54+AE61+AE68+AE75+AE82</f>
        <v>1453452.5099999998</v>
      </c>
      <c r="AF3" s="424">
        <f>SUM(AF13:AF18)+AF21+AF24+AF27+AF30+AF33+AF40+AF47+AF54+AF61+AF68+AF75+AF82</f>
        <v>0</v>
      </c>
      <c r="AI3" s="423"/>
      <c r="AK3" s="128" t="s">
        <v>202</v>
      </c>
      <c r="AL3" s="243">
        <f>AD3</f>
        <v>3684897.2570663528</v>
      </c>
      <c r="AN3" s="128" t="s">
        <v>202</v>
      </c>
      <c r="AO3" s="243">
        <v>5875474.3105539801</v>
      </c>
    </row>
    <row r="4" spans="1:41" x14ac:dyDescent="0.25">
      <c r="A4" s="133" t="s">
        <v>249</v>
      </c>
      <c r="D4" s="60"/>
      <c r="E4" s="170"/>
      <c r="F4" s="60"/>
      <c r="G4" s="60"/>
      <c r="I4" s="60"/>
      <c r="J4" s="60"/>
      <c r="K4" s="60"/>
      <c r="P4" s="60"/>
      <c r="U4" s="60"/>
      <c r="V4" s="425"/>
      <c r="W4" s="426"/>
      <c r="X4" s="318" t="s">
        <v>137</v>
      </c>
      <c r="Y4" s="60"/>
      <c r="Z4" s="425"/>
      <c r="AA4" s="426"/>
      <c r="AB4" s="318" t="s">
        <v>137</v>
      </c>
      <c r="AC4" s="60"/>
      <c r="AD4" s="425"/>
      <c r="AE4" s="426"/>
      <c r="AF4" s="318" t="s">
        <v>137</v>
      </c>
      <c r="AG4" s="60"/>
      <c r="AH4" s="60"/>
      <c r="AI4" s="260"/>
      <c r="AJ4" s="60"/>
      <c r="AK4" s="128" t="s">
        <v>203</v>
      </c>
      <c r="AL4" s="243">
        <f>AE3</f>
        <v>1453452.5099999998</v>
      </c>
      <c r="AM4" s="60"/>
      <c r="AN4" s="128" t="s">
        <v>203</v>
      </c>
      <c r="AO4" s="243">
        <v>2364664.5099999998</v>
      </c>
    </row>
    <row r="5" spans="1:41" ht="13.8" thickBot="1" x14ac:dyDescent="0.3">
      <c r="E5" s="170"/>
      <c r="V5" s="427"/>
      <c r="W5" s="428"/>
      <c r="X5" s="429">
        <f>SUM(V3:X3)</f>
        <v>40450010.725103818</v>
      </c>
      <c r="Z5" s="427"/>
      <c r="AA5" s="428"/>
      <c r="AB5" s="429">
        <f>SUM(Z3:AB3)</f>
        <v>45588360.49217017</v>
      </c>
      <c r="AD5" s="427"/>
      <c r="AE5" s="428"/>
      <c r="AF5" s="429">
        <f>SUM(AD3:AF3)</f>
        <v>5138349.7670663521</v>
      </c>
      <c r="AI5" s="423"/>
      <c r="AK5" s="128" t="s">
        <v>204</v>
      </c>
      <c r="AL5" s="243">
        <f>AF3</f>
        <v>0</v>
      </c>
      <c r="AN5" s="128" t="s">
        <v>204</v>
      </c>
      <c r="AO5" s="243">
        <v>72290</v>
      </c>
    </row>
    <row r="6" spans="1:41" ht="13.8" thickBot="1" x14ac:dyDescent="0.3">
      <c r="E6" s="170"/>
      <c r="G6" s="475" t="s">
        <v>250</v>
      </c>
      <c r="H6" s="476"/>
      <c r="J6" s="475" t="s">
        <v>252</v>
      </c>
      <c r="K6" s="477"/>
      <c r="L6" s="477"/>
      <c r="M6" s="477"/>
      <c r="N6" s="477"/>
      <c r="O6" s="476"/>
      <c r="Q6" s="475" t="s">
        <v>251</v>
      </c>
      <c r="R6" s="477"/>
      <c r="S6" s="477"/>
      <c r="T6" s="476"/>
      <c r="AK6" s="128" t="s">
        <v>205</v>
      </c>
      <c r="AL6" s="245">
        <f>SUM(AL3:AL5)</f>
        <v>5138349.7670663521</v>
      </c>
      <c r="AN6" s="128" t="s">
        <v>205</v>
      </c>
      <c r="AO6" s="245">
        <v>8312428.8205539826</v>
      </c>
    </row>
    <row r="7" spans="1:41" x14ac:dyDescent="0.25">
      <c r="A7" s="31">
        <v>1</v>
      </c>
      <c r="D7" s="262"/>
      <c r="E7" s="261" t="s">
        <v>225</v>
      </c>
      <c r="F7" s="262"/>
      <c r="G7" s="274"/>
      <c r="H7" s="291"/>
      <c r="I7" s="262"/>
      <c r="J7" s="301" t="s">
        <v>24</v>
      </c>
      <c r="K7" s="302" t="s">
        <v>30</v>
      </c>
      <c r="L7" s="302" t="s">
        <v>24</v>
      </c>
      <c r="M7" s="302" t="s">
        <v>30</v>
      </c>
      <c r="N7" s="302" t="s">
        <v>24</v>
      </c>
      <c r="O7" s="290" t="s">
        <v>30</v>
      </c>
      <c r="P7" s="262"/>
      <c r="Q7" s="430"/>
      <c r="R7" s="431"/>
      <c r="S7" s="431"/>
      <c r="T7" s="432"/>
      <c r="U7" s="262"/>
      <c r="V7" s="264"/>
      <c r="W7" s="264" t="s">
        <v>253</v>
      </c>
      <c r="X7" s="264"/>
      <c r="Y7" s="260"/>
      <c r="Z7" s="264"/>
      <c r="AA7" s="264" t="s">
        <v>254</v>
      </c>
      <c r="AB7" s="264"/>
      <c r="AC7" s="262"/>
      <c r="AE7" s="264" t="s">
        <v>255</v>
      </c>
      <c r="AG7" s="262"/>
      <c r="AH7" s="262"/>
      <c r="AJ7" s="262"/>
      <c r="AK7" s="128" t="s">
        <v>206</v>
      </c>
      <c r="AL7" s="243"/>
      <c r="AM7" s="262"/>
      <c r="AN7" s="128" t="s">
        <v>206</v>
      </c>
      <c r="AO7" s="243"/>
    </row>
    <row r="8" spans="1:41" ht="13.8" thickBot="1" x14ac:dyDescent="0.3">
      <c r="A8" s="31">
        <f>+A7+1</f>
        <v>2</v>
      </c>
      <c r="D8" s="259"/>
      <c r="E8" s="235" t="s">
        <v>192</v>
      </c>
      <c r="F8" s="259"/>
      <c r="G8" s="389" t="s">
        <v>25</v>
      </c>
      <c r="H8" s="390" t="s">
        <v>225</v>
      </c>
      <c r="I8" s="259"/>
      <c r="J8" s="303">
        <v>43405</v>
      </c>
      <c r="K8" s="127" t="s">
        <v>225</v>
      </c>
      <c r="L8" s="259">
        <v>43405</v>
      </c>
      <c r="M8" s="127" t="s">
        <v>225</v>
      </c>
      <c r="N8" s="259">
        <v>43405</v>
      </c>
      <c r="O8" s="390" t="s">
        <v>225</v>
      </c>
      <c r="P8" s="259"/>
      <c r="Q8" s="311" t="s">
        <v>230</v>
      </c>
      <c r="R8" s="264" t="s">
        <v>230</v>
      </c>
      <c r="S8" s="264" t="s">
        <v>231</v>
      </c>
      <c r="T8" s="312" t="s">
        <v>232</v>
      </c>
      <c r="U8" s="259"/>
      <c r="V8" s="264"/>
      <c r="W8" s="264"/>
      <c r="X8" s="264"/>
      <c r="Y8" s="260"/>
      <c r="Z8" s="264"/>
      <c r="AA8" s="264"/>
      <c r="AB8" s="264"/>
      <c r="AC8" s="259"/>
      <c r="AD8" s="264"/>
      <c r="AE8" s="264"/>
      <c r="AF8" s="264"/>
      <c r="AG8" s="259"/>
      <c r="AH8" s="259"/>
      <c r="AI8" s="264"/>
      <c r="AJ8" s="259"/>
      <c r="AK8" s="128" t="s">
        <v>207</v>
      </c>
      <c r="AL8" s="243">
        <f>'Allocation = % of margin'!N10+'Allocation = % of margin'!Q10+'Allocation = % of margin'!T10</f>
        <v>-2719402</v>
      </c>
      <c r="AM8" s="259"/>
      <c r="AN8" s="128" t="s">
        <v>207</v>
      </c>
      <c r="AO8" s="243">
        <v>-1629403</v>
      </c>
    </row>
    <row r="9" spans="1:41" ht="13.8" thickBot="1" x14ac:dyDescent="0.3">
      <c r="A9" s="31">
        <f t="shared" ref="A9:A73" si="0">+A8+1</f>
        <v>3</v>
      </c>
      <c r="D9" s="260"/>
      <c r="E9" s="129" t="s">
        <v>162</v>
      </c>
      <c r="F9" s="260"/>
      <c r="G9" s="389" t="s">
        <v>223</v>
      </c>
      <c r="H9" s="390" t="s">
        <v>223</v>
      </c>
      <c r="I9" s="260"/>
      <c r="J9" s="304" t="s">
        <v>149</v>
      </c>
      <c r="K9" s="127" t="s">
        <v>149</v>
      </c>
      <c r="L9" s="260" t="s">
        <v>228</v>
      </c>
      <c r="M9" s="127" t="s">
        <v>228</v>
      </c>
      <c r="N9" s="260" t="s">
        <v>229</v>
      </c>
      <c r="O9" s="390" t="s">
        <v>229</v>
      </c>
      <c r="P9" s="260"/>
      <c r="Q9" s="311" t="s">
        <v>233</v>
      </c>
      <c r="R9" s="264" t="s">
        <v>233</v>
      </c>
      <c r="S9" s="264" t="s">
        <v>247</v>
      </c>
      <c r="T9" s="312" t="s">
        <v>129</v>
      </c>
      <c r="U9" s="260"/>
      <c r="V9" s="470" t="s">
        <v>239</v>
      </c>
      <c r="W9" s="471"/>
      <c r="X9" s="472"/>
      <c r="Y9" s="259"/>
      <c r="Z9" s="470" t="s">
        <v>240</v>
      </c>
      <c r="AA9" s="471"/>
      <c r="AB9" s="472"/>
      <c r="AC9" s="260"/>
      <c r="AD9" s="470" t="s">
        <v>227</v>
      </c>
      <c r="AE9" s="471"/>
      <c r="AF9" s="472"/>
      <c r="AG9" s="260"/>
      <c r="AH9" s="7" t="s">
        <v>267</v>
      </c>
      <c r="AI9" s="103" t="s">
        <v>237</v>
      </c>
      <c r="AJ9" s="260"/>
      <c r="AK9" s="137" t="s">
        <v>172</v>
      </c>
      <c r="AL9" s="246">
        <f>AL6+AL8</f>
        <v>2418947.7670663521</v>
      </c>
      <c r="AM9" s="260"/>
      <c r="AN9" s="137" t="s">
        <v>172</v>
      </c>
      <c r="AO9" s="246">
        <v>6683025.8205539826</v>
      </c>
    </row>
    <row r="10" spans="1:41" s="5" customFormat="1" ht="13.8" thickBot="1" x14ac:dyDescent="0.3">
      <c r="A10" s="31">
        <f t="shared" si="0"/>
        <v>4</v>
      </c>
      <c r="B10" s="136"/>
      <c r="C10" s="136"/>
      <c r="D10" s="260"/>
      <c r="E10" s="105" t="s">
        <v>193</v>
      </c>
      <c r="F10" s="260"/>
      <c r="G10" s="391" t="s">
        <v>224</v>
      </c>
      <c r="H10" s="393" t="s">
        <v>224</v>
      </c>
      <c r="I10" s="260"/>
      <c r="J10" s="305" t="s">
        <v>130</v>
      </c>
      <c r="K10" s="392" t="s">
        <v>130</v>
      </c>
      <c r="L10" s="289" t="s">
        <v>130</v>
      </c>
      <c r="M10" s="392" t="s">
        <v>130</v>
      </c>
      <c r="N10" s="289" t="s">
        <v>130</v>
      </c>
      <c r="O10" s="393" t="s">
        <v>130</v>
      </c>
      <c r="P10" s="260"/>
      <c r="Q10" s="313" t="s">
        <v>234</v>
      </c>
      <c r="R10" s="314" t="s">
        <v>236</v>
      </c>
      <c r="S10" s="314" t="s">
        <v>134</v>
      </c>
      <c r="T10" s="315" t="s">
        <v>235</v>
      </c>
      <c r="U10" s="260"/>
      <c r="V10" s="304" t="s">
        <v>237</v>
      </c>
      <c r="W10" s="260" t="s">
        <v>238</v>
      </c>
      <c r="X10" s="318" t="s">
        <v>200</v>
      </c>
      <c r="Y10" s="7"/>
      <c r="Z10" s="304" t="s">
        <v>237</v>
      </c>
      <c r="AA10" s="260" t="s">
        <v>238</v>
      </c>
      <c r="AB10" s="318" t="s">
        <v>200</v>
      </c>
      <c r="AC10" s="260"/>
      <c r="AD10" s="304" t="s">
        <v>237</v>
      </c>
      <c r="AE10" s="260" t="s">
        <v>238</v>
      </c>
      <c r="AF10" s="318" t="s">
        <v>200</v>
      </c>
      <c r="AG10" s="260"/>
      <c r="AH10" s="7" t="s">
        <v>40</v>
      </c>
      <c r="AI10" s="7" t="s">
        <v>40</v>
      </c>
      <c r="AJ10" s="260"/>
      <c r="AK10" s="264"/>
      <c r="AL10" s="264"/>
      <c r="AM10" s="260"/>
    </row>
    <row r="11" spans="1:41" s="5" customFormat="1" x14ac:dyDescent="0.25">
      <c r="A11" s="31">
        <f t="shared" si="0"/>
        <v>5</v>
      </c>
      <c r="B11" s="2"/>
      <c r="C11" s="2"/>
      <c r="D11" s="7"/>
      <c r="E11" s="168"/>
      <c r="F11" s="7"/>
      <c r="G11" s="239"/>
      <c r="H11" s="240"/>
      <c r="I11" s="7"/>
      <c r="J11" s="239"/>
      <c r="O11" s="240"/>
      <c r="P11" s="7"/>
      <c r="Q11" s="389"/>
      <c r="R11" s="127"/>
      <c r="S11" s="127"/>
      <c r="T11" s="390"/>
      <c r="U11" s="7"/>
      <c r="V11" s="239"/>
      <c r="X11" s="240"/>
      <c r="Z11" s="239"/>
      <c r="AB11" s="240"/>
      <c r="AC11" s="7"/>
      <c r="AD11" s="239"/>
      <c r="AF11" s="240"/>
      <c r="AG11" s="7"/>
      <c r="AH11" s="7" t="s">
        <v>256</v>
      </c>
      <c r="AI11" s="7" t="s">
        <v>256</v>
      </c>
      <c r="AJ11" s="7"/>
      <c r="AK11" s="260"/>
      <c r="AL11" s="260"/>
      <c r="AM11" s="7"/>
    </row>
    <row r="12" spans="1:41" s="5" customFormat="1" ht="13.8" thickBot="1" x14ac:dyDescent="0.3">
      <c r="A12" s="31">
        <f t="shared" si="0"/>
        <v>6</v>
      </c>
      <c r="B12" s="40" t="s">
        <v>2</v>
      </c>
      <c r="C12" s="40" t="s">
        <v>3</v>
      </c>
      <c r="D12" s="7"/>
      <c r="E12" s="144" t="s">
        <v>58</v>
      </c>
      <c r="F12" s="7"/>
      <c r="G12" s="274" t="s">
        <v>59</v>
      </c>
      <c r="H12" s="291" t="s">
        <v>16</v>
      </c>
      <c r="I12" s="7"/>
      <c r="J12" s="274"/>
      <c r="K12" s="7"/>
      <c r="L12" s="7"/>
      <c r="M12" s="7"/>
      <c r="N12" s="7"/>
      <c r="O12" s="291"/>
      <c r="P12" s="7"/>
      <c r="Q12" s="274" t="s">
        <v>60</v>
      </c>
      <c r="R12" s="7" t="s">
        <v>61</v>
      </c>
      <c r="S12" s="7" t="s">
        <v>62</v>
      </c>
      <c r="T12" s="291" t="s">
        <v>63</v>
      </c>
      <c r="U12" s="7"/>
      <c r="V12" s="274" t="s">
        <v>64</v>
      </c>
      <c r="W12" s="7" t="s">
        <v>65</v>
      </c>
      <c r="X12" s="291" t="s">
        <v>257</v>
      </c>
      <c r="Y12" s="7"/>
      <c r="Z12" s="274" t="s">
        <v>258</v>
      </c>
      <c r="AA12" s="7" t="s">
        <v>66</v>
      </c>
      <c r="AB12" s="291" t="s">
        <v>259</v>
      </c>
      <c r="AC12" s="7"/>
      <c r="AD12" s="274" t="s">
        <v>260</v>
      </c>
      <c r="AE12" s="7" t="s">
        <v>261</v>
      </c>
      <c r="AF12" s="291" t="s">
        <v>262</v>
      </c>
      <c r="AG12" s="7"/>
      <c r="AH12" s="7" t="s">
        <v>255</v>
      </c>
      <c r="AI12" s="7" t="s">
        <v>255</v>
      </c>
      <c r="AJ12" s="7"/>
      <c r="AM12" s="7"/>
    </row>
    <row r="13" spans="1:41" x14ac:dyDescent="0.25">
      <c r="A13" s="31">
        <f t="shared" si="0"/>
        <v>7</v>
      </c>
      <c r="B13" s="13" t="s">
        <v>4</v>
      </c>
      <c r="C13" s="10"/>
      <c r="D13" s="189"/>
      <c r="E13" s="145">
        <f>'Rates in detail'!K13</f>
        <v>3.4299999999999999E-3</v>
      </c>
      <c r="F13" s="189"/>
      <c r="G13" s="297">
        <f>'Rates in detail'!M13</f>
        <v>0.68448000000000009</v>
      </c>
      <c r="H13" s="282">
        <f>G13+E13</f>
        <v>0.68791000000000013</v>
      </c>
      <c r="I13" s="189"/>
      <c r="J13" s="306">
        <f>'Avg Bill by RS'!H13</f>
        <v>3.47</v>
      </c>
      <c r="K13" s="263">
        <f>'Avg Bill by RS'!G13</f>
        <v>5.5</v>
      </c>
      <c r="L13" s="16">
        <v>0</v>
      </c>
      <c r="M13" s="16">
        <v>0</v>
      </c>
      <c r="N13" s="16">
        <v>0</v>
      </c>
      <c r="O13" s="293">
        <v>0</v>
      </c>
      <c r="P13" s="189"/>
      <c r="Q13" s="316">
        <f>'Washington volumes'!E13</f>
        <v>196427</v>
      </c>
      <c r="R13" s="48">
        <v>0</v>
      </c>
      <c r="S13" s="76">
        <f>'Washington volumes'!H13</f>
        <v>860.33333333333337</v>
      </c>
      <c r="T13" s="317">
        <f>'Washington volumes'!I13</f>
        <v>19.026250000000001</v>
      </c>
      <c r="U13" s="189"/>
      <c r="V13" s="319">
        <f t="shared" ref="V13:V20" si="1">(G13*Q13)</f>
        <v>134450.35296000002</v>
      </c>
      <c r="W13" s="320">
        <f t="shared" ref="W13:W20" si="2">(J13*S13*12)</f>
        <v>35824.280000000006</v>
      </c>
      <c r="X13" s="321">
        <f t="shared" ref="X13:X20" si="3">(R13*(L13+N13))*12</f>
        <v>0</v>
      </c>
      <c r="Y13" s="322"/>
      <c r="Z13" s="319">
        <f t="shared" ref="Z13:Z20" si="4">(H13*Q13)</f>
        <v>135124.09757000001</v>
      </c>
      <c r="AA13" s="320">
        <f t="shared" ref="AA13:AA20" si="5">(K13*S13*12)</f>
        <v>56782.000000000007</v>
      </c>
      <c r="AB13" s="321">
        <f t="shared" ref="AB13:AB20" si="6">(R13*(M13+O13))*12</f>
        <v>0</v>
      </c>
      <c r="AC13" s="322"/>
      <c r="AD13" s="319">
        <f>Z13-V13</f>
        <v>673.74460999999428</v>
      </c>
      <c r="AE13" s="320">
        <f t="shared" ref="AE13:AF32" si="7">AA13-W13</f>
        <v>20957.72</v>
      </c>
      <c r="AF13" s="321">
        <f t="shared" si="7"/>
        <v>0</v>
      </c>
      <c r="AG13" s="322"/>
      <c r="AH13" s="349">
        <f>SUM(AD13:AF13)/SUM(V13:X13)</f>
        <v>0.12703868000750024</v>
      </c>
      <c r="AI13" s="346">
        <f t="shared" ref="AI13:AI82" si="8">SUM(AD13)/SUM(V13)</f>
        <v>5.0111033193080447E-3</v>
      </c>
      <c r="AJ13" s="322"/>
      <c r="AK13" s="265"/>
      <c r="AL13" s="265"/>
      <c r="AM13" s="322"/>
    </row>
    <row r="14" spans="1:41" x14ac:dyDescent="0.25">
      <c r="A14" s="31">
        <f t="shared" si="0"/>
        <v>8</v>
      </c>
      <c r="B14" s="13" t="s">
        <v>5</v>
      </c>
      <c r="C14" s="10"/>
      <c r="D14" s="16"/>
      <c r="E14" s="145">
        <f>'Rates in detail'!K14</f>
        <v>5.6840000000000002E-2</v>
      </c>
      <c r="F14" s="16"/>
      <c r="G14" s="297">
        <f>'Rates in detail'!M14</f>
        <v>0.68406999999999962</v>
      </c>
      <c r="H14" s="282">
        <f t="shared" ref="H14:H84" si="9">G14+E14</f>
        <v>0.74090999999999962</v>
      </c>
      <c r="I14" s="16"/>
      <c r="J14" s="306">
        <f>'Avg Bill by RS'!H14</f>
        <v>3.47</v>
      </c>
      <c r="K14" s="263">
        <f>'Avg Bill by RS'!G14</f>
        <v>7</v>
      </c>
      <c r="L14" s="16">
        <v>0</v>
      </c>
      <c r="M14" s="16">
        <v>0</v>
      </c>
      <c r="N14" s="16">
        <v>0</v>
      </c>
      <c r="O14" s="293">
        <v>0</v>
      </c>
      <c r="P14" s="16"/>
      <c r="Q14" s="316">
        <f>'Washington volumes'!E14</f>
        <v>45533</v>
      </c>
      <c r="R14" s="48">
        <v>0</v>
      </c>
      <c r="S14" s="76">
        <f>'Washington volumes'!H14</f>
        <v>36.916666666666664</v>
      </c>
      <c r="T14" s="317">
        <f>'Washington volumes'!I14</f>
        <v>102.7833</v>
      </c>
      <c r="U14" s="16"/>
      <c r="V14" s="323">
        <f t="shared" si="1"/>
        <v>31147.759309999983</v>
      </c>
      <c r="W14" s="221">
        <f t="shared" si="2"/>
        <v>1537.21</v>
      </c>
      <c r="X14" s="324">
        <f t="shared" si="3"/>
        <v>0</v>
      </c>
      <c r="Y14" s="224"/>
      <c r="Z14" s="323">
        <f t="shared" si="4"/>
        <v>33735.855029999984</v>
      </c>
      <c r="AA14" s="221">
        <f t="shared" si="5"/>
        <v>3100.9999999999995</v>
      </c>
      <c r="AB14" s="324">
        <f t="shared" si="6"/>
        <v>0</v>
      </c>
      <c r="AC14" s="224"/>
      <c r="AD14" s="323">
        <f t="shared" ref="AD14:AF80" si="10">Z14-V14</f>
        <v>2588.0957200000012</v>
      </c>
      <c r="AE14" s="221">
        <f t="shared" si="7"/>
        <v>1563.7899999999995</v>
      </c>
      <c r="AF14" s="324">
        <f t="shared" si="7"/>
        <v>0</v>
      </c>
      <c r="AG14" s="224"/>
      <c r="AH14" s="349">
        <f t="shared" ref="AH14:AH82" si="11">SUM(AD14:AF14)/SUM(V14:X14)</f>
        <v>0.12702737091846461</v>
      </c>
      <c r="AI14" s="346">
        <f t="shared" si="8"/>
        <v>8.3090911748797722E-2</v>
      </c>
      <c r="AJ14" s="224"/>
      <c r="AK14" s="265"/>
      <c r="AL14" s="265"/>
      <c r="AM14" s="224"/>
    </row>
    <row r="15" spans="1:41" x14ac:dyDescent="0.25">
      <c r="A15" s="31">
        <f t="shared" si="0"/>
        <v>9</v>
      </c>
      <c r="B15" s="13" t="s">
        <v>14</v>
      </c>
      <c r="C15" s="10"/>
      <c r="D15" s="16"/>
      <c r="E15" s="145">
        <f>'Rates in detail'!K15</f>
        <v>5.0689999999999999E-2</v>
      </c>
      <c r="F15" s="16"/>
      <c r="G15" s="297">
        <f>'Rates in detail'!M15</f>
        <v>0.4145399999999998</v>
      </c>
      <c r="H15" s="282">
        <f t="shared" si="9"/>
        <v>0.46522999999999981</v>
      </c>
      <c r="I15" s="16"/>
      <c r="J15" s="306">
        <f>'Avg Bill by RS'!H15</f>
        <v>7</v>
      </c>
      <c r="K15" s="263">
        <f>'Avg Bill by RS'!G15</f>
        <v>8</v>
      </c>
      <c r="L15" s="16">
        <v>0</v>
      </c>
      <c r="M15" s="16">
        <v>0</v>
      </c>
      <c r="N15" s="16">
        <v>0</v>
      </c>
      <c r="O15" s="293">
        <v>0</v>
      </c>
      <c r="P15" s="16"/>
      <c r="Q15" s="316">
        <f>'Washington volumes'!E15</f>
        <v>50439545</v>
      </c>
      <c r="R15" s="48">
        <v>0</v>
      </c>
      <c r="S15" s="76">
        <f>'Washington volumes'!H15</f>
        <v>74643.833333333328</v>
      </c>
      <c r="T15" s="317">
        <f>'Washington volumes'!I15</f>
        <v>56.311360000000001</v>
      </c>
      <c r="U15" s="16"/>
      <c r="V15" s="323">
        <f t="shared" si="1"/>
        <v>20909208.984299991</v>
      </c>
      <c r="W15" s="221">
        <f t="shared" si="2"/>
        <v>6270082</v>
      </c>
      <c r="X15" s="324">
        <f t="shared" si="3"/>
        <v>0</v>
      </c>
      <c r="Y15" s="224"/>
      <c r="Z15" s="323">
        <f t="shared" si="4"/>
        <v>23465989.520349991</v>
      </c>
      <c r="AA15" s="221">
        <f t="shared" si="5"/>
        <v>7165808</v>
      </c>
      <c r="AB15" s="324">
        <f t="shared" si="6"/>
        <v>0</v>
      </c>
      <c r="AC15" s="224"/>
      <c r="AD15" s="323">
        <f t="shared" si="10"/>
        <v>2556780.5360499993</v>
      </c>
      <c r="AE15" s="221">
        <f t="shared" si="7"/>
        <v>895726</v>
      </c>
      <c r="AF15" s="324">
        <f t="shared" si="7"/>
        <v>0</v>
      </c>
      <c r="AG15" s="224"/>
      <c r="AH15" s="349">
        <f t="shared" si="11"/>
        <v>0.12702710081894064</v>
      </c>
      <c r="AI15" s="346">
        <f t="shared" si="8"/>
        <v>0.12228011772084722</v>
      </c>
      <c r="AJ15" s="224"/>
      <c r="AK15" s="265"/>
      <c r="AL15" s="265"/>
      <c r="AM15" s="224"/>
    </row>
    <row r="16" spans="1:41" x14ac:dyDescent="0.25">
      <c r="A16" s="31">
        <f t="shared" si="0"/>
        <v>10</v>
      </c>
      <c r="B16" s="13" t="s">
        <v>12</v>
      </c>
      <c r="C16" s="10"/>
      <c r="D16" s="16"/>
      <c r="E16" s="145">
        <f>'Rates in detail'!K16</f>
        <v>3.1440000000000003E-2</v>
      </c>
      <c r="F16" s="16"/>
      <c r="G16" s="297">
        <f>'Rates in detail'!M16</f>
        <v>0.41858000000000012</v>
      </c>
      <c r="H16" s="282">
        <f t="shared" si="9"/>
        <v>0.45002000000000014</v>
      </c>
      <c r="I16" s="16"/>
      <c r="J16" s="306">
        <f>'Avg Bill by RS'!H16</f>
        <v>15</v>
      </c>
      <c r="K16" s="263">
        <f>'Avg Bill by RS'!G16</f>
        <v>22</v>
      </c>
      <c r="L16" s="16">
        <v>0</v>
      </c>
      <c r="M16" s="16">
        <v>0</v>
      </c>
      <c r="N16" s="16">
        <v>0</v>
      </c>
      <c r="O16" s="293">
        <v>0</v>
      </c>
      <c r="P16" s="16"/>
      <c r="Q16" s="316">
        <f>'Washington volumes'!E16</f>
        <v>16896372.415424868</v>
      </c>
      <c r="R16" s="48">
        <v>0</v>
      </c>
      <c r="S16" s="76">
        <f>'Washington volumes'!H16</f>
        <v>6007.083333333333</v>
      </c>
      <c r="T16" s="317">
        <f>'Washington volumes'!I16</f>
        <v>234.39511999999999</v>
      </c>
      <c r="U16" s="16"/>
      <c r="V16" s="323">
        <f t="shared" si="1"/>
        <v>7072483.5656485436</v>
      </c>
      <c r="W16" s="221">
        <f t="shared" si="2"/>
        <v>1081275</v>
      </c>
      <c r="X16" s="324">
        <f t="shared" si="3"/>
        <v>0</v>
      </c>
      <c r="Y16" s="224"/>
      <c r="Z16" s="323">
        <f t="shared" si="4"/>
        <v>7603705.5143895019</v>
      </c>
      <c r="AA16" s="221">
        <f t="shared" si="5"/>
        <v>1585869.9999999998</v>
      </c>
      <c r="AB16" s="324">
        <f t="shared" si="6"/>
        <v>0</v>
      </c>
      <c r="AC16" s="224"/>
      <c r="AD16" s="323">
        <f t="shared" si="10"/>
        <v>531221.94874095824</v>
      </c>
      <c r="AE16" s="221">
        <f t="shared" si="7"/>
        <v>504594.99999999977</v>
      </c>
      <c r="AF16" s="324">
        <f t="shared" si="7"/>
        <v>0</v>
      </c>
      <c r="AG16" s="224"/>
      <c r="AH16" s="349">
        <f t="shared" si="11"/>
        <v>0.12703551869990523</v>
      </c>
      <c r="AI16" s="346">
        <f t="shared" si="8"/>
        <v>7.5111089875292691E-2</v>
      </c>
      <c r="AJ16" s="224"/>
      <c r="AK16" s="265"/>
      <c r="AL16" s="265"/>
      <c r="AM16" s="224"/>
    </row>
    <row r="17" spans="1:39" x14ac:dyDescent="0.25">
      <c r="A17" s="31">
        <f t="shared" si="0"/>
        <v>11</v>
      </c>
      <c r="B17" s="13" t="s">
        <v>13</v>
      </c>
      <c r="C17" s="10"/>
      <c r="D17" s="16"/>
      <c r="E17" s="145">
        <f>'Rates in detail'!K17</f>
        <v>4.9669999999999999E-2</v>
      </c>
      <c r="F17" s="16"/>
      <c r="G17" s="297">
        <f>'Rates in detail'!M17</f>
        <v>0.41844999999999954</v>
      </c>
      <c r="H17" s="282">
        <f t="shared" si="9"/>
        <v>0.46811999999999954</v>
      </c>
      <c r="I17" s="16"/>
      <c r="J17" s="306">
        <f>'Avg Bill by RS'!H17</f>
        <v>15</v>
      </c>
      <c r="K17" s="263">
        <f>'Avg Bill by RS'!G17</f>
        <v>22</v>
      </c>
      <c r="L17" s="16">
        <v>0</v>
      </c>
      <c r="M17" s="16">
        <v>0</v>
      </c>
      <c r="N17" s="16">
        <v>0</v>
      </c>
      <c r="O17" s="293">
        <v>0</v>
      </c>
      <c r="P17" s="16"/>
      <c r="Q17" s="316">
        <f>'Washington volumes'!E17</f>
        <v>478558.2</v>
      </c>
      <c r="R17" s="48">
        <v>0</v>
      </c>
      <c r="S17" s="76">
        <f>'Washington volumes'!H17</f>
        <v>27.333333333333332</v>
      </c>
      <c r="T17" s="317">
        <f>'Washington volumes'!I17</f>
        <v>1459.0189</v>
      </c>
      <c r="U17" s="16"/>
      <c r="V17" s="323">
        <f t="shared" si="1"/>
        <v>200252.67878999977</v>
      </c>
      <c r="W17" s="221">
        <f t="shared" si="2"/>
        <v>4920</v>
      </c>
      <c r="X17" s="324">
        <f t="shared" si="3"/>
        <v>0</v>
      </c>
      <c r="Y17" s="224"/>
      <c r="Z17" s="323">
        <f t="shared" si="4"/>
        <v>224022.66458399978</v>
      </c>
      <c r="AA17" s="221">
        <f t="shared" si="5"/>
        <v>7215.9999999999991</v>
      </c>
      <c r="AB17" s="324">
        <f t="shared" si="6"/>
        <v>0</v>
      </c>
      <c r="AC17" s="224"/>
      <c r="AD17" s="323">
        <f t="shared" si="10"/>
        <v>23769.985794000007</v>
      </c>
      <c r="AE17" s="221">
        <f t="shared" si="7"/>
        <v>2295.9999999999991</v>
      </c>
      <c r="AF17" s="324">
        <f t="shared" si="7"/>
        <v>0</v>
      </c>
      <c r="AG17" s="224"/>
      <c r="AH17" s="349">
        <f t="shared" si="11"/>
        <v>0.12704413642071372</v>
      </c>
      <c r="AI17" s="346">
        <f t="shared" si="8"/>
        <v>0.11869996415342352</v>
      </c>
      <c r="AJ17" s="224"/>
      <c r="AK17" s="265"/>
      <c r="AL17" s="265"/>
      <c r="AM17" s="224"/>
    </row>
    <row r="18" spans="1:39" x14ac:dyDescent="0.25">
      <c r="A18" s="31">
        <f t="shared" si="0"/>
        <v>12</v>
      </c>
      <c r="B18" s="51">
        <v>27</v>
      </c>
      <c r="C18" s="17"/>
      <c r="D18" s="16"/>
      <c r="E18" s="145">
        <f>'Rates in detail'!K18</f>
        <v>-8.5400000000000007E-3</v>
      </c>
      <c r="F18" s="16"/>
      <c r="G18" s="297">
        <f>'Rates in detail'!M18</f>
        <v>0.2541999999999997</v>
      </c>
      <c r="H18" s="282">
        <f t="shared" si="9"/>
        <v>0.24565999999999971</v>
      </c>
      <c r="I18" s="16"/>
      <c r="J18" s="306">
        <f>'Avg Bill by RS'!H18</f>
        <v>6</v>
      </c>
      <c r="K18" s="263">
        <f>'Avg Bill by RS'!G18</f>
        <v>9</v>
      </c>
      <c r="L18" s="16">
        <v>0</v>
      </c>
      <c r="M18" s="16">
        <v>0</v>
      </c>
      <c r="N18" s="16">
        <v>0</v>
      </c>
      <c r="O18" s="293">
        <v>0</v>
      </c>
      <c r="P18" s="16"/>
      <c r="Q18" s="316">
        <f>'Washington volumes'!E18</f>
        <v>517229.53568450134</v>
      </c>
      <c r="R18" s="48">
        <v>0</v>
      </c>
      <c r="S18" s="76">
        <f>'Washington volumes'!H18</f>
        <v>786.5</v>
      </c>
      <c r="T18" s="317">
        <f>'Washington volumes'!I18</f>
        <v>54.802880000000002</v>
      </c>
      <c r="U18" s="16"/>
      <c r="V18" s="323">
        <f t="shared" si="1"/>
        <v>131479.74797100009</v>
      </c>
      <c r="W18" s="221">
        <f t="shared" si="2"/>
        <v>56628</v>
      </c>
      <c r="X18" s="324">
        <f t="shared" si="3"/>
        <v>0</v>
      </c>
      <c r="Y18" s="224"/>
      <c r="Z18" s="323">
        <f t="shared" si="4"/>
        <v>127062.60773625445</v>
      </c>
      <c r="AA18" s="221">
        <f t="shared" si="5"/>
        <v>84942</v>
      </c>
      <c r="AB18" s="324">
        <f t="shared" si="6"/>
        <v>0</v>
      </c>
      <c r="AC18" s="224"/>
      <c r="AD18" s="323">
        <f t="shared" si="10"/>
        <v>-4417.140234745646</v>
      </c>
      <c r="AE18" s="221">
        <f t="shared" si="7"/>
        <v>28314</v>
      </c>
      <c r="AF18" s="324">
        <f t="shared" si="7"/>
        <v>0</v>
      </c>
      <c r="AG18" s="224"/>
      <c r="AH18" s="349">
        <f t="shared" si="11"/>
        <v>0.12703814714180964</v>
      </c>
      <c r="AI18" s="346">
        <f t="shared" si="8"/>
        <v>-3.3595594020456407E-2</v>
      </c>
      <c r="AJ18" s="224"/>
      <c r="AK18" s="265"/>
      <c r="AL18" s="265"/>
      <c r="AM18" s="224"/>
    </row>
    <row r="19" spans="1:39" x14ac:dyDescent="0.25">
      <c r="A19" s="31">
        <f t="shared" si="0"/>
        <v>13</v>
      </c>
      <c r="B19" s="47" t="s">
        <v>166</v>
      </c>
      <c r="C19" s="15" t="s">
        <v>6</v>
      </c>
      <c r="D19" s="16"/>
      <c r="E19" s="152">
        <f>'Rates in detail'!K19</f>
        <v>4.8070000000000002E-2</v>
      </c>
      <c r="F19" s="16"/>
      <c r="G19" s="241">
        <f>'Rates in detail'!M19</f>
        <v>0.30164000000000013</v>
      </c>
      <c r="H19" s="283">
        <f t="shared" si="9"/>
        <v>0.34971000000000013</v>
      </c>
      <c r="I19" s="16"/>
      <c r="J19" s="306">
        <f>'Avg Bill by RS'!H19</f>
        <v>250</v>
      </c>
      <c r="K19" s="263">
        <f>'Avg Bill by RS'!G19</f>
        <v>250</v>
      </c>
      <c r="L19" s="16">
        <v>0</v>
      </c>
      <c r="M19" s="16">
        <v>0</v>
      </c>
      <c r="N19" s="16">
        <v>0</v>
      </c>
      <c r="O19" s="293">
        <v>0</v>
      </c>
      <c r="P19" s="16"/>
      <c r="Q19" s="316">
        <f>'Washington volumes'!E19</f>
        <v>1845820.9686654136</v>
      </c>
      <c r="R19" s="48">
        <v>0</v>
      </c>
      <c r="S19" s="76">
        <f>'Washington volumes'!H19</f>
        <v>88.333333333333329</v>
      </c>
      <c r="T19" s="317">
        <f>'Washington volumes'!I19</f>
        <v>6921.7673800000002</v>
      </c>
      <c r="U19" s="16"/>
      <c r="V19" s="325">
        <f t="shared" si="1"/>
        <v>556773.43698823557</v>
      </c>
      <c r="W19" s="326">
        <f t="shared" si="2"/>
        <v>265000</v>
      </c>
      <c r="X19" s="327">
        <f t="shared" si="3"/>
        <v>0</v>
      </c>
      <c r="Y19" s="224"/>
      <c r="Z19" s="325">
        <f t="shared" si="4"/>
        <v>645502.05095198203</v>
      </c>
      <c r="AA19" s="326">
        <f t="shared" si="5"/>
        <v>265000</v>
      </c>
      <c r="AB19" s="327">
        <f t="shared" si="6"/>
        <v>0</v>
      </c>
      <c r="AC19" s="224"/>
      <c r="AD19" s="325">
        <f t="shared" si="10"/>
        <v>88728.613963746466</v>
      </c>
      <c r="AE19" s="326">
        <f t="shared" si="7"/>
        <v>0</v>
      </c>
      <c r="AF19" s="327">
        <f t="shared" si="7"/>
        <v>0</v>
      </c>
      <c r="AG19" s="224"/>
      <c r="AH19" s="349"/>
      <c r="AI19" s="345">
        <f t="shared" si="8"/>
        <v>0.15936215356053574</v>
      </c>
      <c r="AJ19" s="224"/>
      <c r="AK19" s="265"/>
      <c r="AL19" s="265"/>
      <c r="AM19" s="224"/>
    </row>
    <row r="20" spans="1:39" x14ac:dyDescent="0.25">
      <c r="A20" s="31">
        <f>+A19+1</f>
        <v>14</v>
      </c>
      <c r="B20" s="47"/>
      <c r="C20" s="15" t="s">
        <v>7</v>
      </c>
      <c r="D20" s="16"/>
      <c r="E20" s="152">
        <f>'Rates in detail'!K20</f>
        <v>4.2360000000000002E-2</v>
      </c>
      <c r="F20" s="16"/>
      <c r="G20" s="241">
        <f>'Rates in detail'!M20</f>
        <v>0.26578999999999992</v>
      </c>
      <c r="H20" s="283">
        <f>G20+E20</f>
        <v>0.30814999999999992</v>
      </c>
      <c r="I20" s="16"/>
      <c r="J20" s="306"/>
      <c r="K20" s="263"/>
      <c r="L20" s="16"/>
      <c r="M20" s="16"/>
      <c r="N20" s="16"/>
      <c r="O20" s="293"/>
      <c r="P20" s="16"/>
      <c r="Q20" s="316">
        <f>'Washington volumes'!E20</f>
        <v>1822715.7411472078</v>
      </c>
      <c r="R20" s="48"/>
      <c r="S20" s="76"/>
      <c r="T20" s="317"/>
      <c r="U20" s="16"/>
      <c r="V20" s="325">
        <f t="shared" si="1"/>
        <v>484459.61683951621</v>
      </c>
      <c r="W20" s="326">
        <f t="shared" si="2"/>
        <v>0</v>
      </c>
      <c r="X20" s="327">
        <f t="shared" si="3"/>
        <v>0</v>
      </c>
      <c r="Y20" s="224"/>
      <c r="Z20" s="325">
        <f t="shared" si="4"/>
        <v>561669.85563451191</v>
      </c>
      <c r="AA20" s="326">
        <f t="shared" si="5"/>
        <v>0</v>
      </c>
      <c r="AB20" s="327">
        <f t="shared" si="6"/>
        <v>0</v>
      </c>
      <c r="AC20" s="224"/>
      <c r="AD20" s="325">
        <f>Z20-V20</f>
        <v>77210.238794995705</v>
      </c>
      <c r="AE20" s="326">
        <f>AA20-W20</f>
        <v>0</v>
      </c>
      <c r="AF20" s="327">
        <f>AB20-X20</f>
        <v>0</v>
      </c>
      <c r="AG20" s="224"/>
      <c r="AH20" s="349"/>
      <c r="AI20" s="345">
        <f t="shared" si="8"/>
        <v>0.15937394183377857</v>
      </c>
      <c r="AJ20" s="224"/>
      <c r="AK20" s="265"/>
      <c r="AL20" s="265"/>
      <c r="AM20" s="224"/>
    </row>
    <row r="21" spans="1:39" x14ac:dyDescent="0.25">
      <c r="A21" s="31"/>
      <c r="B21" s="51"/>
      <c r="C21" s="78" t="s">
        <v>137</v>
      </c>
      <c r="D21" s="11"/>
      <c r="E21" s="145"/>
      <c r="F21" s="11"/>
      <c r="G21" s="297"/>
      <c r="H21" s="282"/>
      <c r="I21" s="16"/>
      <c r="J21" s="306"/>
      <c r="K21" s="263"/>
      <c r="L21" s="16"/>
      <c r="M21" s="16"/>
      <c r="N21" s="16"/>
      <c r="O21" s="293"/>
      <c r="P21" s="16"/>
      <c r="Q21" s="316"/>
      <c r="R21" s="48"/>
      <c r="S21" s="76"/>
      <c r="T21" s="317"/>
      <c r="U21" s="16"/>
      <c r="V21" s="328">
        <f>SUM(V19:V20)</f>
        <v>1041233.0538277518</v>
      </c>
      <c r="W21" s="340">
        <f t="shared" ref="W21:X21" si="12">SUM(W19:W20)</f>
        <v>265000</v>
      </c>
      <c r="X21" s="341">
        <f t="shared" si="12"/>
        <v>0</v>
      </c>
      <c r="Y21" s="224"/>
      <c r="Z21" s="328">
        <f>SUM(Z19:Z20)</f>
        <v>1207171.9065864938</v>
      </c>
      <c r="AA21" s="340">
        <f t="shared" ref="AA21" si="13">SUM(AA19:AA20)</f>
        <v>265000</v>
      </c>
      <c r="AB21" s="341">
        <f t="shared" ref="AB21" si="14">SUM(AB19:AB20)</f>
        <v>0</v>
      </c>
      <c r="AC21" s="224"/>
      <c r="AD21" s="328">
        <f>SUM(AD19:AD20)</f>
        <v>165938.85275874217</v>
      </c>
      <c r="AE21" s="340">
        <f t="shared" ref="AE21" si="15">SUM(AE19:AE20)</f>
        <v>0</v>
      </c>
      <c r="AF21" s="341">
        <f t="shared" ref="AF21" si="16">SUM(AF19:AF20)</f>
        <v>0</v>
      </c>
      <c r="AG21" s="224"/>
      <c r="AH21" s="349">
        <f t="shared" si="11"/>
        <v>0.12703617648663781</v>
      </c>
      <c r="AI21" s="346">
        <f t="shared" si="8"/>
        <v>0.15936763834832404</v>
      </c>
      <c r="AJ21" s="224"/>
      <c r="AK21" s="265"/>
      <c r="AL21" s="265"/>
      <c r="AM21" s="224"/>
    </row>
    <row r="22" spans="1:39" x14ac:dyDescent="0.25">
      <c r="A22" s="31">
        <f>+A20+1</f>
        <v>15</v>
      </c>
      <c r="B22" s="47" t="s">
        <v>167</v>
      </c>
      <c r="C22" s="15" t="s">
        <v>6</v>
      </c>
      <c r="D22" s="16"/>
      <c r="E22" s="152">
        <f>'Rates in detail'!K21</f>
        <v>4.734E-2</v>
      </c>
      <c r="F22" s="16"/>
      <c r="G22" s="241">
        <f>'Rates in detail'!M21</f>
        <v>0.30141000000000001</v>
      </c>
      <c r="H22" s="283">
        <f t="shared" si="9"/>
        <v>0.34875</v>
      </c>
      <c r="I22" s="16"/>
      <c r="J22" s="306">
        <f>'Avg Bill by RS'!H22</f>
        <v>250</v>
      </c>
      <c r="K22" s="263">
        <f>'Avg Bill by RS'!G22</f>
        <v>250</v>
      </c>
      <c r="L22" s="16">
        <v>0</v>
      </c>
      <c r="M22" s="16">
        <v>0</v>
      </c>
      <c r="N22" s="16">
        <v>0</v>
      </c>
      <c r="O22" s="293">
        <v>0</v>
      </c>
      <c r="P22" s="16"/>
      <c r="Q22" s="316">
        <f>'Washington volumes'!E21</f>
        <v>0</v>
      </c>
      <c r="R22" s="48">
        <v>0</v>
      </c>
      <c r="S22" s="76">
        <f>'Washington volumes'!H21</f>
        <v>0</v>
      </c>
      <c r="T22" s="317">
        <f>'Washington volumes'!I21</f>
        <v>0</v>
      </c>
      <c r="U22" s="16"/>
      <c r="V22" s="325">
        <f>(G22*Q22)</f>
        <v>0</v>
      </c>
      <c r="W22" s="326">
        <f>(J22*S22*12)</f>
        <v>0</v>
      </c>
      <c r="X22" s="327">
        <f>(R22*(L22+N22))*12</f>
        <v>0</v>
      </c>
      <c r="Y22" s="224"/>
      <c r="Z22" s="325">
        <f>(H22*Q22)</f>
        <v>0</v>
      </c>
      <c r="AA22" s="326">
        <f>(K22*S22*12)</f>
        <v>0</v>
      </c>
      <c r="AB22" s="327">
        <f>(R22*(M22+O22))*12</f>
        <v>0</v>
      </c>
      <c r="AC22" s="224"/>
      <c r="AD22" s="325">
        <f t="shared" si="10"/>
        <v>0</v>
      </c>
      <c r="AE22" s="326">
        <f t="shared" si="7"/>
        <v>0</v>
      </c>
      <c r="AF22" s="327">
        <f t="shared" si="7"/>
        <v>0</v>
      </c>
      <c r="AG22" s="224"/>
      <c r="AH22" s="349"/>
      <c r="AI22" s="345">
        <f>AI28</f>
        <v>0.15705383187483421</v>
      </c>
      <c r="AJ22" s="224"/>
      <c r="AK22" s="265"/>
      <c r="AL22" s="265"/>
      <c r="AM22" s="224"/>
    </row>
    <row r="23" spans="1:39" x14ac:dyDescent="0.25">
      <c r="A23" s="31">
        <f t="shared" si="0"/>
        <v>16</v>
      </c>
      <c r="B23" s="47"/>
      <c r="C23" s="15" t="s">
        <v>7</v>
      </c>
      <c r="D23" s="16"/>
      <c r="E23" s="152">
        <f>'Rates in detail'!K22</f>
        <v>4.1709999999999997E-2</v>
      </c>
      <c r="F23" s="16"/>
      <c r="G23" s="241">
        <f>'Rates in detail'!M22</f>
        <v>0.26555999999999991</v>
      </c>
      <c r="H23" s="283">
        <f t="shared" si="9"/>
        <v>0.30726999999999993</v>
      </c>
      <c r="I23" s="16"/>
      <c r="J23" s="307"/>
      <c r="K23" s="3"/>
      <c r="L23" s="16"/>
      <c r="M23" s="16"/>
      <c r="N23" s="16"/>
      <c r="O23" s="293"/>
      <c r="P23" s="16"/>
      <c r="Q23" s="316"/>
      <c r="R23" s="48"/>
      <c r="S23" s="76"/>
      <c r="T23" s="317"/>
      <c r="U23" s="16"/>
      <c r="V23" s="325">
        <f>(G23*Q23)</f>
        <v>0</v>
      </c>
      <c r="W23" s="326">
        <f>(J23*S23*12)</f>
        <v>0</v>
      </c>
      <c r="X23" s="327">
        <f>(R23*(L23+N23))*12</f>
        <v>0</v>
      </c>
      <c r="Y23" s="224"/>
      <c r="Z23" s="325">
        <f>(H23*Q23)</f>
        <v>0</v>
      </c>
      <c r="AA23" s="326">
        <f>(K23*S23*12)</f>
        <v>0</v>
      </c>
      <c r="AB23" s="327">
        <f>(R23*(M23+O23))*12</f>
        <v>0</v>
      </c>
      <c r="AC23" s="224"/>
      <c r="AD23" s="325">
        <f t="shared" si="10"/>
        <v>0</v>
      </c>
      <c r="AE23" s="326">
        <f t="shared" si="7"/>
        <v>0</v>
      </c>
      <c r="AF23" s="327">
        <f t="shared" si="7"/>
        <v>0</v>
      </c>
      <c r="AG23" s="224"/>
      <c r="AH23" s="349"/>
      <c r="AI23" s="345">
        <f>AI29</f>
        <v>0.15706116921224891</v>
      </c>
      <c r="AJ23" s="224"/>
      <c r="AK23" s="265"/>
      <c r="AL23" s="265"/>
      <c r="AM23" s="224"/>
    </row>
    <row r="24" spans="1:39" x14ac:dyDescent="0.25">
      <c r="A24" s="31"/>
      <c r="B24" s="51"/>
      <c r="C24" s="78" t="s">
        <v>137</v>
      </c>
      <c r="D24" s="11"/>
      <c r="E24" s="145"/>
      <c r="F24" s="11"/>
      <c r="G24" s="297"/>
      <c r="H24" s="282"/>
      <c r="I24" s="16"/>
      <c r="J24" s="307"/>
      <c r="K24" s="3"/>
      <c r="L24" s="16"/>
      <c r="M24" s="16"/>
      <c r="N24" s="16"/>
      <c r="O24" s="293"/>
      <c r="P24" s="16"/>
      <c r="Q24" s="316"/>
      <c r="R24" s="48"/>
      <c r="S24" s="76"/>
      <c r="T24" s="317"/>
      <c r="U24" s="16"/>
      <c r="V24" s="328">
        <f>SUM(V22:V23)</f>
        <v>0</v>
      </c>
      <c r="W24" s="340">
        <f t="shared" ref="W24" si="17">SUM(W22:W23)</f>
        <v>0</v>
      </c>
      <c r="X24" s="341">
        <f t="shared" ref="X24" si="18">SUM(X22:X23)</f>
        <v>0</v>
      </c>
      <c r="Y24" s="224"/>
      <c r="Z24" s="328">
        <f>SUM(Z22:Z23)</f>
        <v>0</v>
      </c>
      <c r="AA24" s="340">
        <f t="shared" ref="AA24" si="19">SUM(AA22:AA23)</f>
        <v>0</v>
      </c>
      <c r="AB24" s="341">
        <f t="shared" ref="AB24" si="20">SUM(AB22:AB23)</f>
        <v>0</v>
      </c>
      <c r="AC24" s="224"/>
      <c r="AD24" s="328">
        <f>SUM(AD22:AD23)</f>
        <v>0</v>
      </c>
      <c r="AE24" s="340">
        <f t="shared" ref="AE24" si="21">SUM(AE22:AE23)</f>
        <v>0</v>
      </c>
      <c r="AF24" s="341">
        <f t="shared" ref="AF24" si="22">SUM(AF22:AF23)</f>
        <v>0</v>
      </c>
      <c r="AG24" s="224"/>
      <c r="AH24" s="350" t="s">
        <v>268</v>
      </c>
      <c r="AI24" s="346" t="s">
        <v>268</v>
      </c>
      <c r="AJ24" s="224"/>
      <c r="AK24" s="265"/>
      <c r="AL24" s="265"/>
      <c r="AM24" s="224"/>
    </row>
    <row r="25" spans="1:39" x14ac:dyDescent="0.25">
      <c r="A25" s="31">
        <f>+A23+1</f>
        <v>17</v>
      </c>
      <c r="B25" s="47" t="s">
        <v>109</v>
      </c>
      <c r="C25" s="15" t="s">
        <v>6</v>
      </c>
      <c r="D25" s="16"/>
      <c r="E25" s="152">
        <f>'Rates in detail'!K23</f>
        <v>5.2569999999999999E-2</v>
      </c>
      <c r="F25" s="16"/>
      <c r="G25" s="241">
        <f>'Rates in detail'!M23</f>
        <v>0.30076999999999998</v>
      </c>
      <c r="H25" s="283">
        <f t="shared" si="9"/>
        <v>0.35333999999999999</v>
      </c>
      <c r="I25" s="16"/>
      <c r="J25" s="306">
        <f>'Avg Bill by RS'!H25</f>
        <v>500</v>
      </c>
      <c r="K25" s="263">
        <f>'Avg Bill by RS'!G25</f>
        <v>500</v>
      </c>
      <c r="L25" s="16">
        <v>0</v>
      </c>
      <c r="M25" s="16">
        <v>0</v>
      </c>
      <c r="N25" s="16">
        <v>0</v>
      </c>
      <c r="O25" s="293">
        <v>0</v>
      </c>
      <c r="P25" s="16"/>
      <c r="Q25" s="316">
        <f>'Washington volumes'!E23</f>
        <v>373284</v>
      </c>
      <c r="R25" s="48">
        <v>0</v>
      </c>
      <c r="S25" s="76">
        <f>'Washington volumes'!H23</f>
        <v>16.833333333333332</v>
      </c>
      <c r="T25" s="317">
        <f>'Washington volumes'!I23</f>
        <v>9538.9603999999999</v>
      </c>
      <c r="U25" s="16"/>
      <c r="V25" s="325">
        <f>(G25*Q25)</f>
        <v>112272.62867999999</v>
      </c>
      <c r="W25" s="326">
        <f>(J25*S25*12)</f>
        <v>101000</v>
      </c>
      <c r="X25" s="327">
        <f>(R25*(L25+N25))*12</f>
        <v>0</v>
      </c>
      <c r="Y25" s="224"/>
      <c r="Z25" s="325">
        <f>(H25*Q25)</f>
        <v>131896.16855999999</v>
      </c>
      <c r="AA25" s="326">
        <f>(K25*S25*12)</f>
        <v>101000</v>
      </c>
      <c r="AB25" s="327">
        <f>(R25*(M25+O25))*12</f>
        <v>0</v>
      </c>
      <c r="AC25" s="224"/>
      <c r="AD25" s="325">
        <f t="shared" si="10"/>
        <v>19623.539879999997</v>
      </c>
      <c r="AE25" s="326">
        <f t="shared" si="7"/>
        <v>0</v>
      </c>
      <c r="AF25" s="327">
        <f t="shared" si="7"/>
        <v>0</v>
      </c>
      <c r="AG25" s="224"/>
      <c r="AH25" s="349"/>
      <c r="AI25" s="345">
        <f t="shared" si="8"/>
        <v>0.17478471922066693</v>
      </c>
      <c r="AJ25" s="224"/>
      <c r="AK25" s="265"/>
      <c r="AL25" s="265"/>
      <c r="AM25" s="224"/>
    </row>
    <row r="26" spans="1:39" x14ac:dyDescent="0.25">
      <c r="A26" s="31">
        <f t="shared" si="0"/>
        <v>18</v>
      </c>
      <c r="B26" s="47"/>
      <c r="C26" s="15" t="s">
        <v>7</v>
      </c>
      <c r="D26" s="16"/>
      <c r="E26" s="152">
        <f>'Rates in detail'!K24</f>
        <v>4.632E-2</v>
      </c>
      <c r="F26" s="16"/>
      <c r="G26" s="241">
        <f>'Rates in detail'!M24</f>
        <v>0.26500000000000001</v>
      </c>
      <c r="H26" s="283">
        <f t="shared" si="9"/>
        <v>0.31132000000000004</v>
      </c>
      <c r="I26" s="16"/>
      <c r="J26" s="306"/>
      <c r="K26" s="263"/>
      <c r="L26" s="16"/>
      <c r="M26" s="16"/>
      <c r="N26" s="16"/>
      <c r="O26" s="293"/>
      <c r="P26" s="16"/>
      <c r="Q26" s="316">
        <f>'Washington volumes'!E24</f>
        <v>590151</v>
      </c>
      <c r="R26" s="48"/>
      <c r="S26" s="76"/>
      <c r="T26" s="317"/>
      <c r="U26" s="16"/>
      <c r="V26" s="325">
        <f>(G26*Q26)</f>
        <v>156390.01500000001</v>
      </c>
      <c r="W26" s="326">
        <f>(J26*S26*12)</f>
        <v>0</v>
      </c>
      <c r="X26" s="327">
        <f>(R26*(L26+N26))*12</f>
        <v>0</v>
      </c>
      <c r="Y26" s="224"/>
      <c r="Z26" s="325">
        <f>(H26*Q26)</f>
        <v>183725.80932000003</v>
      </c>
      <c r="AA26" s="326">
        <f>(K26*S26*12)</f>
        <v>0</v>
      </c>
      <c r="AB26" s="327">
        <f>(R26*(M26+O26))*12</f>
        <v>0</v>
      </c>
      <c r="AC26" s="224"/>
      <c r="AD26" s="325">
        <f t="shared" si="10"/>
        <v>27335.794320000015</v>
      </c>
      <c r="AE26" s="326">
        <f t="shared" si="7"/>
        <v>0</v>
      </c>
      <c r="AF26" s="327">
        <f t="shared" si="7"/>
        <v>0</v>
      </c>
      <c r="AG26" s="224"/>
      <c r="AH26" s="349"/>
      <c r="AI26" s="345">
        <f t="shared" si="8"/>
        <v>0.17479245283018877</v>
      </c>
      <c r="AJ26" s="224"/>
      <c r="AK26" s="265"/>
      <c r="AL26" s="265"/>
      <c r="AM26" s="224"/>
    </row>
    <row r="27" spans="1:39" x14ac:dyDescent="0.25">
      <c r="A27" s="31"/>
      <c r="B27" s="51"/>
      <c r="C27" s="78" t="s">
        <v>137</v>
      </c>
      <c r="D27" s="11"/>
      <c r="E27" s="145"/>
      <c r="F27" s="11"/>
      <c r="G27" s="297"/>
      <c r="H27" s="282"/>
      <c r="I27" s="16"/>
      <c r="J27" s="306"/>
      <c r="K27" s="263"/>
      <c r="L27" s="16"/>
      <c r="M27" s="16"/>
      <c r="N27" s="16"/>
      <c r="O27" s="293"/>
      <c r="P27" s="16"/>
      <c r="Q27" s="316"/>
      <c r="R27" s="48"/>
      <c r="S27" s="76"/>
      <c r="T27" s="317"/>
      <c r="U27" s="16"/>
      <c r="V27" s="328">
        <f>SUM(V25:V26)</f>
        <v>268662.64367999998</v>
      </c>
      <c r="W27" s="340">
        <f t="shared" ref="W27" si="23">SUM(W25:W26)</f>
        <v>101000</v>
      </c>
      <c r="X27" s="341">
        <f t="shared" ref="X27" si="24">SUM(X25:X26)</f>
        <v>0</v>
      </c>
      <c r="Y27" s="224"/>
      <c r="Z27" s="328">
        <f>SUM(Z25:Z26)</f>
        <v>315621.97788000002</v>
      </c>
      <c r="AA27" s="340">
        <f t="shared" ref="AA27" si="25">SUM(AA25:AA26)</f>
        <v>101000</v>
      </c>
      <c r="AB27" s="341">
        <f t="shared" ref="AB27" si="26">SUM(AB25:AB26)</f>
        <v>0</v>
      </c>
      <c r="AC27" s="224"/>
      <c r="AD27" s="328">
        <f>SUM(AD25:AD26)</f>
        <v>46959.334200000012</v>
      </c>
      <c r="AE27" s="340">
        <f t="shared" ref="AE27" si="27">SUM(AE25:AE26)</f>
        <v>0</v>
      </c>
      <c r="AF27" s="341">
        <f t="shared" ref="AF27" si="28">SUM(AF25:AF26)</f>
        <v>0</v>
      </c>
      <c r="AG27" s="224"/>
      <c r="AH27" s="349">
        <f t="shared" si="11"/>
        <v>0.12703294477504889</v>
      </c>
      <c r="AI27" s="346">
        <f t="shared" si="8"/>
        <v>0.17478922099766339</v>
      </c>
      <c r="AJ27" s="224"/>
      <c r="AK27" s="265"/>
      <c r="AL27" s="265"/>
      <c r="AM27" s="224"/>
    </row>
    <row r="28" spans="1:39" x14ac:dyDescent="0.25">
      <c r="A28" s="31">
        <f>+A26+1</f>
        <v>19</v>
      </c>
      <c r="B28" s="47" t="s">
        <v>168</v>
      </c>
      <c r="C28" s="15" t="s">
        <v>6</v>
      </c>
      <c r="D28" s="16"/>
      <c r="E28" s="152">
        <f>'Rates in detail'!K25</f>
        <v>4.7379999999999999E-2</v>
      </c>
      <c r="F28" s="16"/>
      <c r="G28" s="241">
        <f>'Rates in detail'!M25</f>
        <v>0.30168000000000017</v>
      </c>
      <c r="H28" s="283">
        <f t="shared" si="9"/>
        <v>0.34906000000000015</v>
      </c>
      <c r="I28" s="16"/>
      <c r="J28" s="306">
        <f>'Avg Bill by RS'!H28</f>
        <v>250</v>
      </c>
      <c r="K28" s="263">
        <f>'Avg Bill by RS'!G28</f>
        <v>250</v>
      </c>
      <c r="L28" s="16">
        <v>0</v>
      </c>
      <c r="M28" s="16">
        <v>0</v>
      </c>
      <c r="N28" s="16">
        <v>0</v>
      </c>
      <c r="O28" s="293">
        <v>0</v>
      </c>
      <c r="P28" s="16"/>
      <c r="Q28" s="316">
        <f>'Washington volumes'!E25</f>
        <v>322107.7</v>
      </c>
      <c r="R28" s="48">
        <v>0</v>
      </c>
      <c r="S28" s="76">
        <f>'Washington volumes'!H25</f>
        <v>14.916666666666666</v>
      </c>
      <c r="T28" s="317">
        <f>'Washington volumes'!I25</f>
        <v>7471.22235</v>
      </c>
      <c r="U28" s="16"/>
      <c r="V28" s="325">
        <f>(G28*Q28)</f>
        <v>97173.450936000052</v>
      </c>
      <c r="W28" s="326">
        <f>(J28*S28*12)</f>
        <v>44750</v>
      </c>
      <c r="X28" s="327">
        <f>(R28*(L28+N28))*12</f>
        <v>0</v>
      </c>
      <c r="Y28" s="224"/>
      <c r="Z28" s="325">
        <f>(H28*Q28)</f>
        <v>112434.91376200005</v>
      </c>
      <c r="AA28" s="326">
        <f>(K28*S28*12)</f>
        <v>44750</v>
      </c>
      <c r="AB28" s="327">
        <f>(R28*(M28+O28))*12</f>
        <v>0</v>
      </c>
      <c r="AC28" s="224"/>
      <c r="AD28" s="325">
        <f t="shared" si="10"/>
        <v>15261.462826000003</v>
      </c>
      <c r="AE28" s="326">
        <f t="shared" si="7"/>
        <v>0</v>
      </c>
      <c r="AF28" s="327">
        <f t="shared" si="7"/>
        <v>0</v>
      </c>
      <c r="AG28" s="224"/>
      <c r="AH28" s="349"/>
      <c r="AI28" s="345">
        <f t="shared" si="8"/>
        <v>0.15705383187483421</v>
      </c>
      <c r="AJ28" s="224"/>
      <c r="AK28" s="265"/>
      <c r="AL28" s="265"/>
      <c r="AM28" s="224"/>
    </row>
    <row r="29" spans="1:39" x14ac:dyDescent="0.25">
      <c r="A29" s="31">
        <f t="shared" si="0"/>
        <v>20</v>
      </c>
      <c r="B29" s="47"/>
      <c r="C29" s="15" t="s">
        <v>7</v>
      </c>
      <c r="D29" s="16"/>
      <c r="E29" s="152">
        <f>'Rates in detail'!K26</f>
        <v>4.1750000000000002E-2</v>
      </c>
      <c r="F29" s="16"/>
      <c r="G29" s="241">
        <f>'Rates in detail'!M26</f>
        <v>0.26581999999999983</v>
      </c>
      <c r="H29" s="283">
        <f t="shared" si="9"/>
        <v>0.30756999999999984</v>
      </c>
      <c r="I29" s="16"/>
      <c r="J29" s="306"/>
      <c r="K29" s="263"/>
      <c r="L29" s="16"/>
      <c r="M29" s="16"/>
      <c r="N29" s="16"/>
      <c r="O29" s="293"/>
      <c r="P29" s="16"/>
      <c r="Q29" s="316">
        <f>'Washington volumes'!E26</f>
        <v>346566.6999999999</v>
      </c>
      <c r="R29" s="48"/>
      <c r="S29" s="76"/>
      <c r="T29" s="317"/>
      <c r="U29" s="16"/>
      <c r="V29" s="325">
        <f>(G29*Q29)</f>
        <v>92124.360193999921</v>
      </c>
      <c r="W29" s="326">
        <f>(J29*S29*12)</f>
        <v>0</v>
      </c>
      <c r="X29" s="327">
        <f>(R29*(L29+N29))*12</f>
        <v>0</v>
      </c>
      <c r="Y29" s="224"/>
      <c r="Z29" s="325">
        <f>(H29*Q29)</f>
        <v>106593.51991899991</v>
      </c>
      <c r="AA29" s="326">
        <f>(K29*S29*12)</f>
        <v>0</v>
      </c>
      <c r="AB29" s="327">
        <f>(R29*(M29+O29))*12</f>
        <v>0</v>
      </c>
      <c r="AC29" s="224"/>
      <c r="AD29" s="325">
        <f t="shared" si="10"/>
        <v>14469.15972499999</v>
      </c>
      <c r="AE29" s="326">
        <f t="shared" si="7"/>
        <v>0</v>
      </c>
      <c r="AF29" s="327">
        <f t="shared" si="7"/>
        <v>0</v>
      </c>
      <c r="AG29" s="224"/>
      <c r="AH29" s="349"/>
      <c r="AI29" s="345">
        <f t="shared" si="8"/>
        <v>0.15706116921224891</v>
      </c>
      <c r="AJ29" s="224"/>
      <c r="AK29" s="265"/>
      <c r="AL29" s="265"/>
      <c r="AM29" s="224"/>
    </row>
    <row r="30" spans="1:39" x14ac:dyDescent="0.25">
      <c r="A30" s="31"/>
      <c r="B30" s="51"/>
      <c r="C30" s="78" t="s">
        <v>137</v>
      </c>
      <c r="D30" s="11"/>
      <c r="E30" s="145"/>
      <c r="F30" s="11"/>
      <c r="G30" s="297"/>
      <c r="H30" s="282"/>
      <c r="I30" s="16"/>
      <c r="J30" s="306"/>
      <c r="K30" s="263"/>
      <c r="L30" s="16"/>
      <c r="M30" s="16"/>
      <c r="N30" s="16"/>
      <c r="O30" s="293"/>
      <c r="P30" s="16"/>
      <c r="Q30" s="316"/>
      <c r="R30" s="48"/>
      <c r="S30" s="76"/>
      <c r="T30" s="317"/>
      <c r="U30" s="16"/>
      <c r="V30" s="328">
        <f>SUM(V28:V29)</f>
        <v>189297.81112999999</v>
      </c>
      <c r="W30" s="340">
        <f t="shared" ref="W30" si="29">SUM(W28:W29)</f>
        <v>44750</v>
      </c>
      <c r="X30" s="341">
        <f t="shared" ref="X30" si="30">SUM(X28:X29)</f>
        <v>0</v>
      </c>
      <c r="Y30" s="224"/>
      <c r="Z30" s="328">
        <f>SUM(Z28:Z29)</f>
        <v>219028.43368099997</v>
      </c>
      <c r="AA30" s="340">
        <f t="shared" ref="AA30" si="31">SUM(AA28:AA29)</f>
        <v>44750</v>
      </c>
      <c r="AB30" s="341">
        <f t="shared" ref="AB30" si="32">SUM(AB28:AB29)</f>
        <v>0</v>
      </c>
      <c r="AC30" s="224"/>
      <c r="AD30" s="328">
        <f>SUM(AD28:AD29)</f>
        <v>29730.622550999993</v>
      </c>
      <c r="AE30" s="340">
        <f t="shared" ref="AE30" si="33">SUM(AE28:AE29)</f>
        <v>0</v>
      </c>
      <c r="AF30" s="341">
        <f t="shared" ref="AF30" si="34">SUM(AF28:AF29)</f>
        <v>0</v>
      </c>
      <c r="AG30" s="224"/>
      <c r="AH30" s="349">
        <f t="shared" si="11"/>
        <v>0.12702798803141277</v>
      </c>
      <c r="AI30" s="346">
        <f t="shared" si="8"/>
        <v>0.15705740269010576</v>
      </c>
      <c r="AJ30" s="224"/>
      <c r="AK30" s="265"/>
      <c r="AL30" s="265"/>
      <c r="AM30" s="224"/>
    </row>
    <row r="31" spans="1:39" x14ac:dyDescent="0.25">
      <c r="A31" s="31">
        <f>+A29+1</f>
        <v>21</v>
      </c>
      <c r="B31" s="47" t="s">
        <v>169</v>
      </c>
      <c r="C31" s="15" t="s">
        <v>6</v>
      </c>
      <c r="D31" s="16"/>
      <c r="E31" s="152">
        <f>'Rates in detail'!K27</f>
        <v>4.734E-2</v>
      </c>
      <c r="F31" s="16"/>
      <c r="G31" s="241">
        <f>'Rates in detail'!M27</f>
        <v>0.30141000000000001</v>
      </c>
      <c r="H31" s="283">
        <f t="shared" si="9"/>
        <v>0.34875</v>
      </c>
      <c r="I31" s="16"/>
      <c r="J31" s="306">
        <f>'Avg Bill by RS'!H31</f>
        <v>250</v>
      </c>
      <c r="K31" s="263">
        <f>'Avg Bill by RS'!G31</f>
        <v>250</v>
      </c>
      <c r="L31" s="16">
        <v>0</v>
      </c>
      <c r="M31" s="16">
        <v>0</v>
      </c>
      <c r="N31" s="16">
        <v>0</v>
      </c>
      <c r="O31" s="293">
        <v>0</v>
      </c>
      <c r="P31" s="16"/>
      <c r="Q31" s="316"/>
      <c r="R31" s="48"/>
      <c r="S31" s="76"/>
      <c r="T31" s="317"/>
      <c r="U31" s="16"/>
      <c r="V31" s="325">
        <f>(G31*Q31)</f>
        <v>0</v>
      </c>
      <c r="W31" s="326">
        <f>(J31*S31*12)</f>
        <v>0</v>
      </c>
      <c r="X31" s="327">
        <f>(R31*(L31+N31))*12</f>
        <v>0</v>
      </c>
      <c r="Y31" s="224"/>
      <c r="Z31" s="325">
        <f>(H31*Q31)</f>
        <v>0</v>
      </c>
      <c r="AA31" s="326">
        <f>(K31*S31*12)</f>
        <v>0</v>
      </c>
      <c r="AB31" s="327">
        <f>(R31*(M31+O31))*12</f>
        <v>0</v>
      </c>
      <c r="AC31" s="224"/>
      <c r="AD31" s="325">
        <f t="shared" si="10"/>
        <v>0</v>
      </c>
      <c r="AE31" s="326">
        <f t="shared" si="7"/>
        <v>0</v>
      </c>
      <c r="AF31" s="327">
        <f t="shared" si="7"/>
        <v>0</v>
      </c>
      <c r="AG31" s="224"/>
      <c r="AH31" s="349"/>
      <c r="AI31" s="345">
        <f>AI28</f>
        <v>0.15705383187483421</v>
      </c>
      <c r="AJ31" s="224"/>
      <c r="AK31" s="265"/>
      <c r="AL31" s="265"/>
      <c r="AM31" s="224"/>
    </row>
    <row r="32" spans="1:39" x14ac:dyDescent="0.25">
      <c r="A32" s="31">
        <f t="shared" si="0"/>
        <v>22</v>
      </c>
      <c r="B32" s="47"/>
      <c r="C32" s="15" t="s">
        <v>7</v>
      </c>
      <c r="D32" s="16"/>
      <c r="E32" s="152">
        <f>'Rates in detail'!K28</f>
        <v>4.1709999999999997E-2</v>
      </c>
      <c r="F32" s="16"/>
      <c r="G32" s="241">
        <f>'Rates in detail'!M28</f>
        <v>0.26555999999999991</v>
      </c>
      <c r="H32" s="283">
        <f t="shared" si="9"/>
        <v>0.30726999999999993</v>
      </c>
      <c r="I32" s="16"/>
      <c r="J32" s="307"/>
      <c r="K32" s="3"/>
      <c r="L32" s="16"/>
      <c r="M32" s="16"/>
      <c r="N32" s="16"/>
      <c r="O32" s="293"/>
      <c r="P32" s="16"/>
      <c r="Q32" s="316"/>
      <c r="R32" s="48"/>
      <c r="S32" s="76"/>
      <c r="T32" s="317"/>
      <c r="U32" s="16"/>
      <c r="V32" s="325">
        <f>(G32*Q32)</f>
        <v>0</v>
      </c>
      <c r="W32" s="326">
        <f>(J32*S32*12)</f>
        <v>0</v>
      </c>
      <c r="X32" s="327">
        <f>(R32*(L32+N32))*12</f>
        <v>0</v>
      </c>
      <c r="Y32" s="224"/>
      <c r="Z32" s="325">
        <f>(H32*Q32)</f>
        <v>0</v>
      </c>
      <c r="AA32" s="326">
        <f>(K32*S32*12)</f>
        <v>0</v>
      </c>
      <c r="AB32" s="327">
        <f>(R32*(M32+O32))*12</f>
        <v>0</v>
      </c>
      <c r="AC32" s="224"/>
      <c r="AD32" s="325">
        <f t="shared" si="10"/>
        <v>0</v>
      </c>
      <c r="AE32" s="326">
        <f t="shared" si="7"/>
        <v>0</v>
      </c>
      <c r="AF32" s="327">
        <f t="shared" si="7"/>
        <v>0</v>
      </c>
      <c r="AG32" s="224"/>
      <c r="AH32" s="349"/>
      <c r="AI32" s="345">
        <f>AI29</f>
        <v>0.15706116921224891</v>
      </c>
      <c r="AJ32" s="224"/>
      <c r="AK32" s="265"/>
      <c r="AL32" s="265"/>
      <c r="AM32" s="224"/>
    </row>
    <row r="33" spans="1:39" x14ac:dyDescent="0.25">
      <c r="A33" s="31"/>
      <c r="B33" s="51"/>
      <c r="C33" s="78" t="s">
        <v>137</v>
      </c>
      <c r="D33" s="11"/>
      <c r="E33" s="145"/>
      <c r="F33" s="11"/>
      <c r="G33" s="297"/>
      <c r="H33" s="282"/>
      <c r="I33" s="16"/>
      <c r="J33" s="307"/>
      <c r="K33" s="3"/>
      <c r="L33" s="152"/>
      <c r="M33" s="152"/>
      <c r="N33" s="152"/>
      <c r="O33" s="293"/>
      <c r="P33" s="16"/>
      <c r="Q33" s="316"/>
      <c r="R33" s="48"/>
      <c r="S33" s="76"/>
      <c r="T33" s="317"/>
      <c r="U33" s="16"/>
      <c r="V33" s="328">
        <f>SUM(V31:V32)</f>
        <v>0</v>
      </c>
      <c r="W33" s="340">
        <f t="shared" ref="W33" si="35">SUM(W31:W32)</f>
        <v>0</v>
      </c>
      <c r="X33" s="341">
        <f t="shared" ref="X33" si="36">SUM(X31:X32)</f>
        <v>0</v>
      </c>
      <c r="Y33" s="224"/>
      <c r="Z33" s="328">
        <f>SUM(Z31:Z32)</f>
        <v>0</v>
      </c>
      <c r="AA33" s="340">
        <f t="shared" ref="AA33" si="37">SUM(AA31:AA32)</f>
        <v>0</v>
      </c>
      <c r="AB33" s="341">
        <f t="shared" ref="AB33" si="38">SUM(AB31:AB32)</f>
        <v>0</v>
      </c>
      <c r="AC33" s="224"/>
      <c r="AD33" s="328">
        <f>SUM(AD31:AD32)</f>
        <v>0</v>
      </c>
      <c r="AE33" s="340">
        <f t="shared" ref="AE33" si="39">SUM(AE31:AE32)</f>
        <v>0</v>
      </c>
      <c r="AF33" s="341">
        <f t="shared" ref="AF33" si="40">SUM(AF31:AF32)</f>
        <v>0</v>
      </c>
      <c r="AG33" s="224"/>
      <c r="AH33" s="350" t="s">
        <v>268</v>
      </c>
      <c r="AI33" s="346" t="s">
        <v>268</v>
      </c>
      <c r="AJ33" s="224"/>
      <c r="AK33" s="265"/>
      <c r="AL33" s="265"/>
      <c r="AM33" s="224"/>
    </row>
    <row r="34" spans="1:39" x14ac:dyDescent="0.25">
      <c r="A34" s="31">
        <f>+A32+1</f>
        <v>23</v>
      </c>
      <c r="B34" s="47" t="s">
        <v>110</v>
      </c>
      <c r="C34" s="15" t="s">
        <v>6</v>
      </c>
      <c r="D34" s="16"/>
      <c r="E34" s="152">
        <f>'Rates in detail'!K29</f>
        <v>3.6949999999999997E-2</v>
      </c>
      <c r="F34" s="16"/>
      <c r="G34" s="241">
        <f>'Rates in detail'!M29</f>
        <v>0.11876999999999999</v>
      </c>
      <c r="H34" s="283">
        <f t="shared" si="9"/>
        <v>0.15571999999999997</v>
      </c>
      <c r="I34" s="16"/>
      <c r="J34" s="306">
        <f>'Avg Bill by RS'!H34</f>
        <v>1300</v>
      </c>
      <c r="K34" s="263">
        <f>'Avg Bill by RS'!G34</f>
        <v>1300</v>
      </c>
      <c r="L34" s="152">
        <v>0.15748000000000001</v>
      </c>
      <c r="M34" s="152">
        <f>L34</f>
        <v>0.15748000000000001</v>
      </c>
      <c r="N34" s="152">
        <v>0.20415</v>
      </c>
      <c r="O34" s="293">
        <f>N34</f>
        <v>0.20415</v>
      </c>
      <c r="P34" s="16"/>
      <c r="Q34" s="316">
        <f>'Washington volumes'!E29</f>
        <v>375116.70374643942</v>
      </c>
      <c r="R34" s="48">
        <v>6781</v>
      </c>
      <c r="S34" s="76">
        <f>'Washington volumes'!H29</f>
        <v>5.75</v>
      </c>
      <c r="T34" s="317">
        <f>'Washington volumes'!I29</f>
        <v>21657.937910000001</v>
      </c>
      <c r="U34" s="16"/>
      <c r="V34" s="325">
        <f>(G34*Q34)</f>
        <v>44552.610903964603</v>
      </c>
      <c r="W34" s="326">
        <f t="shared" ref="W34:W39" si="41">(J34*S34*12)</f>
        <v>89700</v>
      </c>
      <c r="X34" s="327">
        <f t="shared" ref="X34:X39" si="42">(R34*(L34+N34))*12</f>
        <v>29426.556359999999</v>
      </c>
      <c r="Y34" s="224"/>
      <c r="Z34" s="325">
        <f t="shared" ref="Z34:Z39" si="43">(H34*Q34)</f>
        <v>58413.173107395538</v>
      </c>
      <c r="AA34" s="326">
        <f t="shared" ref="AA34:AA39" si="44">(K34*S34*12)</f>
        <v>89700</v>
      </c>
      <c r="AB34" s="327">
        <f t="shared" ref="AB34:AB39" si="45">(R34*(M34+O34))*12</f>
        <v>29426.556359999999</v>
      </c>
      <c r="AC34" s="224"/>
      <c r="AD34" s="325">
        <f t="shared" si="10"/>
        <v>13860.562203430934</v>
      </c>
      <c r="AE34" s="326">
        <f t="shared" si="10"/>
        <v>0</v>
      </c>
      <c r="AF34" s="327">
        <f t="shared" si="10"/>
        <v>0</v>
      </c>
      <c r="AG34" s="224"/>
      <c r="AH34" s="349"/>
      <c r="AI34" s="345">
        <f t="shared" si="8"/>
        <v>0.31110549802138587</v>
      </c>
      <c r="AJ34" s="224"/>
      <c r="AK34" s="265"/>
      <c r="AL34" s="265"/>
      <c r="AM34" s="224"/>
    </row>
    <row r="35" spans="1:39" x14ac:dyDescent="0.25">
      <c r="A35" s="31">
        <f t="shared" si="0"/>
        <v>24</v>
      </c>
      <c r="B35" s="47"/>
      <c r="C35" s="15" t="s">
        <v>7</v>
      </c>
      <c r="D35" s="16"/>
      <c r="E35" s="152">
        <f>'Rates in detail'!K30</f>
        <v>3.3070000000000002E-2</v>
      </c>
      <c r="F35" s="16"/>
      <c r="G35" s="241">
        <f>'Rates in detail'!M30</f>
        <v>0.10631999999999975</v>
      </c>
      <c r="H35" s="283">
        <f t="shared" si="9"/>
        <v>0.13938999999999974</v>
      </c>
      <c r="I35" s="16"/>
      <c r="J35" s="306"/>
      <c r="K35" s="263"/>
      <c r="L35" s="152"/>
      <c r="M35" s="152"/>
      <c r="N35" s="152"/>
      <c r="O35" s="293"/>
      <c r="P35" s="16"/>
      <c r="Q35" s="316">
        <f>'Washington volumes'!E30</f>
        <v>296540.09891768522</v>
      </c>
      <c r="R35" s="48"/>
      <c r="S35" s="76"/>
      <c r="T35" s="317"/>
      <c r="U35" s="16"/>
      <c r="V35" s="325">
        <f t="shared" ref="V35:V39" si="46">(G35*Q35)</f>
        <v>31528.143316928217</v>
      </c>
      <c r="W35" s="326">
        <f t="shared" si="41"/>
        <v>0</v>
      </c>
      <c r="X35" s="327">
        <f t="shared" si="42"/>
        <v>0</v>
      </c>
      <c r="Y35" s="224"/>
      <c r="Z35" s="325">
        <f t="shared" si="43"/>
        <v>41334.724388136063</v>
      </c>
      <c r="AA35" s="326">
        <f t="shared" si="44"/>
        <v>0</v>
      </c>
      <c r="AB35" s="327">
        <f t="shared" si="45"/>
        <v>0</v>
      </c>
      <c r="AC35" s="224"/>
      <c r="AD35" s="325">
        <f t="shared" si="10"/>
        <v>9806.5810712078455</v>
      </c>
      <c r="AE35" s="326">
        <f t="shared" si="10"/>
        <v>0</v>
      </c>
      <c r="AF35" s="327">
        <f t="shared" si="10"/>
        <v>0</v>
      </c>
      <c r="AG35" s="224"/>
      <c r="AH35" s="349"/>
      <c r="AI35" s="345">
        <f t="shared" si="8"/>
        <v>0.3110421369450721</v>
      </c>
      <c r="AJ35" s="224"/>
      <c r="AK35" s="265"/>
      <c r="AL35" s="265"/>
      <c r="AM35" s="224"/>
    </row>
    <row r="36" spans="1:39" x14ac:dyDescent="0.25">
      <c r="A36" s="31">
        <f t="shared" si="0"/>
        <v>25</v>
      </c>
      <c r="B36" s="47"/>
      <c r="C36" s="15" t="s">
        <v>8</v>
      </c>
      <c r="D36" s="16"/>
      <c r="E36" s="152">
        <f>'Rates in detail'!K31</f>
        <v>2.537E-2</v>
      </c>
      <c r="F36" s="16"/>
      <c r="G36" s="241">
        <f>'Rates in detail'!M31</f>
        <v>8.1539999999999918E-2</v>
      </c>
      <c r="H36" s="283">
        <f t="shared" si="9"/>
        <v>0.10690999999999992</v>
      </c>
      <c r="I36" s="16"/>
      <c r="J36" s="307"/>
      <c r="K36" s="3"/>
      <c r="L36" s="152"/>
      <c r="M36" s="152"/>
      <c r="N36" s="152"/>
      <c r="O36" s="293"/>
      <c r="P36" s="16"/>
      <c r="Q36" s="316">
        <f>'Washington volumes'!E31</f>
        <v>74345.195918210724</v>
      </c>
      <c r="R36" s="48"/>
      <c r="S36" s="76"/>
      <c r="T36" s="317"/>
      <c r="U36" s="16"/>
      <c r="V36" s="325">
        <f t="shared" si="46"/>
        <v>6062.1072751708962</v>
      </c>
      <c r="W36" s="326">
        <f t="shared" si="41"/>
        <v>0</v>
      </c>
      <c r="X36" s="327">
        <f t="shared" si="42"/>
        <v>0</v>
      </c>
      <c r="Y36" s="224"/>
      <c r="Z36" s="325">
        <f t="shared" si="43"/>
        <v>7948.2448956159024</v>
      </c>
      <c r="AA36" s="326">
        <f t="shared" si="44"/>
        <v>0</v>
      </c>
      <c r="AB36" s="327">
        <f t="shared" si="45"/>
        <v>0</v>
      </c>
      <c r="AC36" s="224"/>
      <c r="AD36" s="325">
        <f t="shared" si="10"/>
        <v>1886.1376204450062</v>
      </c>
      <c r="AE36" s="326">
        <f t="shared" si="10"/>
        <v>0</v>
      </c>
      <c r="AF36" s="327">
        <f t="shared" si="10"/>
        <v>0</v>
      </c>
      <c r="AG36" s="224"/>
      <c r="AH36" s="349"/>
      <c r="AI36" s="345">
        <f t="shared" si="8"/>
        <v>0.31113563895020885</v>
      </c>
      <c r="AJ36" s="224"/>
      <c r="AK36" s="265"/>
      <c r="AL36" s="265"/>
      <c r="AM36" s="224"/>
    </row>
    <row r="37" spans="1:39" x14ac:dyDescent="0.25">
      <c r="A37" s="31">
        <f t="shared" si="0"/>
        <v>26</v>
      </c>
      <c r="B37" s="47"/>
      <c r="C37" s="15" t="s">
        <v>9</v>
      </c>
      <c r="D37" s="16"/>
      <c r="E37" s="152">
        <f>'Rates in detail'!K32</f>
        <v>2.0289999999999999E-2</v>
      </c>
      <c r="F37" s="16"/>
      <c r="G37" s="241">
        <f>'Rates in detail'!M32</f>
        <v>6.5230000000000232E-2</v>
      </c>
      <c r="H37" s="283">
        <f t="shared" si="9"/>
        <v>8.5520000000000235E-2</v>
      </c>
      <c r="I37" s="16"/>
      <c r="J37" s="306"/>
      <c r="K37" s="263"/>
      <c r="L37" s="152"/>
      <c r="M37" s="152"/>
      <c r="N37" s="152"/>
      <c r="O37" s="293"/>
      <c r="P37" s="16"/>
      <c r="Q37" s="316">
        <f>'Washington volumes'!E32</f>
        <v>1196.8591974909189</v>
      </c>
      <c r="R37" s="48"/>
      <c r="S37" s="76"/>
      <c r="T37" s="317"/>
      <c r="U37" s="16"/>
      <c r="V37" s="325">
        <f t="shared" si="46"/>
        <v>78.071125452332922</v>
      </c>
      <c r="W37" s="326">
        <f t="shared" si="41"/>
        <v>0</v>
      </c>
      <c r="X37" s="327">
        <f t="shared" si="42"/>
        <v>0</v>
      </c>
      <c r="Y37" s="224"/>
      <c r="Z37" s="325">
        <f t="shared" si="43"/>
        <v>102.35539856942366</v>
      </c>
      <c r="AA37" s="326">
        <f t="shared" si="44"/>
        <v>0</v>
      </c>
      <c r="AB37" s="327">
        <f t="shared" si="45"/>
        <v>0</v>
      </c>
      <c r="AC37" s="224"/>
      <c r="AD37" s="325">
        <f t="shared" si="10"/>
        <v>24.284273117090734</v>
      </c>
      <c r="AE37" s="326">
        <f t="shared" si="10"/>
        <v>0</v>
      </c>
      <c r="AF37" s="327">
        <f t="shared" si="10"/>
        <v>0</v>
      </c>
      <c r="AG37" s="224"/>
      <c r="AH37" s="349"/>
      <c r="AI37" s="345">
        <f t="shared" si="8"/>
        <v>0.31105319638203155</v>
      </c>
      <c r="AJ37" s="224"/>
      <c r="AK37" s="265"/>
      <c r="AL37" s="265"/>
      <c r="AM37" s="224"/>
    </row>
    <row r="38" spans="1:39" x14ac:dyDescent="0.25">
      <c r="A38" s="31">
        <f t="shared" si="0"/>
        <v>27</v>
      </c>
      <c r="B38" s="47"/>
      <c r="C38" s="15" t="s">
        <v>10</v>
      </c>
      <c r="D38" s="16"/>
      <c r="E38" s="152">
        <f>'Rates in detail'!K33</f>
        <v>1.3520000000000001E-2</v>
      </c>
      <c r="F38" s="16"/>
      <c r="G38" s="241">
        <f>'Rates in detail'!M33</f>
        <v>4.3479999999999915E-2</v>
      </c>
      <c r="H38" s="283">
        <f t="shared" si="9"/>
        <v>5.6999999999999912E-2</v>
      </c>
      <c r="I38" s="16"/>
      <c r="J38" s="306"/>
      <c r="K38" s="263"/>
      <c r="L38" s="152"/>
      <c r="M38" s="152"/>
      <c r="N38" s="152"/>
      <c r="O38" s="293"/>
      <c r="P38" s="16"/>
      <c r="Q38" s="316"/>
      <c r="R38" s="48"/>
      <c r="S38" s="76"/>
      <c r="T38" s="317"/>
      <c r="U38" s="16"/>
      <c r="V38" s="325">
        <f t="shared" si="46"/>
        <v>0</v>
      </c>
      <c r="W38" s="326">
        <f t="shared" si="41"/>
        <v>0</v>
      </c>
      <c r="X38" s="327">
        <f t="shared" si="42"/>
        <v>0</v>
      </c>
      <c r="Y38" s="224"/>
      <c r="Z38" s="325">
        <f t="shared" si="43"/>
        <v>0</v>
      </c>
      <c r="AA38" s="326">
        <f t="shared" si="44"/>
        <v>0</v>
      </c>
      <c r="AB38" s="327">
        <f t="shared" si="45"/>
        <v>0</v>
      </c>
      <c r="AC38" s="224"/>
      <c r="AD38" s="325">
        <f t="shared" si="10"/>
        <v>0</v>
      </c>
      <c r="AE38" s="326">
        <f t="shared" si="10"/>
        <v>0</v>
      </c>
      <c r="AF38" s="327">
        <f t="shared" si="10"/>
        <v>0</v>
      </c>
      <c r="AG38" s="224"/>
      <c r="AH38" s="349"/>
      <c r="AI38" s="345">
        <f>AI37</f>
        <v>0.31105319638203155</v>
      </c>
      <c r="AJ38" s="224"/>
      <c r="AK38" s="265"/>
      <c r="AL38" s="265"/>
      <c r="AM38" s="224"/>
    </row>
    <row r="39" spans="1:39" x14ac:dyDescent="0.25">
      <c r="A39" s="31">
        <f t="shared" si="0"/>
        <v>28</v>
      </c>
      <c r="B39" s="47"/>
      <c r="C39" s="15" t="s">
        <v>11</v>
      </c>
      <c r="D39" s="16"/>
      <c r="E39" s="152">
        <f>'Rates in detail'!K34</f>
        <v>5.0699999999999999E-3</v>
      </c>
      <c r="F39" s="16"/>
      <c r="G39" s="241">
        <f>'Rates in detail'!M34</f>
        <v>1.6300000000000064E-2</v>
      </c>
      <c r="H39" s="283">
        <f t="shared" si="9"/>
        <v>2.1370000000000063E-2</v>
      </c>
      <c r="I39" s="16"/>
      <c r="J39" s="307"/>
      <c r="K39" s="3"/>
      <c r="L39" s="152"/>
      <c r="M39" s="152"/>
      <c r="N39" s="152"/>
      <c r="O39" s="293"/>
      <c r="P39" s="16"/>
      <c r="Q39" s="316"/>
      <c r="R39" s="48"/>
      <c r="S39" s="76"/>
      <c r="T39" s="317"/>
      <c r="U39" s="16"/>
      <c r="V39" s="325">
        <f t="shared" si="46"/>
        <v>0</v>
      </c>
      <c r="W39" s="326">
        <f t="shared" si="41"/>
        <v>0</v>
      </c>
      <c r="X39" s="327">
        <f t="shared" si="42"/>
        <v>0</v>
      </c>
      <c r="Y39" s="224"/>
      <c r="Z39" s="325">
        <f t="shared" si="43"/>
        <v>0</v>
      </c>
      <c r="AA39" s="326">
        <f t="shared" si="44"/>
        <v>0</v>
      </c>
      <c r="AB39" s="327">
        <f t="shared" si="45"/>
        <v>0</v>
      </c>
      <c r="AC39" s="224"/>
      <c r="AD39" s="325">
        <f t="shared" si="10"/>
        <v>0</v>
      </c>
      <c r="AE39" s="326">
        <f t="shared" si="10"/>
        <v>0</v>
      </c>
      <c r="AF39" s="327">
        <f t="shared" si="10"/>
        <v>0</v>
      </c>
      <c r="AG39" s="224"/>
      <c r="AH39" s="349"/>
      <c r="AI39" s="345">
        <f>AI38</f>
        <v>0.31105319638203155</v>
      </c>
      <c r="AJ39" s="224"/>
      <c r="AK39" s="265"/>
      <c r="AL39" s="265"/>
      <c r="AM39" s="224"/>
    </row>
    <row r="40" spans="1:39" x14ac:dyDescent="0.25">
      <c r="A40" s="31"/>
      <c r="B40" s="51"/>
      <c r="C40" s="78" t="s">
        <v>137</v>
      </c>
      <c r="D40" s="11"/>
      <c r="E40" s="145"/>
      <c r="F40" s="11"/>
      <c r="G40" s="297"/>
      <c r="H40" s="282"/>
      <c r="I40" s="16"/>
      <c r="J40" s="307"/>
      <c r="K40" s="3"/>
      <c r="L40" s="152"/>
      <c r="M40" s="152"/>
      <c r="N40" s="152"/>
      <c r="O40" s="293"/>
      <c r="P40" s="16"/>
      <c r="Q40" s="316"/>
      <c r="R40" s="48"/>
      <c r="S40" s="76"/>
      <c r="T40" s="317"/>
      <c r="U40" s="16"/>
      <c r="V40" s="328">
        <f>SUM(V34:V39)</f>
        <v>82220.932621516054</v>
      </c>
      <c r="W40" s="340">
        <f>SUM(W34:W39)</f>
        <v>89700</v>
      </c>
      <c r="X40" s="341">
        <f>SUM(X34:X39)</f>
        <v>29426.556359999999</v>
      </c>
      <c r="Y40" s="224"/>
      <c r="Z40" s="328">
        <f>SUM(Z34:Z39)</f>
        <v>107798.49778971693</v>
      </c>
      <c r="AA40" s="340">
        <f>SUM(AA34:AA39)</f>
        <v>89700</v>
      </c>
      <c r="AB40" s="341">
        <f>SUM(AB34:AB39)</f>
        <v>29426.556359999999</v>
      </c>
      <c r="AC40" s="224"/>
      <c r="AD40" s="328">
        <f>SUM(AD34:AD39)</f>
        <v>25577.565168200876</v>
      </c>
      <c r="AE40" s="340">
        <f>SUM(AE34:AE39)</f>
        <v>0</v>
      </c>
      <c r="AF40" s="341">
        <f>SUM(AF34:AF39)</f>
        <v>0</v>
      </c>
      <c r="AG40" s="224"/>
      <c r="AH40" s="349">
        <f t="shared" si="11"/>
        <v>0.12703195504240397</v>
      </c>
      <c r="AI40" s="346">
        <f t="shared" si="8"/>
        <v>0.31108337442413769</v>
      </c>
      <c r="AJ40" s="224"/>
      <c r="AK40" s="265"/>
      <c r="AL40" s="265"/>
      <c r="AM40" s="224"/>
    </row>
    <row r="41" spans="1:39" x14ac:dyDescent="0.25">
      <c r="A41" s="31">
        <f>+A39+1</f>
        <v>29</v>
      </c>
      <c r="B41" s="47" t="s">
        <v>111</v>
      </c>
      <c r="C41" s="15" t="s">
        <v>6</v>
      </c>
      <c r="D41" s="16"/>
      <c r="E41" s="152">
        <f>'Rates in detail'!K35</f>
        <v>3.1390000000000001E-2</v>
      </c>
      <c r="F41" s="16"/>
      <c r="G41" s="241">
        <f>'Rates in detail'!M35</f>
        <v>0.11871000000000004</v>
      </c>
      <c r="H41" s="283">
        <f t="shared" si="9"/>
        <v>0.15010000000000004</v>
      </c>
      <c r="I41" s="16"/>
      <c r="J41" s="306">
        <f>'Avg Bill by RS'!H41</f>
        <v>1300</v>
      </c>
      <c r="K41" s="263">
        <f>'Avg Bill by RS'!G41</f>
        <v>1300</v>
      </c>
      <c r="L41" s="152">
        <v>0.15748000000000001</v>
      </c>
      <c r="M41" s="152">
        <f>L41</f>
        <v>0.15748000000000001</v>
      </c>
      <c r="N41" s="152">
        <v>0.20415</v>
      </c>
      <c r="O41" s="293">
        <f>N41</f>
        <v>0.20415</v>
      </c>
      <c r="P41" s="16"/>
      <c r="Q41" s="316">
        <f>'Washington volumes'!E35</f>
        <v>1116842.3999999999</v>
      </c>
      <c r="R41" s="48">
        <v>11213</v>
      </c>
      <c r="S41" s="76">
        <f>'Washington volumes'!H35</f>
        <v>11.833333333333334</v>
      </c>
      <c r="T41" s="317">
        <f>'Washington volumes'!I35</f>
        <v>27009.42958</v>
      </c>
      <c r="U41" s="16"/>
      <c r="V41" s="325">
        <f t="shared" ref="V41:V46" si="47">(G41*Q41)</f>
        <v>132580.36130400002</v>
      </c>
      <c r="W41" s="326">
        <f t="shared" ref="W41:W46" si="48">(J41*S41*12)</f>
        <v>184600</v>
      </c>
      <c r="X41" s="327">
        <f t="shared" ref="X41:X46" si="49">(R41*(L41+N41))*12</f>
        <v>48659.486279999997</v>
      </c>
      <c r="Y41" s="224"/>
      <c r="Z41" s="325">
        <f>(H41*Q41)</f>
        <v>167638.04424000002</v>
      </c>
      <c r="AA41" s="326">
        <f>(K41*S41*12)</f>
        <v>184600</v>
      </c>
      <c r="AB41" s="327">
        <f t="shared" ref="AB41:AB46" si="50">(R41*(M41+O41))*12</f>
        <v>48659.486279999997</v>
      </c>
      <c r="AC41" s="224"/>
      <c r="AD41" s="325">
        <f>Z41-V41</f>
        <v>35057.682935999997</v>
      </c>
      <c r="AE41" s="326">
        <f t="shared" si="10"/>
        <v>0</v>
      </c>
      <c r="AF41" s="327">
        <f t="shared" si="10"/>
        <v>0</v>
      </c>
      <c r="AG41" s="224"/>
      <c r="AH41" s="349"/>
      <c r="AI41" s="345">
        <f t="shared" si="8"/>
        <v>0.26442591188610892</v>
      </c>
      <c r="AJ41" s="224"/>
      <c r="AK41" s="265"/>
      <c r="AL41" s="265"/>
      <c r="AM41" s="224"/>
    </row>
    <row r="42" spans="1:39" x14ac:dyDescent="0.25">
      <c r="A42" s="31">
        <f t="shared" si="0"/>
        <v>30</v>
      </c>
      <c r="B42" s="47"/>
      <c r="C42" s="15" t="s">
        <v>7</v>
      </c>
      <c r="D42" s="16"/>
      <c r="E42" s="152">
        <f>'Rates in detail'!K36</f>
        <v>2.81E-2</v>
      </c>
      <c r="F42" s="16"/>
      <c r="G42" s="241">
        <f>'Rates in detail'!M36</f>
        <v>0.10626000000000005</v>
      </c>
      <c r="H42" s="283">
        <f t="shared" si="9"/>
        <v>0.13436000000000003</v>
      </c>
      <c r="I42" s="16"/>
      <c r="J42" s="306"/>
      <c r="K42" s="263"/>
      <c r="L42" s="152"/>
      <c r="M42" s="152"/>
      <c r="N42" s="152"/>
      <c r="O42" s="293"/>
      <c r="P42" s="16"/>
      <c r="Q42" s="316">
        <f>'Washington volumes'!E36</f>
        <v>718678.6</v>
      </c>
      <c r="R42" s="48"/>
      <c r="S42" s="76"/>
      <c r="T42" s="317"/>
      <c r="U42" s="16"/>
      <c r="V42" s="325">
        <f t="shared" si="47"/>
        <v>76366.788036000027</v>
      </c>
      <c r="W42" s="326">
        <f t="shared" si="48"/>
        <v>0</v>
      </c>
      <c r="X42" s="327">
        <f t="shared" si="49"/>
        <v>0</v>
      </c>
      <c r="Y42" s="224"/>
      <c r="Z42" s="325">
        <f t="shared" ref="Z42:Z46" si="51">(H42*Q42)</f>
        <v>96561.65669600002</v>
      </c>
      <c r="AA42" s="326">
        <f t="shared" ref="AA42:AA46" si="52">(K42*S42*12)</f>
        <v>0</v>
      </c>
      <c r="AB42" s="327">
        <f t="shared" si="50"/>
        <v>0</v>
      </c>
      <c r="AC42" s="224"/>
      <c r="AD42" s="325">
        <f t="shared" si="10"/>
        <v>20194.868659999993</v>
      </c>
      <c r="AE42" s="326">
        <f t="shared" si="10"/>
        <v>0</v>
      </c>
      <c r="AF42" s="327">
        <f t="shared" si="10"/>
        <v>0</v>
      </c>
      <c r="AG42" s="224"/>
      <c r="AH42" s="349"/>
      <c r="AI42" s="345">
        <f t="shared" si="8"/>
        <v>0.26444569922830774</v>
      </c>
      <c r="AJ42" s="224"/>
      <c r="AK42" s="265"/>
      <c r="AL42" s="265"/>
      <c r="AM42" s="224"/>
    </row>
    <row r="43" spans="1:39" x14ac:dyDescent="0.25">
      <c r="A43" s="31">
        <f t="shared" si="0"/>
        <v>31</v>
      </c>
      <c r="B43" s="47"/>
      <c r="C43" s="15" t="s">
        <v>8</v>
      </c>
      <c r="D43" s="16"/>
      <c r="E43" s="152">
        <f>'Rates in detail'!K37</f>
        <v>2.155E-2</v>
      </c>
      <c r="F43" s="16"/>
      <c r="G43" s="241">
        <f>'Rates in detail'!M37</f>
        <v>8.148999999999984E-2</v>
      </c>
      <c r="H43" s="283">
        <f t="shared" si="9"/>
        <v>0.10303999999999984</v>
      </c>
      <c r="I43" s="16"/>
      <c r="J43" s="306"/>
      <c r="K43" s="263"/>
      <c r="L43" s="152"/>
      <c r="M43" s="152"/>
      <c r="N43" s="152"/>
      <c r="O43" s="293"/>
      <c r="P43" s="16"/>
      <c r="Q43" s="316">
        <f>'Washington volumes'!E37</f>
        <v>82148.5</v>
      </c>
      <c r="R43" s="48"/>
      <c r="S43" s="76"/>
      <c r="T43" s="317"/>
      <c r="U43" s="16"/>
      <c r="V43" s="325">
        <f t="shared" si="47"/>
        <v>6694.2812649999869</v>
      </c>
      <c r="W43" s="326">
        <f t="shared" si="48"/>
        <v>0</v>
      </c>
      <c r="X43" s="327">
        <f t="shared" si="49"/>
        <v>0</v>
      </c>
      <c r="Y43" s="224"/>
      <c r="Z43" s="325">
        <f t="shared" si="51"/>
        <v>8464.5814399999872</v>
      </c>
      <c r="AA43" s="326">
        <f t="shared" si="52"/>
        <v>0</v>
      </c>
      <c r="AB43" s="327">
        <f t="shared" si="50"/>
        <v>0</v>
      </c>
      <c r="AC43" s="224"/>
      <c r="AD43" s="325">
        <f t="shared" si="10"/>
        <v>1770.3001750000003</v>
      </c>
      <c r="AE43" s="326">
        <f t="shared" si="10"/>
        <v>0</v>
      </c>
      <c r="AF43" s="327">
        <f t="shared" si="10"/>
        <v>0</v>
      </c>
      <c r="AG43" s="224"/>
      <c r="AH43" s="349"/>
      <c r="AI43" s="345">
        <f t="shared" si="8"/>
        <v>0.26444962572094793</v>
      </c>
      <c r="AJ43" s="224"/>
      <c r="AK43" s="265"/>
      <c r="AL43" s="265"/>
      <c r="AM43" s="224"/>
    </row>
    <row r="44" spans="1:39" x14ac:dyDescent="0.25">
      <c r="A44" s="31">
        <f t="shared" si="0"/>
        <v>32</v>
      </c>
      <c r="B44" s="47"/>
      <c r="C44" s="15" t="s">
        <v>9</v>
      </c>
      <c r="D44" s="16"/>
      <c r="E44" s="152">
        <f>'Rates in detail'!K38</f>
        <v>1.7239999999999998E-2</v>
      </c>
      <c r="F44" s="16"/>
      <c r="G44" s="241">
        <f>'Rates in detail'!M38</f>
        <v>6.5190000000000164E-2</v>
      </c>
      <c r="H44" s="283">
        <f t="shared" si="9"/>
        <v>8.243000000000017E-2</v>
      </c>
      <c r="I44" s="16"/>
      <c r="J44" s="306"/>
      <c r="K44" s="263"/>
      <c r="L44" s="152"/>
      <c r="M44" s="152"/>
      <c r="N44" s="152"/>
      <c r="O44" s="293"/>
      <c r="P44" s="16"/>
      <c r="Q44" s="316"/>
      <c r="R44" s="48"/>
      <c r="S44" s="76"/>
      <c r="T44" s="317"/>
      <c r="U44" s="16"/>
      <c r="V44" s="325">
        <f t="shared" si="47"/>
        <v>0</v>
      </c>
      <c r="W44" s="326">
        <f t="shared" si="48"/>
        <v>0</v>
      </c>
      <c r="X44" s="327">
        <f t="shared" si="49"/>
        <v>0</v>
      </c>
      <c r="Y44" s="224"/>
      <c r="Z44" s="325">
        <f t="shared" si="51"/>
        <v>0</v>
      </c>
      <c r="AA44" s="326">
        <f t="shared" si="52"/>
        <v>0</v>
      </c>
      <c r="AB44" s="327">
        <f t="shared" si="50"/>
        <v>0</v>
      </c>
      <c r="AC44" s="224"/>
      <c r="AD44" s="325">
        <f t="shared" si="10"/>
        <v>0</v>
      </c>
      <c r="AE44" s="326">
        <f t="shared" si="10"/>
        <v>0</v>
      </c>
      <c r="AF44" s="327">
        <f t="shared" si="10"/>
        <v>0</v>
      </c>
      <c r="AG44" s="224"/>
      <c r="AH44" s="349"/>
      <c r="AI44" s="345">
        <f>AI43</f>
        <v>0.26444962572094793</v>
      </c>
      <c r="AJ44" s="224"/>
      <c r="AK44" s="265"/>
      <c r="AL44" s="265"/>
      <c r="AM44" s="224"/>
    </row>
    <row r="45" spans="1:39" x14ac:dyDescent="0.25">
      <c r="A45" s="31">
        <f t="shared" si="0"/>
        <v>33</v>
      </c>
      <c r="B45" s="47"/>
      <c r="C45" s="15" t="s">
        <v>10</v>
      </c>
      <c r="D45" s="16"/>
      <c r="E45" s="152">
        <f>'Rates in detail'!K39</f>
        <v>1.15E-2</v>
      </c>
      <c r="F45" s="16"/>
      <c r="G45" s="241">
        <f>'Rates in detail'!M39</f>
        <v>4.3470000000000182E-2</v>
      </c>
      <c r="H45" s="283">
        <f t="shared" si="9"/>
        <v>5.4970000000000185E-2</v>
      </c>
      <c r="I45" s="16"/>
      <c r="J45" s="306"/>
      <c r="K45" s="263"/>
      <c r="L45" s="152"/>
      <c r="M45" s="152"/>
      <c r="N45" s="152"/>
      <c r="O45" s="293"/>
      <c r="P45" s="16"/>
      <c r="Q45" s="316"/>
      <c r="R45" s="48"/>
      <c r="S45" s="76"/>
      <c r="T45" s="317"/>
      <c r="U45" s="16"/>
      <c r="V45" s="325">
        <f t="shared" si="47"/>
        <v>0</v>
      </c>
      <c r="W45" s="326">
        <f t="shared" si="48"/>
        <v>0</v>
      </c>
      <c r="X45" s="327">
        <f t="shared" si="49"/>
        <v>0</v>
      </c>
      <c r="Y45" s="224"/>
      <c r="Z45" s="325">
        <f t="shared" si="51"/>
        <v>0</v>
      </c>
      <c r="AA45" s="326">
        <f t="shared" si="52"/>
        <v>0</v>
      </c>
      <c r="AB45" s="327">
        <f t="shared" si="50"/>
        <v>0</v>
      </c>
      <c r="AC45" s="224"/>
      <c r="AD45" s="325">
        <f t="shared" si="10"/>
        <v>0</v>
      </c>
      <c r="AE45" s="326">
        <f t="shared" si="10"/>
        <v>0</v>
      </c>
      <c r="AF45" s="327">
        <f t="shared" si="10"/>
        <v>0</v>
      </c>
      <c r="AG45" s="224"/>
      <c r="AH45" s="349"/>
      <c r="AI45" s="345">
        <f>AI44</f>
        <v>0.26444962572094793</v>
      </c>
      <c r="AJ45" s="224"/>
      <c r="AK45" s="265"/>
      <c r="AL45" s="265"/>
      <c r="AM45" s="224"/>
    </row>
    <row r="46" spans="1:39" x14ac:dyDescent="0.25">
      <c r="A46" s="31">
        <f t="shared" si="0"/>
        <v>34</v>
      </c>
      <c r="B46" s="47"/>
      <c r="C46" s="15" t="s">
        <v>11</v>
      </c>
      <c r="D46" s="16"/>
      <c r="E46" s="152">
        <f>'Rates in detail'!K40</f>
        <v>4.3099999999999996E-3</v>
      </c>
      <c r="F46" s="16"/>
      <c r="G46" s="241">
        <f>'Rates in detail'!M40</f>
        <v>1.6289999999999926E-2</v>
      </c>
      <c r="H46" s="283">
        <f t="shared" si="9"/>
        <v>2.0599999999999924E-2</v>
      </c>
      <c r="I46" s="16"/>
      <c r="J46" s="306"/>
      <c r="K46" s="263"/>
      <c r="L46" s="152"/>
      <c r="M46" s="152"/>
      <c r="N46" s="152"/>
      <c r="O46" s="293"/>
      <c r="P46" s="16"/>
      <c r="Q46" s="316"/>
      <c r="R46" s="48"/>
      <c r="S46" s="76"/>
      <c r="T46" s="317"/>
      <c r="U46" s="16"/>
      <c r="V46" s="325">
        <f t="shared" si="47"/>
        <v>0</v>
      </c>
      <c r="W46" s="326">
        <f t="shared" si="48"/>
        <v>0</v>
      </c>
      <c r="X46" s="327">
        <f t="shared" si="49"/>
        <v>0</v>
      </c>
      <c r="Y46" s="224"/>
      <c r="Z46" s="325">
        <f t="shared" si="51"/>
        <v>0</v>
      </c>
      <c r="AA46" s="326">
        <f t="shared" si="52"/>
        <v>0</v>
      </c>
      <c r="AB46" s="327">
        <f t="shared" si="50"/>
        <v>0</v>
      </c>
      <c r="AC46" s="224"/>
      <c r="AD46" s="325">
        <f t="shared" si="10"/>
        <v>0</v>
      </c>
      <c r="AE46" s="326">
        <f t="shared" si="10"/>
        <v>0</v>
      </c>
      <c r="AF46" s="327">
        <f t="shared" si="10"/>
        <v>0</v>
      </c>
      <c r="AG46" s="224"/>
      <c r="AH46" s="349"/>
      <c r="AI46" s="345">
        <f>AI45</f>
        <v>0.26444962572094793</v>
      </c>
      <c r="AJ46" s="224"/>
      <c r="AK46" s="265"/>
      <c r="AL46" s="265"/>
      <c r="AM46" s="224"/>
    </row>
    <row r="47" spans="1:39" x14ac:dyDescent="0.25">
      <c r="A47" s="31"/>
      <c r="B47" s="51"/>
      <c r="C47" s="78" t="s">
        <v>137</v>
      </c>
      <c r="D47" s="11"/>
      <c r="E47" s="145"/>
      <c r="F47" s="11"/>
      <c r="G47" s="297"/>
      <c r="H47" s="282"/>
      <c r="I47" s="16"/>
      <c r="J47" s="306"/>
      <c r="K47" s="263"/>
      <c r="L47" s="152"/>
      <c r="M47" s="152"/>
      <c r="N47" s="152"/>
      <c r="O47" s="293"/>
      <c r="P47" s="16"/>
      <c r="Q47" s="316"/>
      <c r="R47" s="48"/>
      <c r="S47" s="76"/>
      <c r="T47" s="317"/>
      <c r="U47" s="16"/>
      <c r="V47" s="328">
        <f>SUM(V41:V46)</f>
        <v>215641.43060500006</v>
      </c>
      <c r="W47" s="340">
        <f>SUM(W41:W46)</f>
        <v>184600</v>
      </c>
      <c r="X47" s="341">
        <f>SUM(X41:X46)</f>
        <v>48659.486279999997</v>
      </c>
      <c r="Y47" s="224"/>
      <c r="Z47" s="328">
        <f>SUM(Z41:Z46)</f>
        <v>272664.28237600002</v>
      </c>
      <c r="AA47" s="340">
        <f>SUM(AA41:AA46)</f>
        <v>184600</v>
      </c>
      <c r="AB47" s="341">
        <f>SUM(AB41:AB46)</f>
        <v>48659.486279999997</v>
      </c>
      <c r="AC47" s="224"/>
      <c r="AD47" s="328">
        <f>SUM(AD41:AD46)</f>
        <v>57022.851770999987</v>
      </c>
      <c r="AE47" s="340">
        <f>SUM(AE41:AE46)</f>
        <v>0</v>
      </c>
      <c r="AF47" s="341">
        <f>SUM(AF41:AF46)</f>
        <v>0</v>
      </c>
      <c r="AG47" s="224"/>
      <c r="AH47" s="349">
        <f t="shared" si="11"/>
        <v>0.12702770171798994</v>
      </c>
      <c r="AI47" s="346">
        <f t="shared" si="8"/>
        <v>0.26443365549476094</v>
      </c>
      <c r="AJ47" s="224"/>
      <c r="AK47" s="265"/>
      <c r="AL47" s="265"/>
      <c r="AM47" s="224"/>
    </row>
    <row r="48" spans="1:39" x14ac:dyDescent="0.25">
      <c r="A48" s="31">
        <f>+A46+1</f>
        <v>35</v>
      </c>
      <c r="B48" s="47" t="s">
        <v>265</v>
      </c>
      <c r="C48" s="15" t="s">
        <v>6</v>
      </c>
      <c r="D48" s="16"/>
      <c r="E48" s="152">
        <f>'Rates in detail'!K41</f>
        <v>2.188E-2</v>
      </c>
      <c r="F48" s="16"/>
      <c r="G48" s="241">
        <f>'Rates in detail'!M41</f>
        <v>0.11817999999999999</v>
      </c>
      <c r="H48" s="283">
        <f t="shared" si="9"/>
        <v>0.14005999999999999</v>
      </c>
      <c r="I48" s="16"/>
      <c r="J48" s="306">
        <f>'Avg Bill by RS'!H48</f>
        <v>1550</v>
      </c>
      <c r="K48" s="263">
        <f>'Avg Bill by RS'!G48</f>
        <v>1550</v>
      </c>
      <c r="L48" s="152">
        <v>0.15748000000000001</v>
      </c>
      <c r="M48" s="152">
        <f>L48</f>
        <v>0.15748000000000001</v>
      </c>
      <c r="N48" s="152">
        <v>0</v>
      </c>
      <c r="O48" s="293">
        <v>0</v>
      </c>
      <c r="P48" s="16"/>
      <c r="Q48" s="316">
        <f>'Washington volumes'!E41</f>
        <v>480000</v>
      </c>
      <c r="R48" s="48">
        <f>8533</f>
        <v>8533</v>
      </c>
      <c r="S48" s="76">
        <f>'Washington volumes'!H41</f>
        <v>4</v>
      </c>
      <c r="T48" s="317">
        <f>'Washington volumes'!I41</f>
        <v>85748.708329999994</v>
      </c>
      <c r="U48" s="16"/>
      <c r="V48" s="325">
        <f t="shared" ref="V48:V53" si="53">(G48*Q48)</f>
        <v>56726.399999999994</v>
      </c>
      <c r="W48" s="326">
        <f t="shared" ref="W48:W53" si="54">(J48*S48*12)</f>
        <v>74400</v>
      </c>
      <c r="X48" s="327">
        <f t="shared" ref="X48:X53" si="55">(R48*(L48+N48))*12</f>
        <v>16125.32208</v>
      </c>
      <c r="Y48" s="224"/>
      <c r="Z48" s="325">
        <f t="shared" ref="Z48:Z53" si="56">(H48*Q48)</f>
        <v>67228.799999999988</v>
      </c>
      <c r="AA48" s="326">
        <f t="shared" ref="AA48:AA53" si="57">(K48*S48*12)</f>
        <v>74400</v>
      </c>
      <c r="AB48" s="327">
        <f t="shared" ref="AB48:AB53" si="58">(R48*(M48+O48))*12</f>
        <v>16125.32208</v>
      </c>
      <c r="AC48" s="224"/>
      <c r="AD48" s="325">
        <f t="shared" si="10"/>
        <v>10502.399999999994</v>
      </c>
      <c r="AE48" s="326">
        <f t="shared" si="10"/>
        <v>0</v>
      </c>
      <c r="AF48" s="327">
        <f t="shared" si="10"/>
        <v>0</v>
      </c>
      <c r="AG48" s="224"/>
      <c r="AH48" s="349"/>
      <c r="AI48" s="345">
        <f t="shared" si="8"/>
        <v>0.18514130986630556</v>
      </c>
      <c r="AJ48" s="224"/>
      <c r="AK48" s="265"/>
      <c r="AL48" s="265"/>
      <c r="AM48" s="224"/>
    </row>
    <row r="49" spans="1:39" x14ac:dyDescent="0.25">
      <c r="A49" s="31">
        <f t="shared" si="0"/>
        <v>36</v>
      </c>
      <c r="B49" s="47"/>
      <c r="C49" s="15" t="s">
        <v>7</v>
      </c>
      <c r="D49" s="16"/>
      <c r="E49" s="152">
        <f>'Rates in detail'!K42</f>
        <v>1.959E-2</v>
      </c>
      <c r="F49" s="16"/>
      <c r="G49" s="241">
        <f>'Rates in detail'!M42</f>
        <v>0.10579</v>
      </c>
      <c r="H49" s="283">
        <f t="shared" si="9"/>
        <v>0.12537999999999999</v>
      </c>
      <c r="I49" s="16"/>
      <c r="J49" s="306"/>
      <c r="K49" s="263"/>
      <c r="L49" s="152"/>
      <c r="M49" s="152"/>
      <c r="N49" s="152"/>
      <c r="O49" s="293"/>
      <c r="P49" s="16"/>
      <c r="Q49" s="316">
        <f>'Washington volumes'!E42</f>
        <v>772316</v>
      </c>
      <c r="R49" s="48"/>
      <c r="S49" s="76"/>
      <c r="T49" s="317"/>
      <c r="U49" s="16"/>
      <c r="V49" s="325">
        <f t="shared" si="53"/>
        <v>81703.309639999992</v>
      </c>
      <c r="W49" s="326">
        <f t="shared" si="54"/>
        <v>0</v>
      </c>
      <c r="X49" s="327">
        <f t="shared" si="55"/>
        <v>0</v>
      </c>
      <c r="Y49" s="224"/>
      <c r="Z49" s="325">
        <f t="shared" si="56"/>
        <v>96832.980079999994</v>
      </c>
      <c r="AA49" s="326">
        <f t="shared" si="57"/>
        <v>0</v>
      </c>
      <c r="AB49" s="327">
        <f t="shared" si="58"/>
        <v>0</v>
      </c>
      <c r="AC49" s="224"/>
      <c r="AD49" s="325">
        <f t="shared" si="10"/>
        <v>15129.670440000002</v>
      </c>
      <c r="AE49" s="326">
        <f t="shared" si="10"/>
        <v>0</v>
      </c>
      <c r="AF49" s="327">
        <f t="shared" si="10"/>
        <v>0</v>
      </c>
      <c r="AG49" s="224"/>
      <c r="AH49" s="349"/>
      <c r="AI49" s="345">
        <f t="shared" si="8"/>
        <v>0.18517818319311849</v>
      </c>
      <c r="AJ49" s="224"/>
      <c r="AK49" s="265"/>
      <c r="AL49" s="265"/>
      <c r="AM49" s="224"/>
    </row>
    <row r="50" spans="1:39" x14ac:dyDescent="0.25">
      <c r="A50" s="31">
        <f t="shared" si="0"/>
        <v>37</v>
      </c>
      <c r="B50" s="47"/>
      <c r="C50" s="15" t="s">
        <v>8</v>
      </c>
      <c r="D50" s="16"/>
      <c r="E50" s="152">
        <f>'Rates in detail'!K43</f>
        <v>1.502E-2</v>
      </c>
      <c r="F50" s="16"/>
      <c r="G50" s="241">
        <f>'Rates in detail'!M43</f>
        <v>8.1119999999999998E-2</v>
      </c>
      <c r="H50" s="283">
        <f t="shared" si="9"/>
        <v>9.6140000000000003E-2</v>
      </c>
      <c r="I50" s="16"/>
      <c r="J50" s="306"/>
      <c r="K50" s="263"/>
      <c r="L50" s="152"/>
      <c r="M50" s="152"/>
      <c r="N50" s="152"/>
      <c r="O50" s="293"/>
      <c r="P50" s="16"/>
      <c r="Q50" s="316">
        <f>'Washington volumes'!E43</f>
        <v>435081</v>
      </c>
      <c r="R50" s="48"/>
      <c r="S50" s="76"/>
      <c r="T50" s="317"/>
      <c r="U50" s="16"/>
      <c r="V50" s="325">
        <f t="shared" si="53"/>
        <v>35293.77072</v>
      </c>
      <c r="W50" s="326">
        <f t="shared" si="54"/>
        <v>0</v>
      </c>
      <c r="X50" s="327">
        <f t="shared" si="55"/>
        <v>0</v>
      </c>
      <c r="Y50" s="224"/>
      <c r="Z50" s="325">
        <f t="shared" si="56"/>
        <v>41828.687340000004</v>
      </c>
      <c r="AA50" s="326">
        <f t="shared" si="57"/>
        <v>0</v>
      </c>
      <c r="AB50" s="327">
        <f t="shared" si="58"/>
        <v>0</v>
      </c>
      <c r="AC50" s="224"/>
      <c r="AD50" s="325">
        <f t="shared" si="10"/>
        <v>6534.9166200000036</v>
      </c>
      <c r="AE50" s="326">
        <f t="shared" si="10"/>
        <v>0</v>
      </c>
      <c r="AF50" s="327">
        <f t="shared" si="10"/>
        <v>0</v>
      </c>
      <c r="AG50" s="224"/>
      <c r="AH50" s="349"/>
      <c r="AI50" s="345">
        <f t="shared" si="8"/>
        <v>0.18515779092702181</v>
      </c>
      <c r="AJ50" s="224"/>
      <c r="AK50" s="265"/>
      <c r="AL50" s="265"/>
      <c r="AM50" s="224"/>
    </row>
    <row r="51" spans="1:39" x14ac:dyDescent="0.25">
      <c r="A51" s="31">
        <f t="shared" si="0"/>
        <v>38</v>
      </c>
      <c r="B51" s="47"/>
      <c r="C51" s="15" t="s">
        <v>9</v>
      </c>
      <c r="D51" s="16"/>
      <c r="E51" s="152">
        <f>'Rates in detail'!K44</f>
        <v>1.2019999999999999E-2</v>
      </c>
      <c r="F51" s="16"/>
      <c r="G51" s="241">
        <f>'Rates in detail'!M44</f>
        <v>6.4899999999999999E-2</v>
      </c>
      <c r="H51" s="283">
        <f t="shared" si="9"/>
        <v>7.6920000000000002E-2</v>
      </c>
      <c r="I51" s="16"/>
      <c r="J51" s="306"/>
      <c r="K51" s="263"/>
      <c r="L51" s="152"/>
      <c r="M51" s="152"/>
      <c r="N51" s="152"/>
      <c r="O51" s="293"/>
      <c r="P51" s="16"/>
      <c r="Q51" s="316">
        <f>'Washington volumes'!E44</f>
        <v>370572</v>
      </c>
      <c r="R51" s="48"/>
      <c r="S51" s="76"/>
      <c r="T51" s="317"/>
      <c r="U51" s="16"/>
      <c r="V51" s="325">
        <f t="shared" si="53"/>
        <v>24050.122800000001</v>
      </c>
      <c r="W51" s="326">
        <f t="shared" si="54"/>
        <v>0</v>
      </c>
      <c r="X51" s="327">
        <f t="shared" si="55"/>
        <v>0</v>
      </c>
      <c r="Y51" s="224"/>
      <c r="Z51" s="325">
        <f t="shared" si="56"/>
        <v>28504.398240000002</v>
      </c>
      <c r="AA51" s="326">
        <f t="shared" si="57"/>
        <v>0</v>
      </c>
      <c r="AB51" s="327">
        <f t="shared" si="58"/>
        <v>0</v>
      </c>
      <c r="AC51" s="224"/>
      <c r="AD51" s="325">
        <f t="shared" si="10"/>
        <v>4454.2754400000013</v>
      </c>
      <c r="AE51" s="326">
        <f t="shared" si="10"/>
        <v>0</v>
      </c>
      <c r="AF51" s="327">
        <f t="shared" si="10"/>
        <v>0</v>
      </c>
      <c r="AG51" s="224"/>
      <c r="AH51" s="349"/>
      <c r="AI51" s="345">
        <f t="shared" si="8"/>
        <v>0.18520801232665643</v>
      </c>
      <c r="AJ51" s="224"/>
      <c r="AK51" s="265"/>
      <c r="AL51" s="265"/>
      <c r="AM51" s="224"/>
    </row>
    <row r="52" spans="1:39" x14ac:dyDescent="0.25">
      <c r="A52" s="31">
        <f t="shared" si="0"/>
        <v>39</v>
      </c>
      <c r="B52" s="47"/>
      <c r="C52" s="15" t="s">
        <v>10</v>
      </c>
      <c r="D52" s="16"/>
      <c r="E52" s="152">
        <f>'Rates in detail'!K45</f>
        <v>8.0099999999999998E-3</v>
      </c>
      <c r="F52" s="16"/>
      <c r="G52" s="241">
        <f>'Rates in detail'!M45</f>
        <v>4.3270000000000003E-2</v>
      </c>
      <c r="H52" s="283">
        <f t="shared" si="9"/>
        <v>5.1280000000000006E-2</v>
      </c>
      <c r="I52" s="16"/>
      <c r="J52" s="306"/>
      <c r="K52" s="263"/>
      <c r="L52" s="152"/>
      <c r="M52" s="152"/>
      <c r="N52" s="152"/>
      <c r="O52" s="293"/>
      <c r="P52" s="16"/>
      <c r="Q52" s="316">
        <f>'Washington volumes'!E45</f>
        <v>0</v>
      </c>
      <c r="R52" s="48"/>
      <c r="S52" s="76"/>
      <c r="T52" s="317"/>
      <c r="U52" s="16"/>
      <c r="V52" s="325">
        <f t="shared" si="53"/>
        <v>0</v>
      </c>
      <c r="W52" s="326">
        <f t="shared" si="54"/>
        <v>0</v>
      </c>
      <c r="X52" s="327">
        <f t="shared" si="55"/>
        <v>0</v>
      </c>
      <c r="Y52" s="224"/>
      <c r="Z52" s="325">
        <f t="shared" si="56"/>
        <v>0</v>
      </c>
      <c r="AA52" s="326">
        <f t="shared" si="57"/>
        <v>0</v>
      </c>
      <c r="AB52" s="327">
        <f t="shared" si="58"/>
        <v>0</v>
      </c>
      <c r="AC52" s="224"/>
      <c r="AD52" s="325">
        <f t="shared" si="10"/>
        <v>0</v>
      </c>
      <c r="AE52" s="326">
        <f t="shared" si="10"/>
        <v>0</v>
      </c>
      <c r="AF52" s="327">
        <f t="shared" si="10"/>
        <v>0</v>
      </c>
      <c r="AG52" s="224"/>
      <c r="AH52" s="349"/>
      <c r="AI52" s="345">
        <f>AI51</f>
        <v>0.18520801232665643</v>
      </c>
      <c r="AJ52" s="224"/>
      <c r="AK52" s="265"/>
      <c r="AL52" s="265"/>
      <c r="AM52" s="224"/>
    </row>
    <row r="53" spans="1:39" x14ac:dyDescent="0.25">
      <c r="A53" s="31">
        <f t="shared" si="0"/>
        <v>40</v>
      </c>
      <c r="B53" s="47"/>
      <c r="C53" s="15" t="s">
        <v>11</v>
      </c>
      <c r="D53" s="16"/>
      <c r="E53" s="152">
        <f>'Rates in detail'!K46</f>
        <v>3.0000000000000001E-3</v>
      </c>
      <c r="F53" s="16"/>
      <c r="G53" s="241">
        <f>'Rates in detail'!M46</f>
        <v>1.6219999999999998E-2</v>
      </c>
      <c r="H53" s="283">
        <f t="shared" si="9"/>
        <v>1.9219999999999998E-2</v>
      </c>
      <c r="I53" s="16"/>
      <c r="J53" s="306"/>
      <c r="K53" s="263"/>
      <c r="L53" s="152"/>
      <c r="M53" s="152"/>
      <c r="N53" s="152"/>
      <c r="O53" s="293"/>
      <c r="P53" s="16"/>
      <c r="Q53" s="316">
        <f>'Washington volumes'!E46</f>
        <v>0</v>
      </c>
      <c r="R53" s="48"/>
      <c r="S53" s="76"/>
      <c r="T53" s="317"/>
      <c r="U53" s="16"/>
      <c r="V53" s="325">
        <f t="shared" si="53"/>
        <v>0</v>
      </c>
      <c r="W53" s="326">
        <f t="shared" si="54"/>
        <v>0</v>
      </c>
      <c r="X53" s="327">
        <f t="shared" si="55"/>
        <v>0</v>
      </c>
      <c r="Y53" s="224"/>
      <c r="Z53" s="325">
        <f t="shared" si="56"/>
        <v>0</v>
      </c>
      <c r="AA53" s="326">
        <f t="shared" si="57"/>
        <v>0</v>
      </c>
      <c r="AB53" s="327">
        <f t="shared" si="58"/>
        <v>0</v>
      </c>
      <c r="AC53" s="224"/>
      <c r="AD53" s="325">
        <f t="shared" si="10"/>
        <v>0</v>
      </c>
      <c r="AE53" s="326">
        <f t="shared" si="10"/>
        <v>0</v>
      </c>
      <c r="AF53" s="327">
        <f t="shared" si="10"/>
        <v>0</v>
      </c>
      <c r="AG53" s="224"/>
      <c r="AH53" s="349"/>
      <c r="AI53" s="345">
        <f>AI52</f>
        <v>0.18520801232665643</v>
      </c>
      <c r="AJ53" s="224"/>
      <c r="AK53" s="265"/>
      <c r="AL53" s="265"/>
      <c r="AM53" s="224"/>
    </row>
    <row r="54" spans="1:39" x14ac:dyDescent="0.25">
      <c r="A54" s="31"/>
      <c r="B54" s="51"/>
      <c r="C54" s="78" t="s">
        <v>137</v>
      </c>
      <c r="D54" s="11"/>
      <c r="E54" s="145"/>
      <c r="F54" s="11"/>
      <c r="G54" s="297"/>
      <c r="H54" s="282"/>
      <c r="I54" s="16"/>
      <c r="J54" s="306"/>
      <c r="K54" s="263"/>
      <c r="L54" s="152"/>
      <c r="M54" s="152"/>
      <c r="N54" s="152"/>
      <c r="O54" s="293"/>
      <c r="P54" s="16"/>
      <c r="Q54" s="316"/>
      <c r="R54" s="48"/>
      <c r="S54" s="76"/>
      <c r="T54" s="317"/>
      <c r="U54" s="16"/>
      <c r="V54" s="328">
        <f>SUM(V48:V53)</f>
        <v>197773.60316</v>
      </c>
      <c r="W54" s="340">
        <f>SUM(W48:W53)</f>
        <v>74400</v>
      </c>
      <c r="X54" s="341">
        <f>SUM(X48:X53)</f>
        <v>16125.32208</v>
      </c>
      <c r="Y54" s="224"/>
      <c r="Z54" s="328">
        <f>SUM(Z48:Z53)</f>
        <v>234394.86566000001</v>
      </c>
      <c r="AA54" s="340">
        <f>SUM(AA48:AA53)</f>
        <v>74400</v>
      </c>
      <c r="AB54" s="341">
        <f>SUM(AB48:AB53)</f>
        <v>16125.32208</v>
      </c>
      <c r="AC54" s="224"/>
      <c r="AD54" s="328">
        <f>SUM(AD48:AD53)</f>
        <v>36621.262499999997</v>
      </c>
      <c r="AE54" s="340">
        <f>SUM(AE48:AE53)</f>
        <v>0</v>
      </c>
      <c r="AF54" s="341">
        <f>SUM(AF48:AF53)</f>
        <v>0</v>
      </c>
      <c r="AG54" s="224"/>
      <c r="AH54" s="349">
        <f t="shared" si="11"/>
        <v>0.12702531745310502</v>
      </c>
      <c r="AI54" s="346">
        <f t="shared" si="8"/>
        <v>0.18516759524461504</v>
      </c>
      <c r="AJ54" s="224"/>
      <c r="AK54" s="265"/>
      <c r="AL54" s="265"/>
      <c r="AM54" s="224"/>
    </row>
    <row r="55" spans="1:39" x14ac:dyDescent="0.25">
      <c r="A55" s="31">
        <f>+A53+1</f>
        <v>41</v>
      </c>
      <c r="B55" s="47" t="s">
        <v>266</v>
      </c>
      <c r="C55" s="15" t="s">
        <v>6</v>
      </c>
      <c r="D55" s="16"/>
      <c r="E55" s="152">
        <f>'Rates in detail'!K47</f>
        <v>2.2780000000000002E-2</v>
      </c>
      <c r="F55" s="16"/>
      <c r="G55" s="241">
        <f>'Rates in detail'!M47</f>
        <v>0.11817999999999999</v>
      </c>
      <c r="H55" s="283">
        <f t="shared" ref="H55:H60" si="59">G55+E55</f>
        <v>0.14096</v>
      </c>
      <c r="I55" s="16"/>
      <c r="J55" s="306">
        <f>'Avg Bill by RS'!H55</f>
        <v>1550</v>
      </c>
      <c r="K55" s="263">
        <f>'Avg Bill by RS'!G55</f>
        <v>1550</v>
      </c>
      <c r="L55" s="152">
        <v>0.15748000000000001</v>
      </c>
      <c r="M55" s="152">
        <f>L55</f>
        <v>0.15748000000000001</v>
      </c>
      <c r="N55" s="152">
        <v>0</v>
      </c>
      <c r="O55" s="293">
        <v>0</v>
      </c>
      <c r="P55" s="16"/>
      <c r="Q55" s="316">
        <f>'Washington volumes'!E47</f>
        <v>835575</v>
      </c>
      <c r="R55" s="48">
        <f>17543</f>
        <v>17543</v>
      </c>
      <c r="S55" s="76">
        <f>'Washington volumes'!H47</f>
        <v>7.833333333333333</v>
      </c>
      <c r="T55" s="317">
        <f>'Washington volumes'!I47</f>
        <v>86049.276599999997</v>
      </c>
      <c r="U55" s="16"/>
      <c r="V55" s="325">
        <f t="shared" ref="V55:V60" si="60">(G55*Q55)</f>
        <v>98748.253499999992</v>
      </c>
      <c r="W55" s="326">
        <f t="shared" ref="W55:W60" si="61">(J55*S55*12)</f>
        <v>145700</v>
      </c>
      <c r="X55" s="327">
        <f t="shared" ref="X55:X60" si="62">(R55*(L55+N55))*12</f>
        <v>33152.059679999998</v>
      </c>
      <c r="Y55" s="224"/>
      <c r="Z55" s="325">
        <f t="shared" ref="Z55:Z60" si="63">(H55*Q55)</f>
        <v>117782.652</v>
      </c>
      <c r="AA55" s="326">
        <f t="shared" ref="AA55:AA60" si="64">(K55*S55*12)</f>
        <v>145700</v>
      </c>
      <c r="AB55" s="327">
        <f t="shared" ref="AB55:AB60" si="65">(R55*(M55+O55))*12</f>
        <v>33152.059679999998</v>
      </c>
      <c r="AC55" s="224"/>
      <c r="AD55" s="325">
        <f t="shared" ref="AD55:AD60" si="66">Z55-V55</f>
        <v>19034.39850000001</v>
      </c>
      <c r="AE55" s="326">
        <f t="shared" ref="AE55:AE60" si="67">AA55-W55</f>
        <v>0</v>
      </c>
      <c r="AF55" s="327">
        <f t="shared" ref="AF55:AF60" si="68">AB55-X55</f>
        <v>0</v>
      </c>
      <c r="AG55" s="224"/>
      <c r="AH55" s="349"/>
      <c r="AI55" s="345">
        <f t="shared" si="8"/>
        <v>0.19275681164325617</v>
      </c>
      <c r="AJ55" s="224"/>
      <c r="AK55" s="265"/>
      <c r="AL55" s="265"/>
      <c r="AM55" s="224"/>
    </row>
    <row r="56" spans="1:39" x14ac:dyDescent="0.25">
      <c r="A56" s="31">
        <f t="shared" si="0"/>
        <v>42</v>
      </c>
      <c r="B56" s="47"/>
      <c r="C56" s="15" t="s">
        <v>7</v>
      </c>
      <c r="D56" s="16"/>
      <c r="E56" s="152">
        <f>'Rates in detail'!K48</f>
        <v>2.0389999999999998E-2</v>
      </c>
      <c r="F56" s="16"/>
      <c r="G56" s="241">
        <f>'Rates in detail'!M48</f>
        <v>0.10579</v>
      </c>
      <c r="H56" s="283">
        <f t="shared" si="59"/>
        <v>0.12617999999999999</v>
      </c>
      <c r="I56" s="16"/>
      <c r="J56" s="306"/>
      <c r="K56" s="263"/>
      <c r="L56" s="152"/>
      <c r="M56" s="152"/>
      <c r="N56" s="152"/>
      <c r="O56" s="293"/>
      <c r="P56" s="16"/>
      <c r="Q56" s="316">
        <f>'Washington volumes'!E48</f>
        <v>847995</v>
      </c>
      <c r="R56" s="48"/>
      <c r="S56" s="76"/>
      <c r="T56" s="317"/>
      <c r="U56" s="16"/>
      <c r="V56" s="325">
        <f t="shared" si="60"/>
        <v>89709.391049999991</v>
      </c>
      <c r="W56" s="326">
        <f t="shared" si="61"/>
        <v>0</v>
      </c>
      <c r="X56" s="327">
        <f t="shared" si="62"/>
        <v>0</v>
      </c>
      <c r="Y56" s="224"/>
      <c r="Z56" s="325">
        <f t="shared" si="63"/>
        <v>107000.0091</v>
      </c>
      <c r="AA56" s="326">
        <f t="shared" si="64"/>
        <v>0</v>
      </c>
      <c r="AB56" s="327">
        <f t="shared" si="65"/>
        <v>0</v>
      </c>
      <c r="AC56" s="224"/>
      <c r="AD56" s="325">
        <f t="shared" si="66"/>
        <v>17290.618050000005</v>
      </c>
      <c r="AE56" s="326">
        <f t="shared" si="67"/>
        <v>0</v>
      </c>
      <c r="AF56" s="327">
        <f t="shared" si="68"/>
        <v>0</v>
      </c>
      <c r="AG56" s="224"/>
      <c r="AH56" s="349"/>
      <c r="AI56" s="345">
        <f t="shared" si="8"/>
        <v>0.19274033462520093</v>
      </c>
      <c r="AJ56" s="224"/>
      <c r="AK56" s="265"/>
      <c r="AL56" s="265"/>
      <c r="AM56" s="224"/>
    </row>
    <row r="57" spans="1:39" x14ac:dyDescent="0.25">
      <c r="A57" s="31">
        <f t="shared" si="0"/>
        <v>43</v>
      </c>
      <c r="B57" s="47"/>
      <c r="C57" s="15" t="s">
        <v>8</v>
      </c>
      <c r="D57" s="16"/>
      <c r="E57" s="152">
        <f>'Rates in detail'!K49</f>
        <v>1.5640000000000001E-2</v>
      </c>
      <c r="F57" s="16"/>
      <c r="G57" s="241">
        <f>'Rates in detail'!M49</f>
        <v>8.1119999999999998E-2</v>
      </c>
      <c r="H57" s="283">
        <f t="shared" si="59"/>
        <v>9.6759999999999999E-2</v>
      </c>
      <c r="I57" s="16"/>
      <c r="J57" s="306"/>
      <c r="K57" s="263"/>
      <c r="L57" s="152"/>
      <c r="M57" s="152"/>
      <c r="N57" s="152"/>
      <c r="O57" s="293"/>
      <c r="P57" s="16"/>
      <c r="Q57" s="316">
        <f>'Washington volumes'!E49</f>
        <v>712276</v>
      </c>
      <c r="R57" s="48"/>
      <c r="S57" s="76"/>
      <c r="T57" s="317"/>
      <c r="U57" s="16"/>
      <c r="V57" s="325">
        <f t="shared" si="60"/>
        <v>57779.829119999995</v>
      </c>
      <c r="W57" s="326">
        <f t="shared" si="61"/>
        <v>0</v>
      </c>
      <c r="X57" s="327">
        <f t="shared" si="62"/>
        <v>0</v>
      </c>
      <c r="Y57" s="224"/>
      <c r="Z57" s="325">
        <f t="shared" si="63"/>
        <v>68919.825759999992</v>
      </c>
      <c r="AA57" s="326">
        <f t="shared" si="64"/>
        <v>0</v>
      </c>
      <c r="AB57" s="327">
        <f t="shared" si="65"/>
        <v>0</v>
      </c>
      <c r="AC57" s="224"/>
      <c r="AD57" s="325">
        <f t="shared" si="66"/>
        <v>11139.996639999998</v>
      </c>
      <c r="AE57" s="326">
        <f t="shared" si="67"/>
        <v>0</v>
      </c>
      <c r="AF57" s="327">
        <f t="shared" si="68"/>
        <v>0</v>
      </c>
      <c r="AG57" s="224"/>
      <c r="AH57" s="349"/>
      <c r="AI57" s="345">
        <f t="shared" si="8"/>
        <v>0.19280078895463509</v>
      </c>
      <c r="AJ57" s="224"/>
      <c r="AK57" s="265"/>
      <c r="AL57" s="265"/>
      <c r="AM57" s="224"/>
    </row>
    <row r="58" spans="1:39" x14ac:dyDescent="0.25">
      <c r="A58" s="31">
        <f t="shared" si="0"/>
        <v>44</v>
      </c>
      <c r="B58" s="47"/>
      <c r="C58" s="15" t="s">
        <v>9</v>
      </c>
      <c r="D58" s="16"/>
      <c r="E58" s="152">
        <f>'Rates in detail'!K50</f>
        <v>1.251E-2</v>
      </c>
      <c r="F58" s="16"/>
      <c r="G58" s="241">
        <f>'Rates in detail'!M50</f>
        <v>6.4899999999999999E-2</v>
      </c>
      <c r="H58" s="283">
        <f t="shared" si="59"/>
        <v>7.7410000000000007E-2</v>
      </c>
      <c r="I58" s="16"/>
      <c r="J58" s="306"/>
      <c r="K58" s="263"/>
      <c r="L58" s="152"/>
      <c r="M58" s="152"/>
      <c r="N58" s="152"/>
      <c r="O58" s="293"/>
      <c r="P58" s="16"/>
      <c r="Q58" s="316">
        <f>'Washington volumes'!E50</f>
        <v>1293228</v>
      </c>
      <c r="R58" s="48"/>
      <c r="S58" s="76"/>
      <c r="T58" s="317"/>
      <c r="U58" s="16"/>
      <c r="V58" s="325">
        <f t="shared" si="60"/>
        <v>83930.497199999998</v>
      </c>
      <c r="W58" s="326">
        <f t="shared" si="61"/>
        <v>0</v>
      </c>
      <c r="X58" s="327">
        <f t="shared" si="62"/>
        <v>0</v>
      </c>
      <c r="Y58" s="224"/>
      <c r="Z58" s="325">
        <f t="shared" si="63"/>
        <v>100108.77948000001</v>
      </c>
      <c r="AA58" s="326">
        <f t="shared" si="64"/>
        <v>0</v>
      </c>
      <c r="AB58" s="327">
        <f t="shared" si="65"/>
        <v>0</v>
      </c>
      <c r="AC58" s="224"/>
      <c r="AD58" s="325">
        <f t="shared" si="66"/>
        <v>16178.282280000014</v>
      </c>
      <c r="AE58" s="326">
        <f t="shared" si="67"/>
        <v>0</v>
      </c>
      <c r="AF58" s="327">
        <f t="shared" si="68"/>
        <v>0</v>
      </c>
      <c r="AG58" s="224"/>
      <c r="AH58" s="349"/>
      <c r="AI58" s="345">
        <f t="shared" si="8"/>
        <v>0.19275808936825903</v>
      </c>
      <c r="AJ58" s="224"/>
      <c r="AK58" s="265"/>
      <c r="AL58" s="265"/>
      <c r="AM58" s="224"/>
    </row>
    <row r="59" spans="1:39" x14ac:dyDescent="0.25">
      <c r="A59" s="31">
        <f t="shared" si="0"/>
        <v>45</v>
      </c>
      <c r="B59" s="47"/>
      <c r="C59" s="15" t="s">
        <v>10</v>
      </c>
      <c r="D59" s="16"/>
      <c r="E59" s="152">
        <f>'Rates in detail'!K51</f>
        <v>8.3400000000000002E-3</v>
      </c>
      <c r="F59" s="16"/>
      <c r="G59" s="241">
        <f>'Rates in detail'!M51</f>
        <v>4.3270000000000003E-2</v>
      </c>
      <c r="H59" s="283">
        <f t="shared" si="59"/>
        <v>5.1610000000000003E-2</v>
      </c>
      <c r="I59" s="16"/>
      <c r="J59" s="306"/>
      <c r="K59" s="263"/>
      <c r="L59" s="152"/>
      <c r="M59" s="152"/>
      <c r="N59" s="152"/>
      <c r="O59" s="293"/>
      <c r="P59" s="16"/>
      <c r="Q59" s="316">
        <f>'Washington volumes'!E51</f>
        <v>355242</v>
      </c>
      <c r="R59" s="48"/>
      <c r="S59" s="76"/>
      <c r="T59" s="317"/>
      <c r="U59" s="16"/>
      <c r="V59" s="325">
        <f t="shared" si="60"/>
        <v>15371.32134</v>
      </c>
      <c r="W59" s="326">
        <f t="shared" si="61"/>
        <v>0</v>
      </c>
      <c r="X59" s="327">
        <f t="shared" si="62"/>
        <v>0</v>
      </c>
      <c r="Y59" s="224"/>
      <c r="Z59" s="325">
        <f t="shared" si="63"/>
        <v>18334.03962</v>
      </c>
      <c r="AA59" s="326">
        <f t="shared" si="64"/>
        <v>0</v>
      </c>
      <c r="AB59" s="327">
        <f t="shared" si="65"/>
        <v>0</v>
      </c>
      <c r="AC59" s="224"/>
      <c r="AD59" s="325">
        <f t="shared" si="66"/>
        <v>2962.7182799999991</v>
      </c>
      <c r="AE59" s="326">
        <f t="shared" si="67"/>
        <v>0</v>
      </c>
      <c r="AF59" s="327">
        <f t="shared" si="68"/>
        <v>0</v>
      </c>
      <c r="AG59" s="224"/>
      <c r="AH59" s="349"/>
      <c r="AI59" s="345">
        <f t="shared" si="8"/>
        <v>0.19274324012017557</v>
      </c>
      <c r="AJ59" s="224"/>
      <c r="AK59" s="265"/>
      <c r="AL59" s="265"/>
      <c r="AM59" s="224"/>
    </row>
    <row r="60" spans="1:39" x14ac:dyDescent="0.25">
      <c r="A60" s="31">
        <f t="shared" si="0"/>
        <v>46</v>
      </c>
      <c r="B60" s="47"/>
      <c r="C60" s="15" t="s">
        <v>11</v>
      </c>
      <c r="D60" s="16"/>
      <c r="E60" s="152">
        <f>'Rates in detail'!K52</f>
        <v>3.13E-3</v>
      </c>
      <c r="F60" s="16"/>
      <c r="G60" s="241">
        <f>'Rates in detail'!M52</f>
        <v>1.6219999999999998E-2</v>
      </c>
      <c r="H60" s="283">
        <f t="shared" si="59"/>
        <v>1.9349999999999999E-2</v>
      </c>
      <c r="I60" s="16"/>
      <c r="J60" s="306"/>
      <c r="K60" s="263"/>
      <c r="L60" s="152"/>
      <c r="M60" s="152"/>
      <c r="N60" s="152"/>
      <c r="O60" s="293"/>
      <c r="P60" s="16"/>
      <c r="Q60" s="316">
        <f>'Washington volumes'!E52</f>
        <v>0</v>
      </c>
      <c r="R60" s="48"/>
      <c r="S60" s="76"/>
      <c r="T60" s="317"/>
      <c r="U60" s="16"/>
      <c r="V60" s="325">
        <f t="shared" si="60"/>
        <v>0</v>
      </c>
      <c r="W60" s="326">
        <f t="shared" si="61"/>
        <v>0</v>
      </c>
      <c r="X60" s="327">
        <f t="shared" si="62"/>
        <v>0</v>
      </c>
      <c r="Y60" s="224"/>
      <c r="Z60" s="325">
        <f t="shared" si="63"/>
        <v>0</v>
      </c>
      <c r="AA60" s="326">
        <f t="shared" si="64"/>
        <v>0</v>
      </c>
      <c r="AB60" s="327">
        <f t="shared" si="65"/>
        <v>0</v>
      </c>
      <c r="AC60" s="224"/>
      <c r="AD60" s="325">
        <f t="shared" si="66"/>
        <v>0</v>
      </c>
      <c r="AE60" s="326">
        <f t="shared" si="67"/>
        <v>0</v>
      </c>
      <c r="AF60" s="327">
        <f t="shared" si="68"/>
        <v>0</v>
      </c>
      <c r="AG60" s="224"/>
      <c r="AH60" s="349"/>
      <c r="AI60" s="345">
        <f>AI59</f>
        <v>0.19274324012017557</v>
      </c>
      <c r="AJ60" s="224"/>
      <c r="AK60" s="265"/>
      <c r="AL60" s="265"/>
      <c r="AM60" s="224"/>
    </row>
    <row r="61" spans="1:39" x14ac:dyDescent="0.25">
      <c r="A61" s="31"/>
      <c r="B61" s="51"/>
      <c r="C61" s="78" t="s">
        <v>137</v>
      </c>
      <c r="D61" s="11"/>
      <c r="E61" s="145"/>
      <c r="F61" s="11"/>
      <c r="G61" s="297"/>
      <c r="H61" s="282"/>
      <c r="I61" s="16"/>
      <c r="J61" s="306"/>
      <c r="K61" s="263"/>
      <c r="L61" s="152"/>
      <c r="M61" s="152"/>
      <c r="N61" s="152"/>
      <c r="O61" s="293"/>
      <c r="P61" s="16"/>
      <c r="Q61" s="316"/>
      <c r="R61" s="48"/>
      <c r="S61" s="76"/>
      <c r="T61" s="317"/>
      <c r="U61" s="16"/>
      <c r="V61" s="328">
        <f>SUM(V55:V60)</f>
        <v>345539.29220999999</v>
      </c>
      <c r="W61" s="340">
        <f>SUM(W55:W60)</f>
        <v>145700</v>
      </c>
      <c r="X61" s="341">
        <f>SUM(X55:X60)</f>
        <v>33152.059679999998</v>
      </c>
      <c r="Y61" s="224"/>
      <c r="Z61" s="328">
        <f>SUM(Z55:Z60)</f>
        <v>412145.30596000003</v>
      </c>
      <c r="AA61" s="340">
        <f>SUM(AA55:AA60)</f>
        <v>145700</v>
      </c>
      <c r="AB61" s="341">
        <f>SUM(AB55:AB60)</f>
        <v>33152.059679999998</v>
      </c>
      <c r="AC61" s="224"/>
      <c r="AD61" s="328">
        <f>SUM(AD55:AD60)</f>
        <v>66606.013750000027</v>
      </c>
      <c r="AE61" s="340">
        <f>SUM(AE55:AE60)</f>
        <v>0</v>
      </c>
      <c r="AF61" s="341">
        <f>SUM(AF55:AF60)</f>
        <v>0</v>
      </c>
      <c r="AG61" s="224"/>
      <c r="AH61" s="349">
        <f t="shared" ref="AH61" si="69">SUM(AD61:AF61)/SUM(V61:X61)</f>
        <v>0.12701585087156772</v>
      </c>
      <c r="AI61" s="346">
        <f t="shared" si="8"/>
        <v>0.19275959420997052</v>
      </c>
      <c r="AJ61" s="224"/>
      <c r="AK61" s="265"/>
      <c r="AL61" s="265"/>
      <c r="AM61" s="224"/>
    </row>
    <row r="62" spans="1:39" x14ac:dyDescent="0.25">
      <c r="A62" s="31">
        <f>+A60+1</f>
        <v>47</v>
      </c>
      <c r="B62" s="47" t="s">
        <v>170</v>
      </c>
      <c r="C62" s="15" t="s">
        <v>6</v>
      </c>
      <c r="D62" s="16"/>
      <c r="E62" s="152">
        <f>'Rates in detail'!K53</f>
        <v>2.053E-2</v>
      </c>
      <c r="F62" s="16"/>
      <c r="G62" s="241">
        <f>'Rates in detail'!M53</f>
        <v>0.11856</v>
      </c>
      <c r="H62" s="283">
        <f t="shared" si="9"/>
        <v>0.13908999999999999</v>
      </c>
      <c r="I62" s="16"/>
      <c r="J62" s="306">
        <f>'Avg Bill by RS'!H62</f>
        <v>1300</v>
      </c>
      <c r="K62" s="263">
        <f>'Avg Bill by RS'!G62</f>
        <v>1300</v>
      </c>
      <c r="L62" s="152">
        <v>0</v>
      </c>
      <c r="M62" s="152">
        <v>0</v>
      </c>
      <c r="N62" s="152">
        <v>0.10208</v>
      </c>
      <c r="O62" s="293">
        <f>N62</f>
        <v>0.10208</v>
      </c>
      <c r="P62" s="16"/>
      <c r="Q62" s="316">
        <f>'Washington volumes'!E53</f>
        <v>240014.56328353498</v>
      </c>
      <c r="R62" s="220">
        <v>4805</v>
      </c>
      <c r="S62" s="76">
        <f>'Washington volumes'!H53-1</f>
        <v>2</v>
      </c>
      <c r="T62" s="317">
        <f>'Washington volumes'!I53</f>
        <v>56179.215530000001</v>
      </c>
      <c r="U62" s="16"/>
      <c r="V62" s="325">
        <f t="shared" ref="V62:V67" si="70">(G62*Q62)</f>
        <v>28456.126622895907</v>
      </c>
      <c r="W62" s="326">
        <f t="shared" ref="W62:W67" si="71">(J62*S62*12)</f>
        <v>31200</v>
      </c>
      <c r="X62" s="327">
        <f t="shared" ref="X62:X67" si="72">(R62*(L62+N62))*12</f>
        <v>5885.9328000000005</v>
      </c>
      <c r="Y62" s="224"/>
      <c r="Z62" s="325">
        <f t="shared" ref="Z62:Z67" si="73">(H62*Q62)</f>
        <v>33383.625607106878</v>
      </c>
      <c r="AA62" s="326">
        <f t="shared" ref="AA62:AA67" si="74">(K62*S62*12)</f>
        <v>31200</v>
      </c>
      <c r="AB62" s="327">
        <f t="shared" ref="AB62:AB67" si="75">(R62*(M62+O62))*12</f>
        <v>5885.9328000000005</v>
      </c>
      <c r="AC62" s="224"/>
      <c r="AD62" s="325">
        <f t="shared" si="10"/>
        <v>4927.4989842109717</v>
      </c>
      <c r="AE62" s="326">
        <f t="shared" si="10"/>
        <v>0</v>
      </c>
      <c r="AF62" s="327">
        <f t="shared" si="10"/>
        <v>0</v>
      </c>
      <c r="AG62" s="224"/>
      <c r="AH62" s="349"/>
      <c r="AI62" s="345">
        <f t="shared" si="8"/>
        <v>0.17316126855600536</v>
      </c>
      <c r="AJ62" s="224"/>
      <c r="AK62" s="265"/>
      <c r="AL62" s="265"/>
      <c r="AM62" s="224"/>
    </row>
    <row r="63" spans="1:39" x14ac:dyDescent="0.25">
      <c r="A63" s="31">
        <f t="shared" si="0"/>
        <v>48</v>
      </c>
      <c r="B63" s="47"/>
      <c r="C63" s="15" t="s">
        <v>7</v>
      </c>
      <c r="D63" s="16"/>
      <c r="E63" s="152">
        <f>'Rates in detail'!K54</f>
        <v>1.8380000000000001E-2</v>
      </c>
      <c r="F63" s="16"/>
      <c r="G63" s="241">
        <f>'Rates in detail'!M54</f>
        <v>0.10611999999999991</v>
      </c>
      <c r="H63" s="283">
        <f t="shared" si="9"/>
        <v>0.12449999999999992</v>
      </c>
      <c r="I63" s="16"/>
      <c r="J63" s="307"/>
      <c r="K63" s="3"/>
      <c r="L63" s="152"/>
      <c r="M63" s="152"/>
      <c r="N63" s="152"/>
      <c r="O63" s="293"/>
      <c r="P63" s="16"/>
      <c r="Q63" s="316">
        <f>'Washington volumes'!E54</f>
        <v>472188.31633306126</v>
      </c>
      <c r="R63" s="48"/>
      <c r="S63" s="76"/>
      <c r="T63" s="317"/>
      <c r="U63" s="16"/>
      <c r="V63" s="325">
        <f t="shared" si="70"/>
        <v>50108.624129264419</v>
      </c>
      <c r="W63" s="326">
        <f t="shared" si="71"/>
        <v>0</v>
      </c>
      <c r="X63" s="327">
        <f t="shared" si="72"/>
        <v>0</v>
      </c>
      <c r="Y63" s="224"/>
      <c r="Z63" s="325">
        <f t="shared" si="73"/>
        <v>58787.445383466089</v>
      </c>
      <c r="AA63" s="326">
        <f t="shared" si="74"/>
        <v>0</v>
      </c>
      <c r="AB63" s="327">
        <f t="shared" si="75"/>
        <v>0</v>
      </c>
      <c r="AC63" s="224"/>
      <c r="AD63" s="325">
        <f t="shared" si="10"/>
        <v>8678.8212542016699</v>
      </c>
      <c r="AE63" s="326">
        <f t="shared" si="10"/>
        <v>0</v>
      </c>
      <c r="AF63" s="327">
        <f t="shared" si="10"/>
        <v>0</v>
      </c>
      <c r="AG63" s="224"/>
      <c r="AH63" s="349"/>
      <c r="AI63" s="345">
        <f t="shared" si="8"/>
        <v>0.17320015077271037</v>
      </c>
      <c r="AJ63" s="224"/>
      <c r="AK63" s="265"/>
      <c r="AL63" s="265"/>
      <c r="AM63" s="224"/>
    </row>
    <row r="64" spans="1:39" x14ac:dyDescent="0.25">
      <c r="A64" s="31">
        <f t="shared" si="0"/>
        <v>49</v>
      </c>
      <c r="B64" s="47"/>
      <c r="C64" s="15" t="s">
        <v>8</v>
      </c>
      <c r="D64" s="16"/>
      <c r="E64" s="152">
        <f>'Rates in detail'!K55</f>
        <v>1.409E-2</v>
      </c>
      <c r="F64" s="16"/>
      <c r="G64" s="241">
        <f>'Rates in detail'!M55</f>
        <v>8.1380000000000077E-2</v>
      </c>
      <c r="H64" s="283">
        <f t="shared" si="9"/>
        <v>9.5470000000000083E-2</v>
      </c>
      <c r="I64" s="16"/>
      <c r="J64" s="306"/>
      <c r="K64" s="263"/>
      <c r="L64" s="152"/>
      <c r="M64" s="152"/>
      <c r="N64" s="152"/>
      <c r="O64" s="293"/>
      <c r="P64" s="16"/>
      <c r="Q64" s="316">
        <f>'Washington volumes'!E55</f>
        <v>247080</v>
      </c>
      <c r="R64" s="48"/>
      <c r="S64" s="76"/>
      <c r="T64" s="317"/>
      <c r="U64" s="16"/>
      <c r="V64" s="325">
        <f t="shared" si="70"/>
        <v>20107.370400000018</v>
      </c>
      <c r="W64" s="326">
        <f t="shared" si="71"/>
        <v>0</v>
      </c>
      <c r="X64" s="327">
        <f t="shared" si="72"/>
        <v>0</v>
      </c>
      <c r="Y64" s="224"/>
      <c r="Z64" s="325">
        <f t="shared" si="73"/>
        <v>23588.72760000002</v>
      </c>
      <c r="AA64" s="326">
        <f t="shared" si="74"/>
        <v>0</v>
      </c>
      <c r="AB64" s="327">
        <f t="shared" si="75"/>
        <v>0</v>
      </c>
      <c r="AC64" s="224"/>
      <c r="AD64" s="325">
        <f t="shared" si="10"/>
        <v>3481.3572000000022</v>
      </c>
      <c r="AE64" s="326">
        <f t="shared" si="10"/>
        <v>0</v>
      </c>
      <c r="AF64" s="327">
        <f t="shared" si="10"/>
        <v>0</v>
      </c>
      <c r="AG64" s="224"/>
      <c r="AH64" s="349"/>
      <c r="AI64" s="345">
        <f t="shared" si="8"/>
        <v>0.17313836323420984</v>
      </c>
      <c r="AJ64" s="224"/>
      <c r="AK64" s="265"/>
      <c r="AL64" s="265"/>
      <c r="AM64" s="224"/>
    </row>
    <row r="65" spans="1:39" x14ac:dyDescent="0.25">
      <c r="A65" s="31">
        <f t="shared" si="0"/>
        <v>50</v>
      </c>
      <c r="B65" s="47"/>
      <c r="C65" s="15" t="s">
        <v>9</v>
      </c>
      <c r="D65" s="16"/>
      <c r="E65" s="152">
        <f>'Rates in detail'!K56</f>
        <v>1.128E-2</v>
      </c>
      <c r="F65" s="16"/>
      <c r="G65" s="241">
        <f>'Rates in detail'!M56</f>
        <v>6.509999999999995E-2</v>
      </c>
      <c r="H65" s="283">
        <f t="shared" si="9"/>
        <v>7.6379999999999948E-2</v>
      </c>
      <c r="I65" s="16"/>
      <c r="J65" s="306"/>
      <c r="K65" s="263"/>
      <c r="L65" s="152"/>
      <c r="M65" s="152"/>
      <c r="N65" s="152"/>
      <c r="O65" s="293"/>
      <c r="P65" s="16"/>
      <c r="Q65" s="316">
        <f>'Washington volumes'!E56</f>
        <v>51943</v>
      </c>
      <c r="R65" s="48"/>
      <c r="S65" s="76"/>
      <c r="T65" s="317"/>
      <c r="U65" s="16"/>
      <c r="V65" s="325">
        <f t="shared" si="70"/>
        <v>3381.4892999999975</v>
      </c>
      <c r="W65" s="326">
        <f t="shared" si="71"/>
        <v>0</v>
      </c>
      <c r="X65" s="327">
        <f t="shared" si="72"/>
        <v>0</v>
      </c>
      <c r="Y65" s="224"/>
      <c r="Z65" s="325">
        <f t="shared" si="73"/>
        <v>3967.4063399999973</v>
      </c>
      <c r="AA65" s="326">
        <f t="shared" si="74"/>
        <v>0</v>
      </c>
      <c r="AB65" s="327">
        <f t="shared" si="75"/>
        <v>0</v>
      </c>
      <c r="AC65" s="224"/>
      <c r="AD65" s="325">
        <f t="shared" si="10"/>
        <v>585.91703999999982</v>
      </c>
      <c r="AE65" s="326">
        <f t="shared" si="10"/>
        <v>0</v>
      </c>
      <c r="AF65" s="327">
        <f t="shared" si="10"/>
        <v>0</v>
      </c>
      <c r="AG65" s="224"/>
      <c r="AH65" s="349"/>
      <c r="AI65" s="345">
        <f t="shared" si="8"/>
        <v>0.17327188940092172</v>
      </c>
      <c r="AJ65" s="224"/>
      <c r="AK65" s="265"/>
      <c r="AL65" s="265"/>
      <c r="AM65" s="224"/>
    </row>
    <row r="66" spans="1:39" x14ac:dyDescent="0.25">
      <c r="A66" s="31">
        <f t="shared" si="0"/>
        <v>51</v>
      </c>
      <c r="B66" s="47"/>
      <c r="C66" s="15" t="s">
        <v>10</v>
      </c>
      <c r="D66" s="16"/>
      <c r="E66" s="152">
        <f>'Rates in detail'!K57</f>
        <v>7.5199999999999998E-3</v>
      </c>
      <c r="F66" s="16"/>
      <c r="G66" s="241">
        <f>'Rates in detail'!M57</f>
        <v>4.3400000000000022E-2</v>
      </c>
      <c r="H66" s="283">
        <f t="shared" si="9"/>
        <v>5.0920000000000021E-2</v>
      </c>
      <c r="I66" s="16"/>
      <c r="J66" s="306"/>
      <c r="K66" s="263"/>
      <c r="L66" s="152"/>
      <c r="M66" s="152"/>
      <c r="N66" s="152"/>
      <c r="O66" s="293"/>
      <c r="P66" s="16"/>
      <c r="Q66" s="316"/>
      <c r="R66" s="48"/>
      <c r="S66" s="76"/>
      <c r="T66" s="317"/>
      <c r="U66" s="16"/>
      <c r="V66" s="325">
        <f t="shared" si="70"/>
        <v>0</v>
      </c>
      <c r="W66" s="326">
        <f t="shared" si="71"/>
        <v>0</v>
      </c>
      <c r="X66" s="327">
        <f t="shared" si="72"/>
        <v>0</v>
      </c>
      <c r="Y66" s="224"/>
      <c r="Z66" s="325">
        <f t="shared" si="73"/>
        <v>0</v>
      </c>
      <c r="AA66" s="326">
        <f t="shared" si="74"/>
        <v>0</v>
      </c>
      <c r="AB66" s="327">
        <f t="shared" si="75"/>
        <v>0</v>
      </c>
      <c r="AC66" s="224"/>
      <c r="AD66" s="325">
        <f t="shared" si="10"/>
        <v>0</v>
      </c>
      <c r="AE66" s="326">
        <f t="shared" si="10"/>
        <v>0</v>
      </c>
      <c r="AF66" s="327">
        <f t="shared" si="10"/>
        <v>0</v>
      </c>
      <c r="AG66" s="224"/>
      <c r="AH66" s="349"/>
      <c r="AI66" s="345">
        <f>AI65</f>
        <v>0.17327188940092172</v>
      </c>
      <c r="AJ66" s="224"/>
      <c r="AK66" s="265"/>
      <c r="AL66" s="265"/>
      <c r="AM66" s="224"/>
    </row>
    <row r="67" spans="1:39" x14ac:dyDescent="0.25">
      <c r="A67" s="31">
        <f t="shared" si="0"/>
        <v>52</v>
      </c>
      <c r="B67" s="47"/>
      <c r="C67" s="15" t="s">
        <v>11</v>
      </c>
      <c r="D67" s="16"/>
      <c r="E67" s="152">
        <f>'Rates in detail'!K58</f>
        <v>2.82E-3</v>
      </c>
      <c r="F67" s="16"/>
      <c r="G67" s="241">
        <f>'Rates in detail'!M58</f>
        <v>1.6279999999999906E-2</v>
      </c>
      <c r="H67" s="283">
        <f t="shared" si="9"/>
        <v>1.9099999999999905E-2</v>
      </c>
      <c r="I67" s="16"/>
      <c r="J67" s="306"/>
      <c r="K67" s="263"/>
      <c r="L67" s="152"/>
      <c r="M67" s="152"/>
      <c r="N67" s="152"/>
      <c r="O67" s="293"/>
      <c r="P67" s="16"/>
      <c r="Q67" s="316"/>
      <c r="R67" s="48"/>
      <c r="S67" s="76"/>
      <c r="T67" s="317"/>
      <c r="U67" s="16"/>
      <c r="V67" s="325">
        <f t="shared" si="70"/>
        <v>0</v>
      </c>
      <c r="W67" s="326">
        <f t="shared" si="71"/>
        <v>0</v>
      </c>
      <c r="X67" s="327">
        <f t="shared" si="72"/>
        <v>0</v>
      </c>
      <c r="Y67" s="224"/>
      <c r="Z67" s="325">
        <f t="shared" si="73"/>
        <v>0</v>
      </c>
      <c r="AA67" s="326">
        <f t="shared" si="74"/>
        <v>0</v>
      </c>
      <c r="AB67" s="327">
        <f t="shared" si="75"/>
        <v>0</v>
      </c>
      <c r="AC67" s="224"/>
      <c r="AD67" s="325">
        <f t="shared" si="10"/>
        <v>0</v>
      </c>
      <c r="AE67" s="326">
        <f t="shared" si="10"/>
        <v>0</v>
      </c>
      <c r="AF67" s="327">
        <f t="shared" si="10"/>
        <v>0</v>
      </c>
      <c r="AG67" s="224"/>
      <c r="AH67" s="349"/>
      <c r="AI67" s="345">
        <f>AI66</f>
        <v>0.17327188940092172</v>
      </c>
      <c r="AJ67" s="224"/>
      <c r="AK67" s="265"/>
      <c r="AL67" s="265"/>
      <c r="AM67" s="224"/>
    </row>
    <row r="68" spans="1:39" x14ac:dyDescent="0.25">
      <c r="A68" s="31"/>
      <c r="B68" s="51"/>
      <c r="C68" s="78" t="s">
        <v>137</v>
      </c>
      <c r="D68" s="11"/>
      <c r="E68" s="145"/>
      <c r="F68" s="11"/>
      <c r="G68" s="297"/>
      <c r="H68" s="282"/>
      <c r="I68" s="16"/>
      <c r="J68" s="306"/>
      <c r="K68" s="263"/>
      <c r="L68" s="152"/>
      <c r="M68" s="152"/>
      <c r="N68" s="152"/>
      <c r="O68" s="293"/>
      <c r="P68" s="16"/>
      <c r="Q68" s="316"/>
      <c r="R68" s="48"/>
      <c r="S68" s="76"/>
      <c r="T68" s="317"/>
      <c r="U68" s="16"/>
      <c r="V68" s="328">
        <f>SUM(V62:V67)</f>
        <v>102053.61045216034</v>
      </c>
      <c r="W68" s="340">
        <f>SUM(W62:W67)</f>
        <v>31200</v>
      </c>
      <c r="X68" s="341">
        <f>SUM(X62:X67)</f>
        <v>5885.9328000000005</v>
      </c>
      <c r="Y68" s="224"/>
      <c r="Z68" s="328">
        <f>SUM(Z62:Z67)</f>
        <v>119727.20493057299</v>
      </c>
      <c r="AA68" s="340">
        <f>SUM(AA62:AA67)</f>
        <v>31200</v>
      </c>
      <c r="AB68" s="341">
        <f>SUM(AB62:AB67)</f>
        <v>5885.9328000000005</v>
      </c>
      <c r="AC68" s="224"/>
      <c r="AD68" s="328">
        <f>SUM(AD62:AD67)</f>
        <v>17673.594478412644</v>
      </c>
      <c r="AE68" s="340">
        <f>SUM(AE62:AE67)</f>
        <v>0</v>
      </c>
      <c r="AF68" s="341">
        <f>SUM(AF62:AF67)</f>
        <v>0</v>
      </c>
      <c r="AG68" s="224"/>
      <c r="AH68" s="349">
        <f t="shared" si="11"/>
        <v>0.12702064463718321</v>
      </c>
      <c r="AI68" s="346">
        <f t="shared" si="8"/>
        <v>0.17317951222017269</v>
      </c>
      <c r="AJ68" s="224"/>
      <c r="AK68" s="154"/>
      <c r="AL68" s="265"/>
      <c r="AM68" s="224"/>
    </row>
    <row r="69" spans="1:39" x14ac:dyDescent="0.25">
      <c r="A69" s="31">
        <f>+A67+1</f>
        <v>53</v>
      </c>
      <c r="B69" s="47" t="s">
        <v>171</v>
      </c>
      <c r="C69" s="15" t="s">
        <v>6</v>
      </c>
      <c r="D69" s="16"/>
      <c r="E69" s="152">
        <f>'Rates in detail'!K59</f>
        <v>3.0089999999999999E-2</v>
      </c>
      <c r="F69" s="16"/>
      <c r="G69" s="241">
        <f>'Rates in detail'!M59</f>
        <v>0.11869999999999992</v>
      </c>
      <c r="H69" s="283">
        <f t="shared" si="9"/>
        <v>0.14878999999999992</v>
      </c>
      <c r="I69" s="16"/>
      <c r="J69" s="306">
        <f>'Avg Bill by RS'!H69</f>
        <v>1300</v>
      </c>
      <c r="K69" s="263">
        <f>'Avg Bill by RS'!G69</f>
        <v>1300</v>
      </c>
      <c r="L69" s="152">
        <v>0</v>
      </c>
      <c r="M69" s="152">
        <v>0</v>
      </c>
      <c r="N69" s="152">
        <v>0.10208</v>
      </c>
      <c r="O69" s="293">
        <f>N69</f>
        <v>0.10208</v>
      </c>
      <c r="P69" s="16"/>
      <c r="Q69" s="316">
        <f>'Washington volumes'!E59</f>
        <v>172005.43671646502</v>
      </c>
      <c r="R69" s="220">
        <v>2868</v>
      </c>
      <c r="S69" s="76">
        <f>'Washington volumes'!H59</f>
        <v>2</v>
      </c>
      <c r="T69" s="317">
        <f>'Washington volumes'!I59</f>
        <v>25664.343369999999</v>
      </c>
      <c r="U69" s="16"/>
      <c r="V69" s="325">
        <f t="shared" ref="V69:V74" si="76">(G69*Q69)</f>
        <v>20417.045338244385</v>
      </c>
      <c r="W69" s="326">
        <f t="shared" ref="W69:W74" si="77">(J69*S69*12)</f>
        <v>31200</v>
      </c>
      <c r="X69" s="327">
        <f t="shared" ref="X69:X74" si="78">(R69*(L69+N69))*12</f>
        <v>3513.1852800000001</v>
      </c>
      <c r="Y69" s="224"/>
      <c r="Z69" s="325">
        <f t="shared" ref="Z69:Z74" si="79">(H69*Q69)</f>
        <v>25592.688929042815</v>
      </c>
      <c r="AA69" s="326">
        <f t="shared" ref="AA69:AA74" si="80">(K69*S69*12)</f>
        <v>31200</v>
      </c>
      <c r="AB69" s="327">
        <f t="shared" ref="AB69:AB74" si="81">(R69*(M69+O69))*12</f>
        <v>3513.1852800000001</v>
      </c>
      <c r="AC69" s="224"/>
      <c r="AD69" s="325">
        <f t="shared" si="10"/>
        <v>5175.6435907984305</v>
      </c>
      <c r="AE69" s="326">
        <f t="shared" si="10"/>
        <v>0</v>
      </c>
      <c r="AF69" s="327">
        <f t="shared" si="10"/>
        <v>0</v>
      </c>
      <c r="AG69" s="224"/>
      <c r="AH69" s="349"/>
      <c r="AI69" s="345">
        <f t="shared" si="8"/>
        <v>0.25349620893007591</v>
      </c>
      <c r="AJ69" s="224"/>
      <c r="AK69" s="265"/>
      <c r="AL69" s="265"/>
      <c r="AM69" s="224"/>
    </row>
    <row r="70" spans="1:39" x14ac:dyDescent="0.25">
      <c r="A70" s="31">
        <f t="shared" si="0"/>
        <v>54</v>
      </c>
      <c r="B70" s="47"/>
      <c r="C70" s="15" t="s">
        <v>7</v>
      </c>
      <c r="D70" s="16"/>
      <c r="E70" s="152">
        <f>'Rates in detail'!K60</f>
        <v>2.6939999999999999E-2</v>
      </c>
      <c r="F70" s="16"/>
      <c r="G70" s="241">
        <f>'Rates in detail'!M60</f>
        <v>0.10624999999999989</v>
      </c>
      <c r="H70" s="283">
        <f t="shared" si="9"/>
        <v>0.13318999999999989</v>
      </c>
      <c r="I70" s="16"/>
      <c r="J70" s="306"/>
      <c r="K70" s="263"/>
      <c r="L70" s="152"/>
      <c r="M70" s="152"/>
      <c r="N70" s="152"/>
      <c r="O70" s="293"/>
      <c r="P70" s="16"/>
      <c r="Q70" s="316">
        <f>'Washington volumes'!E60</f>
        <v>135966.68366693874</v>
      </c>
      <c r="R70" s="48"/>
      <c r="S70" s="76"/>
      <c r="T70" s="317"/>
      <c r="U70" s="16"/>
      <c r="V70" s="325">
        <f t="shared" si="76"/>
        <v>14446.460139612225</v>
      </c>
      <c r="W70" s="326">
        <f t="shared" si="77"/>
        <v>0</v>
      </c>
      <c r="X70" s="327">
        <f t="shared" si="78"/>
        <v>0</v>
      </c>
      <c r="Y70" s="224"/>
      <c r="Z70" s="325">
        <f t="shared" si="79"/>
        <v>18109.402597599557</v>
      </c>
      <c r="AA70" s="326">
        <f t="shared" si="80"/>
        <v>0</v>
      </c>
      <c r="AB70" s="327">
        <f t="shared" si="81"/>
        <v>0</v>
      </c>
      <c r="AC70" s="224"/>
      <c r="AD70" s="325">
        <f t="shared" si="10"/>
        <v>3662.9424579873321</v>
      </c>
      <c r="AE70" s="326">
        <f t="shared" si="10"/>
        <v>0</v>
      </c>
      <c r="AF70" s="327">
        <f t="shared" si="10"/>
        <v>0</v>
      </c>
      <c r="AG70" s="224"/>
      <c r="AH70" s="349"/>
      <c r="AI70" s="345">
        <f t="shared" si="8"/>
        <v>0.25355294117647104</v>
      </c>
      <c r="AJ70" s="224"/>
      <c r="AK70" s="265"/>
      <c r="AL70" s="265"/>
      <c r="AM70" s="224"/>
    </row>
    <row r="71" spans="1:39" x14ac:dyDescent="0.25">
      <c r="A71" s="31">
        <f t="shared" si="0"/>
        <v>55</v>
      </c>
      <c r="B71" s="47"/>
      <c r="C71" s="15" t="s">
        <v>8</v>
      </c>
      <c r="D71" s="16"/>
      <c r="E71" s="152">
        <f>'Rates in detail'!K61</f>
        <v>2.0660000000000001E-2</v>
      </c>
      <c r="F71" s="16"/>
      <c r="G71" s="241">
        <f>'Rates in detail'!M61</f>
        <v>8.1480000000000052E-2</v>
      </c>
      <c r="H71" s="283">
        <f t="shared" si="9"/>
        <v>0.10214000000000005</v>
      </c>
      <c r="I71" s="16"/>
      <c r="J71" s="306"/>
      <c r="K71" s="263"/>
      <c r="L71" s="152"/>
      <c r="M71" s="152"/>
      <c r="N71" s="152"/>
      <c r="O71" s="293"/>
      <c r="P71" s="16"/>
      <c r="Q71" s="316"/>
      <c r="R71" s="48"/>
      <c r="S71" s="76"/>
      <c r="T71" s="317"/>
      <c r="U71" s="16"/>
      <c r="V71" s="325">
        <f t="shared" si="76"/>
        <v>0</v>
      </c>
      <c r="W71" s="326">
        <f t="shared" si="77"/>
        <v>0</v>
      </c>
      <c r="X71" s="327">
        <f t="shared" si="78"/>
        <v>0</v>
      </c>
      <c r="Y71" s="224"/>
      <c r="Z71" s="325">
        <f t="shared" si="79"/>
        <v>0</v>
      </c>
      <c r="AA71" s="326">
        <f t="shared" si="80"/>
        <v>0</v>
      </c>
      <c r="AB71" s="327">
        <f t="shared" si="81"/>
        <v>0</v>
      </c>
      <c r="AC71" s="224"/>
      <c r="AD71" s="325">
        <f t="shared" si="10"/>
        <v>0</v>
      </c>
      <c r="AE71" s="326">
        <f t="shared" si="10"/>
        <v>0</v>
      </c>
      <c r="AF71" s="327">
        <f t="shared" si="10"/>
        <v>0</v>
      </c>
      <c r="AG71" s="224"/>
      <c r="AH71" s="349"/>
      <c r="AI71" s="345">
        <f>AI70</f>
        <v>0.25355294117647104</v>
      </c>
      <c r="AJ71" s="224"/>
      <c r="AK71" s="265"/>
      <c r="AL71" s="265"/>
      <c r="AM71" s="224"/>
    </row>
    <row r="72" spans="1:39" x14ac:dyDescent="0.25">
      <c r="A72" s="31">
        <f t="shared" si="0"/>
        <v>56</v>
      </c>
      <c r="B72" s="47"/>
      <c r="C72" s="15" t="s">
        <v>9</v>
      </c>
      <c r="D72" s="16"/>
      <c r="E72" s="152">
        <f>'Rates in detail'!K62</f>
        <v>1.653E-2</v>
      </c>
      <c r="F72" s="16"/>
      <c r="G72" s="241">
        <f>'Rates in detail'!M62</f>
        <v>6.5179999999999849E-2</v>
      </c>
      <c r="H72" s="283">
        <f t="shared" si="9"/>
        <v>8.1709999999999852E-2</v>
      </c>
      <c r="I72" s="16"/>
      <c r="J72" s="306"/>
      <c r="K72" s="263"/>
      <c r="L72" s="152"/>
      <c r="M72" s="152"/>
      <c r="N72" s="152"/>
      <c r="O72" s="293"/>
      <c r="P72" s="16"/>
      <c r="Q72" s="316"/>
      <c r="R72" s="48"/>
      <c r="S72" s="76"/>
      <c r="T72" s="317"/>
      <c r="U72" s="16"/>
      <c r="V72" s="325">
        <f t="shared" si="76"/>
        <v>0</v>
      </c>
      <c r="W72" s="326">
        <f t="shared" si="77"/>
        <v>0</v>
      </c>
      <c r="X72" s="327">
        <f t="shared" si="78"/>
        <v>0</v>
      </c>
      <c r="Y72" s="224"/>
      <c r="Z72" s="325">
        <f t="shared" si="79"/>
        <v>0</v>
      </c>
      <c r="AA72" s="326">
        <f t="shared" si="80"/>
        <v>0</v>
      </c>
      <c r="AB72" s="327">
        <f t="shared" si="81"/>
        <v>0</v>
      </c>
      <c r="AC72" s="224"/>
      <c r="AD72" s="325">
        <f t="shared" si="10"/>
        <v>0</v>
      </c>
      <c r="AE72" s="326">
        <f t="shared" si="10"/>
        <v>0</v>
      </c>
      <c r="AF72" s="327">
        <f t="shared" si="10"/>
        <v>0</v>
      </c>
      <c r="AG72" s="224"/>
      <c r="AH72" s="349"/>
      <c r="AI72" s="345">
        <f>AI71</f>
        <v>0.25355294117647104</v>
      </c>
      <c r="AJ72" s="224"/>
      <c r="AK72" s="265"/>
      <c r="AL72" s="265"/>
      <c r="AM72" s="224"/>
    </row>
    <row r="73" spans="1:39" x14ac:dyDescent="0.25">
      <c r="A73" s="31">
        <f t="shared" si="0"/>
        <v>57</v>
      </c>
      <c r="B73" s="47"/>
      <c r="C73" s="15" t="s">
        <v>10</v>
      </c>
      <c r="D73" s="16"/>
      <c r="E73" s="152">
        <f>'Rates in detail'!K63</f>
        <v>1.102E-2</v>
      </c>
      <c r="F73" s="16"/>
      <c r="G73" s="241">
        <f>'Rates in detail'!M63</f>
        <v>4.3450000000000003E-2</v>
      </c>
      <c r="H73" s="283">
        <f t="shared" si="9"/>
        <v>5.4470000000000005E-2</v>
      </c>
      <c r="I73" s="16"/>
      <c r="J73" s="306"/>
      <c r="K73" s="263"/>
      <c r="L73" s="152"/>
      <c r="M73" s="152"/>
      <c r="N73" s="152"/>
      <c r="O73" s="293"/>
      <c r="P73" s="16"/>
      <c r="Q73" s="316"/>
      <c r="R73" s="48"/>
      <c r="S73" s="76"/>
      <c r="T73" s="317"/>
      <c r="U73" s="16"/>
      <c r="V73" s="325">
        <f t="shared" si="76"/>
        <v>0</v>
      </c>
      <c r="W73" s="326">
        <f t="shared" si="77"/>
        <v>0</v>
      </c>
      <c r="X73" s="327">
        <f t="shared" si="78"/>
        <v>0</v>
      </c>
      <c r="Y73" s="224"/>
      <c r="Z73" s="325">
        <f t="shared" si="79"/>
        <v>0</v>
      </c>
      <c r="AA73" s="326">
        <f t="shared" si="80"/>
        <v>0</v>
      </c>
      <c r="AB73" s="327">
        <f t="shared" si="81"/>
        <v>0</v>
      </c>
      <c r="AC73" s="224"/>
      <c r="AD73" s="325">
        <f t="shared" si="10"/>
        <v>0</v>
      </c>
      <c r="AE73" s="326">
        <f t="shared" si="10"/>
        <v>0</v>
      </c>
      <c r="AF73" s="327">
        <f t="shared" si="10"/>
        <v>0</v>
      </c>
      <c r="AG73" s="224"/>
      <c r="AH73" s="349"/>
      <c r="AI73" s="345">
        <f>AI72</f>
        <v>0.25355294117647104</v>
      </c>
      <c r="AJ73" s="224"/>
      <c r="AK73" s="265"/>
      <c r="AL73" s="265"/>
      <c r="AM73" s="224"/>
    </row>
    <row r="74" spans="1:39" x14ac:dyDescent="0.25">
      <c r="A74" s="31">
        <f>+A73+1</f>
        <v>58</v>
      </c>
      <c r="B74" s="47"/>
      <c r="C74" s="15" t="s">
        <v>11</v>
      </c>
      <c r="D74" s="16"/>
      <c r="E74" s="152">
        <f>'Rates in detail'!K64</f>
        <v>4.13E-3</v>
      </c>
      <c r="F74" s="16"/>
      <c r="G74" s="241">
        <f>'Rates in detail'!M64</f>
        <v>1.6299999999999905E-2</v>
      </c>
      <c r="H74" s="283">
        <f t="shared" si="9"/>
        <v>2.0429999999999907E-2</v>
      </c>
      <c r="I74" s="16"/>
      <c r="J74" s="307"/>
      <c r="K74" s="3"/>
      <c r="L74" s="152"/>
      <c r="M74" s="152"/>
      <c r="N74" s="152"/>
      <c r="O74" s="293"/>
      <c r="P74" s="16"/>
      <c r="Q74" s="316"/>
      <c r="R74" s="48"/>
      <c r="S74" s="76"/>
      <c r="T74" s="317"/>
      <c r="U74" s="16"/>
      <c r="V74" s="325">
        <f t="shared" si="76"/>
        <v>0</v>
      </c>
      <c r="W74" s="326">
        <f t="shared" si="77"/>
        <v>0</v>
      </c>
      <c r="X74" s="327">
        <f t="shared" si="78"/>
        <v>0</v>
      </c>
      <c r="Y74" s="224"/>
      <c r="Z74" s="325">
        <f t="shared" si="79"/>
        <v>0</v>
      </c>
      <c r="AA74" s="326">
        <f t="shared" si="80"/>
        <v>0</v>
      </c>
      <c r="AB74" s="327">
        <f t="shared" si="81"/>
        <v>0</v>
      </c>
      <c r="AC74" s="224"/>
      <c r="AD74" s="325">
        <f t="shared" si="10"/>
        <v>0</v>
      </c>
      <c r="AE74" s="326">
        <f t="shared" si="10"/>
        <v>0</v>
      </c>
      <c r="AF74" s="327">
        <f t="shared" si="10"/>
        <v>0</v>
      </c>
      <c r="AG74" s="224"/>
      <c r="AH74" s="349"/>
      <c r="AI74" s="345">
        <f>AI73</f>
        <v>0.25355294117647104</v>
      </c>
      <c r="AJ74" s="224"/>
      <c r="AK74" s="265"/>
      <c r="AL74" s="265"/>
      <c r="AM74" s="224"/>
    </row>
    <row r="75" spans="1:39" x14ac:dyDescent="0.25">
      <c r="A75" s="31"/>
      <c r="B75" s="51"/>
      <c r="C75" s="78" t="s">
        <v>137</v>
      </c>
      <c r="D75" s="11"/>
      <c r="E75" s="145"/>
      <c r="F75" s="11"/>
      <c r="G75" s="297"/>
      <c r="H75" s="282"/>
      <c r="I75" s="16"/>
      <c r="J75" s="307"/>
      <c r="K75" s="3"/>
      <c r="L75" s="152"/>
      <c r="M75" s="152"/>
      <c r="N75" s="152"/>
      <c r="O75" s="293"/>
      <c r="P75" s="16"/>
      <c r="Q75" s="316"/>
      <c r="R75" s="48"/>
      <c r="S75" s="76"/>
      <c r="T75" s="317"/>
      <c r="U75" s="16"/>
      <c r="V75" s="328">
        <f>SUM(V69:V74)</f>
        <v>34863.505477856612</v>
      </c>
      <c r="W75" s="340">
        <f>SUM(W69:W74)</f>
        <v>31200</v>
      </c>
      <c r="X75" s="341">
        <f>SUM(X69:X74)</f>
        <v>3513.1852800000001</v>
      </c>
      <c r="Y75" s="224"/>
      <c r="Z75" s="328">
        <f>SUM(Z69:Z74)</f>
        <v>43702.091526642369</v>
      </c>
      <c r="AA75" s="340">
        <f>SUM(AA69:AA74)</f>
        <v>31200</v>
      </c>
      <c r="AB75" s="341">
        <f>SUM(AB69:AB74)</f>
        <v>3513.1852800000001</v>
      </c>
      <c r="AC75" s="224"/>
      <c r="AD75" s="328">
        <f>SUM(AD69:AD74)</f>
        <v>8838.5860487857626</v>
      </c>
      <c r="AE75" s="340">
        <f>SUM(AE69:AE74)</f>
        <v>0</v>
      </c>
      <c r="AF75" s="341">
        <f>SUM(AF69:AF74)</f>
        <v>0</v>
      </c>
      <c r="AG75" s="224"/>
      <c r="AH75" s="349">
        <f t="shared" si="11"/>
        <v>0.12703372282458988</v>
      </c>
      <c r="AI75" s="346">
        <f t="shared" si="8"/>
        <v>0.25351971718390592</v>
      </c>
      <c r="AJ75" s="224"/>
      <c r="AK75" s="265"/>
      <c r="AL75" s="265"/>
      <c r="AM75" s="224"/>
    </row>
    <row r="76" spans="1:39" x14ac:dyDescent="0.25">
      <c r="A76" s="31">
        <f>+A74+1</f>
        <v>59</v>
      </c>
      <c r="B76" s="47" t="s">
        <v>112</v>
      </c>
      <c r="C76" s="15" t="s">
        <v>6</v>
      </c>
      <c r="D76" s="52"/>
      <c r="E76" s="152">
        <f>'Rates in detail'!K65</f>
        <v>1.78E-2</v>
      </c>
      <c r="F76" s="52"/>
      <c r="G76" s="241">
        <f>'Rates in detail'!M65</f>
        <v>0.11817999999999999</v>
      </c>
      <c r="H76" s="283">
        <f t="shared" si="9"/>
        <v>0.13597999999999999</v>
      </c>
      <c r="I76" s="52"/>
      <c r="J76" s="306">
        <f>'Avg Bill by RS'!H76</f>
        <v>1550</v>
      </c>
      <c r="K76" s="263">
        <f>'Avg Bill by RS'!G76</f>
        <v>1550</v>
      </c>
      <c r="L76" s="152">
        <v>0.15748000000000001</v>
      </c>
      <c r="M76" s="152">
        <f>L76</f>
        <v>0.15748000000000001</v>
      </c>
      <c r="N76" s="152">
        <v>0</v>
      </c>
      <c r="O76" s="293">
        <v>0</v>
      </c>
      <c r="P76" s="52"/>
      <c r="Q76" s="316">
        <f>'Washington volumes'!E65</f>
        <v>924358</v>
      </c>
      <c r="R76" s="48">
        <v>0</v>
      </c>
      <c r="S76" s="76">
        <f>'Washington volumes'!H65-3</f>
        <v>7.9166666666666661</v>
      </c>
      <c r="T76" s="317">
        <f>'Washington volumes'!I65</f>
        <v>166540.18320999999</v>
      </c>
      <c r="U76" s="52"/>
      <c r="V76" s="325">
        <f t="shared" ref="V76:V81" si="82">(G76*Q76)</f>
        <v>109240.62844</v>
      </c>
      <c r="W76" s="326">
        <f>(J76*S76*12)</f>
        <v>147250</v>
      </c>
      <c r="X76" s="327">
        <f>(R76*(L76+N76))*12</f>
        <v>0</v>
      </c>
      <c r="Y76" s="329"/>
      <c r="Z76" s="325">
        <f>(H76*Q76)</f>
        <v>125694.20083999999</v>
      </c>
      <c r="AA76" s="326">
        <f>(K76*S76*12)</f>
        <v>147250</v>
      </c>
      <c r="AB76" s="327">
        <f>(R76*(M76+O76))*12</f>
        <v>0</v>
      </c>
      <c r="AC76" s="329"/>
      <c r="AD76" s="325">
        <f t="shared" si="10"/>
        <v>16453.57239999999</v>
      </c>
      <c r="AE76" s="326">
        <f t="shared" si="10"/>
        <v>0</v>
      </c>
      <c r="AF76" s="327">
        <f t="shared" si="10"/>
        <v>0</v>
      </c>
      <c r="AG76" s="329"/>
      <c r="AH76" s="349"/>
      <c r="AI76" s="345">
        <f t="shared" si="8"/>
        <v>0.15061770181079701</v>
      </c>
      <c r="AJ76" s="329"/>
      <c r="AK76" s="265"/>
      <c r="AL76" s="265"/>
      <c r="AM76" s="329"/>
    </row>
    <row r="77" spans="1:39" s="63" customFormat="1" x14ac:dyDescent="0.25">
      <c r="A77" s="31">
        <f t="shared" ref="A77:A81" si="83">+A76+1</f>
        <v>60</v>
      </c>
      <c r="B77" s="47"/>
      <c r="C77" s="15" t="s">
        <v>7</v>
      </c>
      <c r="D77" s="54"/>
      <c r="E77" s="152">
        <f>'Rates in detail'!K66</f>
        <v>1.5939999999999999E-2</v>
      </c>
      <c r="F77" s="54"/>
      <c r="G77" s="241">
        <f>'Rates in detail'!M66</f>
        <v>0.10579</v>
      </c>
      <c r="H77" s="283">
        <f t="shared" si="9"/>
        <v>0.12172999999999999</v>
      </c>
      <c r="I77" s="54"/>
      <c r="J77" s="308"/>
      <c r="L77" s="16"/>
      <c r="M77" s="16"/>
      <c r="N77" s="16"/>
      <c r="O77" s="293"/>
      <c r="P77" s="54"/>
      <c r="Q77" s="316">
        <f>'Washington volumes'!E66</f>
        <v>1661182</v>
      </c>
      <c r="R77" s="16"/>
      <c r="S77" s="16"/>
      <c r="T77" s="293"/>
      <c r="U77" s="54"/>
      <c r="V77" s="325">
        <f t="shared" si="82"/>
        <v>175736.44378</v>
      </c>
      <c r="W77" s="326">
        <f t="shared" ref="W77:W81" si="84">(J77*S77*12)</f>
        <v>0</v>
      </c>
      <c r="X77" s="327">
        <f t="shared" ref="X77:X81" si="85">(R77*(L77+N77))*12</f>
        <v>0</v>
      </c>
      <c r="Y77" s="330"/>
      <c r="Z77" s="325">
        <f t="shared" ref="Z77:Z81" si="86">(H77*Q77)</f>
        <v>202215.68485999998</v>
      </c>
      <c r="AA77" s="326">
        <f t="shared" ref="AA77:AA81" si="87">(K77*S77*12)</f>
        <v>0</v>
      </c>
      <c r="AB77" s="327">
        <f t="shared" ref="AB77:AB81" si="88">(R77*(M77+O77))*12</f>
        <v>0</v>
      </c>
      <c r="AC77" s="330"/>
      <c r="AD77" s="325">
        <f t="shared" si="10"/>
        <v>26479.241079999978</v>
      </c>
      <c r="AE77" s="326">
        <f t="shared" si="10"/>
        <v>0</v>
      </c>
      <c r="AF77" s="327">
        <f t="shared" si="10"/>
        <v>0</v>
      </c>
      <c r="AG77" s="330"/>
      <c r="AH77" s="349"/>
      <c r="AI77" s="345">
        <f t="shared" si="8"/>
        <v>0.15067586728424223</v>
      </c>
      <c r="AJ77" s="330"/>
      <c r="AK77" s="265"/>
      <c r="AL77" s="263"/>
      <c r="AM77" s="330"/>
    </row>
    <row r="78" spans="1:39" s="63" customFormat="1" x14ac:dyDescent="0.25">
      <c r="A78" s="31">
        <f t="shared" si="83"/>
        <v>61</v>
      </c>
      <c r="B78" s="47"/>
      <c r="C78" s="15" t="s">
        <v>8</v>
      </c>
      <c r="D78" s="54"/>
      <c r="E78" s="152">
        <f>'Rates in detail'!K67</f>
        <v>1.222E-2</v>
      </c>
      <c r="F78" s="54"/>
      <c r="G78" s="241">
        <f>'Rates in detail'!M67</f>
        <v>8.1119999999999998E-2</v>
      </c>
      <c r="H78" s="283">
        <f t="shared" si="9"/>
        <v>9.3339999999999992E-2</v>
      </c>
      <c r="I78" s="54"/>
      <c r="J78" s="306"/>
      <c r="K78" s="263"/>
      <c r="L78" s="16"/>
      <c r="M78" s="16"/>
      <c r="N78" s="16"/>
      <c r="O78" s="293"/>
      <c r="P78" s="54"/>
      <c r="Q78" s="316">
        <f>'Washington volumes'!E67</f>
        <v>1395939</v>
      </c>
      <c r="R78" s="16"/>
      <c r="S78" s="16"/>
      <c r="T78" s="293"/>
      <c r="U78" s="54"/>
      <c r="V78" s="325">
        <f>(G78*Q78)</f>
        <v>113238.57167999999</v>
      </c>
      <c r="W78" s="326">
        <f t="shared" si="84"/>
        <v>0</v>
      </c>
      <c r="X78" s="327">
        <f t="shared" si="85"/>
        <v>0</v>
      </c>
      <c r="Y78" s="330"/>
      <c r="Z78" s="325">
        <f t="shared" si="86"/>
        <v>130296.94625999998</v>
      </c>
      <c r="AA78" s="326">
        <f t="shared" si="87"/>
        <v>0</v>
      </c>
      <c r="AB78" s="327">
        <f t="shared" si="88"/>
        <v>0</v>
      </c>
      <c r="AC78" s="330"/>
      <c r="AD78" s="325">
        <f t="shared" si="10"/>
        <v>17058.374579999989</v>
      </c>
      <c r="AE78" s="326">
        <f t="shared" si="10"/>
        <v>0</v>
      </c>
      <c r="AF78" s="327">
        <f t="shared" si="10"/>
        <v>0</v>
      </c>
      <c r="AG78" s="330"/>
      <c r="AH78" s="349"/>
      <c r="AI78" s="345">
        <f t="shared" si="8"/>
        <v>0.15064102564102555</v>
      </c>
      <c r="AJ78" s="330"/>
      <c r="AK78" s="265"/>
      <c r="AL78" s="263"/>
      <c r="AM78" s="330"/>
    </row>
    <row r="79" spans="1:39" s="63" customFormat="1" x14ac:dyDescent="0.25">
      <c r="A79" s="31">
        <f t="shared" si="83"/>
        <v>62</v>
      </c>
      <c r="B79" s="47"/>
      <c r="C79" s="15" t="s">
        <v>9</v>
      </c>
      <c r="D79" s="54"/>
      <c r="E79" s="152">
        <f>'Rates in detail'!K68</f>
        <v>9.7800000000000005E-3</v>
      </c>
      <c r="F79" s="54"/>
      <c r="G79" s="241">
        <f>'Rates in detail'!M68</f>
        <v>6.4899999999999999E-2</v>
      </c>
      <c r="H79" s="283">
        <f t="shared" si="9"/>
        <v>7.4679999999999996E-2</v>
      </c>
      <c r="I79" s="54"/>
      <c r="J79" s="306"/>
      <c r="K79" s="263"/>
      <c r="L79" s="16"/>
      <c r="M79" s="16"/>
      <c r="N79" s="16"/>
      <c r="O79" s="293"/>
      <c r="P79" s="54"/>
      <c r="Q79" s="316">
        <f>'Washington volumes'!E68</f>
        <v>4342579</v>
      </c>
      <c r="R79" s="16"/>
      <c r="S79" s="16"/>
      <c r="T79" s="293"/>
      <c r="U79" s="54"/>
      <c r="V79" s="325">
        <f t="shared" si="82"/>
        <v>281833.37709999998</v>
      </c>
      <c r="W79" s="326">
        <f t="shared" si="84"/>
        <v>0</v>
      </c>
      <c r="X79" s="327">
        <f t="shared" si="85"/>
        <v>0</v>
      </c>
      <c r="Y79" s="330"/>
      <c r="Z79" s="325">
        <f t="shared" si="86"/>
        <v>324303.79972000001</v>
      </c>
      <c r="AA79" s="326">
        <f t="shared" si="87"/>
        <v>0</v>
      </c>
      <c r="AB79" s="327">
        <f t="shared" si="88"/>
        <v>0</v>
      </c>
      <c r="AC79" s="330"/>
      <c r="AD79" s="325">
        <f t="shared" si="10"/>
        <v>42470.422620000027</v>
      </c>
      <c r="AE79" s="326">
        <f t="shared" si="10"/>
        <v>0</v>
      </c>
      <c r="AF79" s="327">
        <f t="shared" si="10"/>
        <v>0</v>
      </c>
      <c r="AG79" s="330"/>
      <c r="AH79" s="349"/>
      <c r="AI79" s="345">
        <f t="shared" si="8"/>
        <v>0.15069337442218808</v>
      </c>
      <c r="AJ79" s="330"/>
      <c r="AK79" s="265"/>
      <c r="AL79" s="263"/>
      <c r="AM79" s="330"/>
    </row>
    <row r="80" spans="1:39" s="63" customFormat="1" x14ac:dyDescent="0.25">
      <c r="A80" s="31">
        <f t="shared" si="83"/>
        <v>63</v>
      </c>
      <c r="B80" s="47"/>
      <c r="C80" s="15" t="s">
        <v>10</v>
      </c>
      <c r="D80" s="54"/>
      <c r="E80" s="152">
        <f>'Rates in detail'!K69</f>
        <v>6.5199999999999998E-3</v>
      </c>
      <c r="F80" s="54"/>
      <c r="G80" s="241">
        <f>'Rates in detail'!M69</f>
        <v>4.3270000000000003E-2</v>
      </c>
      <c r="H80" s="283">
        <f t="shared" si="9"/>
        <v>4.9790000000000001E-2</v>
      </c>
      <c r="I80" s="54"/>
      <c r="J80" s="306"/>
      <c r="K80" s="263"/>
      <c r="L80" s="16"/>
      <c r="M80" s="16"/>
      <c r="N80" s="16"/>
      <c r="O80" s="293"/>
      <c r="P80" s="54"/>
      <c r="Q80" s="316">
        <f>'Washington volumes'!E69</f>
        <v>2584324</v>
      </c>
      <c r="R80" s="16"/>
      <c r="S80" s="16"/>
      <c r="T80" s="293"/>
      <c r="U80" s="54"/>
      <c r="V80" s="325">
        <f t="shared" si="82"/>
        <v>111823.69948000001</v>
      </c>
      <c r="W80" s="326">
        <f t="shared" si="84"/>
        <v>0</v>
      </c>
      <c r="X80" s="327">
        <f t="shared" si="85"/>
        <v>0</v>
      </c>
      <c r="Y80" s="330"/>
      <c r="Z80" s="325">
        <f t="shared" si="86"/>
        <v>128673.49196</v>
      </c>
      <c r="AA80" s="326">
        <f t="shared" si="87"/>
        <v>0</v>
      </c>
      <c r="AB80" s="327">
        <f t="shared" si="88"/>
        <v>0</v>
      </c>
      <c r="AC80" s="330"/>
      <c r="AD80" s="325">
        <f t="shared" si="10"/>
        <v>16849.792479999989</v>
      </c>
      <c r="AE80" s="326">
        <f t="shared" si="10"/>
        <v>0</v>
      </c>
      <c r="AF80" s="327">
        <f t="shared" si="10"/>
        <v>0</v>
      </c>
      <c r="AG80" s="330"/>
      <c r="AH80" s="349"/>
      <c r="AI80" s="345">
        <f t="shared" si="8"/>
        <v>0.1506817656574993</v>
      </c>
      <c r="AJ80" s="330"/>
      <c r="AK80" s="265"/>
      <c r="AL80" s="189"/>
      <c r="AM80" s="330"/>
    </row>
    <row r="81" spans="1:39" s="63" customFormat="1" x14ac:dyDescent="0.25">
      <c r="A81" s="31">
        <f t="shared" si="83"/>
        <v>64</v>
      </c>
      <c r="B81" s="47"/>
      <c r="C81" s="15" t="s">
        <v>11</v>
      </c>
      <c r="D81" s="54"/>
      <c r="E81" s="152">
        <f>'Rates in detail'!K70</f>
        <v>2.4399999999999999E-3</v>
      </c>
      <c r="F81" s="54"/>
      <c r="G81" s="241">
        <f>'Rates in detail'!M70</f>
        <v>1.6219999999999998E-2</v>
      </c>
      <c r="H81" s="283">
        <f t="shared" si="9"/>
        <v>1.866E-2</v>
      </c>
      <c r="I81" s="54"/>
      <c r="J81" s="306"/>
      <c r="K81" s="189"/>
      <c r="L81" s="16"/>
      <c r="M81" s="16"/>
      <c r="N81" s="16"/>
      <c r="O81" s="293"/>
      <c r="P81" s="54"/>
      <c r="Q81" s="316"/>
      <c r="R81" s="16"/>
      <c r="S81" s="16"/>
      <c r="T81" s="293"/>
      <c r="U81" s="54"/>
      <c r="V81" s="325">
        <f t="shared" si="82"/>
        <v>0</v>
      </c>
      <c r="W81" s="326">
        <f t="shared" si="84"/>
        <v>0</v>
      </c>
      <c r="X81" s="327">
        <f t="shared" si="85"/>
        <v>0</v>
      </c>
      <c r="Y81" s="330"/>
      <c r="Z81" s="325">
        <f t="shared" si="86"/>
        <v>0</v>
      </c>
      <c r="AA81" s="326">
        <f t="shared" si="87"/>
        <v>0</v>
      </c>
      <c r="AB81" s="327">
        <f t="shared" si="88"/>
        <v>0</v>
      </c>
      <c r="AC81" s="330"/>
      <c r="AD81" s="325">
        <f t="shared" ref="AD81" si="89">Z81-V81</f>
        <v>0</v>
      </c>
      <c r="AE81" s="326">
        <f t="shared" ref="AE81" si="90">AA81-W81</f>
        <v>0</v>
      </c>
      <c r="AF81" s="327">
        <f t="shared" ref="AF81" si="91">AB81-X81</f>
        <v>0</v>
      </c>
      <c r="AG81" s="330"/>
      <c r="AH81" s="349"/>
      <c r="AI81" s="345">
        <f>AI80</f>
        <v>0.1506817656574993</v>
      </c>
      <c r="AJ81" s="330"/>
      <c r="AK81" s="265"/>
      <c r="AL81" s="189"/>
      <c r="AM81" s="330"/>
    </row>
    <row r="82" spans="1:39" s="63" customFormat="1" x14ac:dyDescent="0.25">
      <c r="A82" s="31"/>
      <c r="B82" s="51"/>
      <c r="C82" s="78" t="s">
        <v>137</v>
      </c>
      <c r="D82" s="20"/>
      <c r="E82" s="145"/>
      <c r="F82" s="20"/>
      <c r="G82" s="297"/>
      <c r="H82" s="282"/>
      <c r="I82" s="54"/>
      <c r="J82" s="306"/>
      <c r="K82" s="189"/>
      <c r="L82" s="16"/>
      <c r="M82" s="16"/>
      <c r="N82" s="16"/>
      <c r="O82" s="293"/>
      <c r="P82" s="54"/>
      <c r="Q82" s="316"/>
      <c r="R82" s="16"/>
      <c r="S82" s="16"/>
      <c r="T82" s="293"/>
      <c r="U82" s="54"/>
      <c r="V82" s="328">
        <f>SUM(V76:V81)</f>
        <v>791872.7204799999</v>
      </c>
      <c r="W82" s="340">
        <f>SUM(W76:W81)</f>
        <v>147250</v>
      </c>
      <c r="X82" s="341">
        <f>SUM(X76:X81)</f>
        <v>0</v>
      </c>
      <c r="Y82" s="330"/>
      <c r="Z82" s="328">
        <f>SUM(Z76:Z81)</f>
        <v>911184.12364000001</v>
      </c>
      <c r="AA82" s="340">
        <f>SUM(AA76:AA81)</f>
        <v>147250</v>
      </c>
      <c r="AB82" s="341">
        <f>SUM(AB76:AB81)</f>
        <v>0</v>
      </c>
      <c r="AC82" s="330"/>
      <c r="AD82" s="328">
        <f>SUM(AD76:AD81)</f>
        <v>119311.40315999997</v>
      </c>
      <c r="AE82" s="340">
        <f>SUM(AE76:AE81)</f>
        <v>0</v>
      </c>
      <c r="AF82" s="341">
        <f>SUM(AF76:AF81)</f>
        <v>0</v>
      </c>
      <c r="AG82" s="330"/>
      <c r="AH82" s="349">
        <f t="shared" si="11"/>
        <v>0.12704559325219827</v>
      </c>
      <c r="AI82" s="346">
        <f t="shared" si="8"/>
        <v>0.15066992469153176</v>
      </c>
      <c r="AJ82" s="330"/>
      <c r="AK82" s="265"/>
      <c r="AL82" s="189"/>
      <c r="AM82" s="330"/>
    </row>
    <row r="83" spans="1:39" s="63" customFormat="1" x14ac:dyDescent="0.25">
      <c r="A83" s="31">
        <f>+A81+1</f>
        <v>65</v>
      </c>
      <c r="B83" s="51" t="s">
        <v>113</v>
      </c>
      <c r="C83" s="17"/>
      <c r="D83" s="54"/>
      <c r="E83" s="19">
        <f>'Rates in detail'!K71</f>
        <v>0</v>
      </c>
      <c r="F83" s="54"/>
      <c r="G83" s="300">
        <f>'Rates in detail'!M71</f>
        <v>4.9899999999999996E-3</v>
      </c>
      <c r="H83" s="286">
        <f t="shared" si="9"/>
        <v>4.9899999999999996E-3</v>
      </c>
      <c r="I83" s="54"/>
      <c r="J83" s="306"/>
      <c r="K83" s="189"/>
      <c r="L83" s="16"/>
      <c r="M83" s="16"/>
      <c r="N83" s="16"/>
      <c r="O83" s="293"/>
      <c r="P83" s="54"/>
      <c r="Q83" s="316"/>
      <c r="R83" s="16"/>
      <c r="S83" s="16"/>
      <c r="T83" s="293"/>
      <c r="U83" s="54"/>
      <c r="V83" s="331"/>
      <c r="W83" s="332"/>
      <c r="X83" s="333"/>
      <c r="Y83" s="330"/>
      <c r="Z83" s="331"/>
      <c r="AA83" s="332"/>
      <c r="AB83" s="333"/>
      <c r="AC83" s="330"/>
      <c r="AD83" s="331"/>
      <c r="AE83" s="332"/>
      <c r="AF83" s="333"/>
      <c r="AG83" s="330"/>
      <c r="AH83" s="330"/>
      <c r="AI83" s="330"/>
      <c r="AJ83" s="330"/>
      <c r="AK83" s="189"/>
      <c r="AL83" s="189"/>
      <c r="AM83" s="330"/>
    </row>
    <row r="84" spans="1:39" s="63" customFormat="1" x14ac:dyDescent="0.25">
      <c r="A84" s="31">
        <f t="shared" ref="A84:A93" si="92">+A83+1</f>
        <v>66</v>
      </c>
      <c r="B84" s="13" t="s">
        <v>114</v>
      </c>
      <c r="C84" s="10"/>
      <c r="D84" s="54"/>
      <c r="E84" s="19">
        <f>'Rates in detail'!K72</f>
        <v>0</v>
      </c>
      <c r="F84" s="54"/>
      <c r="G84" s="299">
        <f>'Rates in detail'!M72</f>
        <v>4.9899999999999996E-3</v>
      </c>
      <c r="H84" s="285">
        <f t="shared" si="9"/>
        <v>4.9899999999999996E-3</v>
      </c>
      <c r="I84" s="54"/>
      <c r="J84" s="306"/>
      <c r="K84" s="189"/>
      <c r="L84" s="16"/>
      <c r="M84" s="16"/>
      <c r="N84" s="16"/>
      <c r="O84" s="293"/>
      <c r="P84" s="54"/>
      <c r="Q84" s="292"/>
      <c r="R84" s="16"/>
      <c r="S84" s="16"/>
      <c r="T84" s="293"/>
      <c r="U84" s="54"/>
      <c r="V84" s="334"/>
      <c r="W84" s="335"/>
      <c r="X84" s="336"/>
      <c r="Y84" s="330"/>
      <c r="Z84" s="334"/>
      <c r="AA84" s="335"/>
      <c r="AB84" s="336"/>
      <c r="AC84" s="330"/>
      <c r="AD84" s="334"/>
      <c r="AE84" s="335"/>
      <c r="AF84" s="336"/>
      <c r="AG84" s="330"/>
      <c r="AH84" s="330"/>
      <c r="AI84" s="330"/>
      <c r="AJ84" s="330"/>
      <c r="AK84" s="189"/>
      <c r="AL84" s="189"/>
      <c r="AM84" s="330"/>
    </row>
    <row r="85" spans="1:39" s="63" customFormat="1" ht="13.8" thickBot="1" x14ac:dyDescent="0.3">
      <c r="A85" s="31">
        <f t="shared" si="92"/>
        <v>67</v>
      </c>
      <c r="B85" s="12" t="s">
        <v>144</v>
      </c>
      <c r="C85" s="10"/>
      <c r="D85" s="52"/>
      <c r="E85" s="20"/>
      <c r="F85" s="52"/>
      <c r="G85" s="294"/>
      <c r="H85" s="296"/>
      <c r="I85" s="52"/>
      <c r="J85" s="294"/>
      <c r="K85" s="295"/>
      <c r="L85" s="295"/>
      <c r="M85" s="295"/>
      <c r="N85" s="295"/>
      <c r="O85" s="296"/>
      <c r="P85" s="52"/>
      <c r="Q85" s="294"/>
      <c r="R85" s="295"/>
      <c r="S85" s="295"/>
      <c r="T85" s="296"/>
      <c r="U85" s="52"/>
      <c r="V85" s="337"/>
      <c r="W85" s="338"/>
      <c r="X85" s="339"/>
      <c r="Y85" s="329"/>
      <c r="Z85" s="337"/>
      <c r="AA85" s="338"/>
      <c r="AB85" s="339"/>
      <c r="AC85" s="329"/>
      <c r="AD85" s="337"/>
      <c r="AE85" s="338"/>
      <c r="AF85" s="339"/>
      <c r="AG85" s="329"/>
      <c r="AH85" s="329"/>
      <c r="AI85" s="329"/>
      <c r="AJ85" s="329"/>
      <c r="AK85" s="52"/>
      <c r="AL85" s="52"/>
      <c r="AM85" s="329"/>
    </row>
    <row r="86" spans="1:39" x14ac:dyDescent="0.25">
      <c r="A86" s="31">
        <f t="shared" si="92"/>
        <v>68</v>
      </c>
    </row>
    <row r="87" spans="1:39" ht="13.8" thickBot="1" x14ac:dyDescent="0.3">
      <c r="A87" s="31">
        <f t="shared" si="92"/>
        <v>69</v>
      </c>
      <c r="B87" s="22" t="s">
        <v>115</v>
      </c>
    </row>
    <row r="88" spans="1:39" ht="13.8" thickBot="1" x14ac:dyDescent="0.3">
      <c r="A88" s="31">
        <f t="shared" si="92"/>
        <v>70</v>
      </c>
      <c r="B88" s="64" t="s">
        <v>116</v>
      </c>
      <c r="C88" s="24"/>
      <c r="D88" s="63"/>
      <c r="E88" s="26" t="s">
        <v>246</v>
      </c>
      <c r="F88" s="63"/>
      <c r="G88" s="63"/>
      <c r="H88" s="63"/>
      <c r="I88" s="63"/>
      <c r="J88" s="63"/>
      <c r="K88" s="63"/>
      <c r="L88" s="397"/>
      <c r="M88" s="397"/>
      <c r="N88" s="397"/>
      <c r="O88" s="397"/>
      <c r="P88" s="63"/>
      <c r="U88" s="63"/>
      <c r="V88" s="397"/>
      <c r="W88" s="397"/>
      <c r="X88" s="397"/>
      <c r="Y88" s="63"/>
      <c r="Z88" s="397"/>
      <c r="AA88" s="397"/>
      <c r="AB88" s="397"/>
      <c r="AC88" s="63"/>
      <c r="AG88" s="63"/>
      <c r="AH88" s="63"/>
      <c r="AJ88" s="63"/>
      <c r="AM88" s="63"/>
    </row>
    <row r="89" spans="1:39" ht="13.8" thickBot="1" x14ac:dyDescent="0.3">
      <c r="A89" s="31">
        <f t="shared" si="92"/>
        <v>71</v>
      </c>
      <c r="B89" s="65"/>
      <c r="D89" s="128"/>
      <c r="F89" s="128"/>
      <c r="G89" s="128"/>
      <c r="H89" s="128"/>
      <c r="I89" s="128"/>
      <c r="J89" s="128"/>
      <c r="K89" s="128"/>
      <c r="L89" s="397"/>
      <c r="M89" s="397"/>
      <c r="N89" s="397"/>
      <c r="O89" s="397"/>
      <c r="P89" s="128"/>
      <c r="U89" s="128"/>
      <c r="V89" s="397"/>
      <c r="W89" s="397"/>
      <c r="X89" s="397"/>
      <c r="Y89" s="128"/>
      <c r="Z89" s="397"/>
      <c r="AA89" s="397"/>
      <c r="AB89" s="397"/>
      <c r="AC89" s="128"/>
      <c r="AG89" s="128"/>
      <c r="AH89" s="128"/>
      <c r="AJ89" s="128"/>
      <c r="AM89" s="128"/>
    </row>
    <row r="90" spans="1:39" ht="13.8" thickBot="1" x14ac:dyDescent="0.3">
      <c r="A90" s="31">
        <f t="shared" si="92"/>
        <v>72</v>
      </c>
      <c r="B90" s="64" t="s">
        <v>21</v>
      </c>
      <c r="C90" s="24"/>
      <c r="D90" s="63"/>
      <c r="E90" s="61"/>
      <c r="F90" s="63"/>
      <c r="G90" s="63"/>
      <c r="H90" s="63"/>
      <c r="I90" s="63"/>
      <c r="J90" s="63"/>
      <c r="K90" s="63"/>
      <c r="L90" s="397"/>
      <c r="M90" s="397"/>
      <c r="N90" s="397"/>
      <c r="O90" s="397"/>
      <c r="P90" s="63"/>
      <c r="U90" s="63"/>
      <c r="V90" s="397"/>
      <c r="W90" s="397"/>
      <c r="X90" s="397"/>
      <c r="Y90" s="63"/>
      <c r="Z90" s="397"/>
      <c r="AA90" s="397"/>
      <c r="AB90" s="397"/>
      <c r="AC90" s="63"/>
      <c r="AG90" s="63"/>
      <c r="AH90" s="63"/>
      <c r="AJ90" s="63"/>
      <c r="AM90" s="63"/>
    </row>
    <row r="91" spans="1:39" ht="13.8" thickBot="1" x14ac:dyDescent="0.3">
      <c r="A91" s="31">
        <f t="shared" si="92"/>
        <v>73</v>
      </c>
      <c r="B91" s="64" t="s">
        <v>117</v>
      </c>
      <c r="C91" s="24"/>
      <c r="D91" s="63"/>
      <c r="E91" s="61"/>
      <c r="F91" s="63"/>
      <c r="G91" s="63"/>
      <c r="H91" s="63"/>
      <c r="I91" s="63"/>
      <c r="J91" s="63"/>
      <c r="K91" s="63"/>
      <c r="L91" s="397"/>
      <c r="M91" s="397"/>
      <c r="N91" s="397"/>
      <c r="O91" s="397"/>
      <c r="P91" s="63"/>
      <c r="U91" s="63"/>
      <c r="V91" s="397"/>
      <c r="W91" s="397"/>
      <c r="X91" s="397"/>
      <c r="Y91" s="63"/>
      <c r="Z91" s="397"/>
      <c r="AA91" s="397"/>
      <c r="AB91" s="397"/>
      <c r="AC91" s="63"/>
      <c r="AG91" s="63"/>
      <c r="AH91" s="63"/>
      <c r="AJ91" s="63"/>
      <c r="AM91" s="63"/>
    </row>
    <row r="92" spans="1:39" x14ac:dyDescent="0.25">
      <c r="A92" s="31">
        <f>+A89+1</f>
        <v>72</v>
      </c>
      <c r="B92" s="65" t="s">
        <v>150</v>
      </c>
    </row>
    <row r="93" spans="1:39" x14ac:dyDescent="0.25">
      <c r="A93" s="31">
        <f t="shared" si="92"/>
        <v>73</v>
      </c>
      <c r="B93" s="65"/>
    </row>
    <row r="94" spans="1:39" x14ac:dyDescent="0.25">
      <c r="B94" s="65"/>
    </row>
  </sheetData>
  <mergeCells count="8">
    <mergeCell ref="AD9:AF9"/>
    <mergeCell ref="AK2:AL2"/>
    <mergeCell ref="AN2:AO2"/>
    <mergeCell ref="G6:H6"/>
    <mergeCell ref="Q6:T6"/>
    <mergeCell ref="J6:O6"/>
    <mergeCell ref="V9:X9"/>
    <mergeCell ref="Z9:AB9"/>
  </mergeCells>
  <printOptions horizontalCentered="1"/>
  <pageMargins left="0.5" right="0.5" top="0.5" bottom="0.5" header="0.25" footer="0.25"/>
  <pageSetup scale="45" orientation="landscape" r:id="rId1"/>
  <headerFooter alignWithMargins="0">
    <oddHeader xml:space="preserve">&amp;RUG-181053 NWN Compliance Filing
Advice 19-07 / Work Paper
</oddHeader>
    <oddFooter xml:space="preserve">&amp;C&amp;F &amp;D &amp;T
&amp;A  </oddFooter>
  </headerFooter>
  <ignoredErrors>
    <ignoredError sqref="V62:AF75 V21:AF33 W54:AF54 V35:AF40 W34:AF34 V42:AF53 V41:Y41 AB41:AC41 AE41:AF41 V79:AF82 W78:AF78 V77:AF77 V76 Y76 AC76:AF76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 tint="0.39997558519241921"/>
  </sheetPr>
  <dimension ref="A1:Y96"/>
  <sheetViews>
    <sheetView showGridLines="0" tabSelected="1" zoomScale="90" zoomScaleNormal="90" workbookViewId="0">
      <pane xSplit="3" ySplit="12" topLeftCell="D17" activePane="bottomRight" state="frozen"/>
      <selection activeCell="Q32" sqref="Q32"/>
      <selection pane="topRight" activeCell="Q32" sqref="Q32"/>
      <selection pane="bottomLeft" activeCell="Q32" sqref="Q32"/>
      <selection pane="bottomRight" activeCell="O97" sqref="O97"/>
    </sheetView>
  </sheetViews>
  <sheetFormatPr defaultColWidth="9.33203125" defaultRowHeight="13.2" x14ac:dyDescent="0.25"/>
  <cols>
    <col min="1" max="1" width="5.6640625" style="3" customWidth="1"/>
    <col min="2" max="2" width="14.77734375" style="2" customWidth="1"/>
    <col min="3" max="3" width="8.33203125" style="2" customWidth="1"/>
    <col min="4" max="4" width="16.44140625" style="2" bestFit="1" customWidth="1"/>
    <col min="5" max="5" width="13.33203125" style="2" bestFit="1" customWidth="1"/>
    <col min="6" max="6" width="16.6640625" style="2" bestFit="1" customWidth="1"/>
    <col min="7" max="7" width="19.44140625" style="2" bestFit="1" customWidth="1"/>
    <col min="8" max="8" width="11.109375" style="2" bestFit="1" customWidth="1"/>
    <col min="9" max="9" width="14.44140625" style="2" bestFit="1" customWidth="1"/>
    <col min="10" max="10" width="14" style="2" bestFit="1" customWidth="1"/>
    <col min="11" max="11" width="11.44140625" style="2" customWidth="1"/>
    <col min="12" max="12" width="19.77734375" style="2" bestFit="1" customWidth="1"/>
    <col min="13" max="13" width="29.44140625" style="2" customWidth="1"/>
    <col min="14" max="14" width="15.77734375" style="28" customWidth="1"/>
    <col min="15" max="15" width="15.77734375" style="2" customWidth="1"/>
    <col min="16" max="16" width="13" style="60" bestFit="1" customWidth="1"/>
    <col min="17" max="17" width="15.77734375" style="218" customWidth="1"/>
    <col min="18" max="18" width="15.77734375" style="128" customWidth="1"/>
    <col min="19" max="19" width="13" style="170" bestFit="1" customWidth="1"/>
    <col min="20" max="20" width="15.77734375" style="218" customWidth="1"/>
    <col min="21" max="21" width="15.77734375" style="128" customWidth="1"/>
    <col min="22" max="22" width="13" style="170" bestFit="1" customWidth="1"/>
    <col min="23" max="23" width="13" style="170" customWidth="1"/>
    <col min="24" max="24" width="10.77734375" style="63" bestFit="1" customWidth="1"/>
    <col min="25" max="25" width="19.6640625" style="3" bestFit="1" customWidth="1"/>
    <col min="26" max="16384" width="9.33203125" style="3"/>
  </cols>
  <sheetData>
    <row r="1" spans="1:25" ht="13.8" x14ac:dyDescent="0.25">
      <c r="A1" s="1" t="str">
        <f>+'Washington volumes'!A1</f>
        <v>NW Natural</v>
      </c>
      <c r="N1" s="2"/>
      <c r="Q1" s="128"/>
      <c r="T1" s="128"/>
    </row>
    <row r="2" spans="1:25" ht="13.8" x14ac:dyDescent="0.25">
      <c r="A2" s="1" t="str">
        <f>+'Washington volumes'!A2</f>
        <v>Rates &amp; Regulatory Affairs</v>
      </c>
      <c r="N2" s="2"/>
      <c r="Q2" s="128"/>
      <c r="T2" s="128"/>
    </row>
    <row r="3" spans="1:25" ht="13.8" x14ac:dyDescent="0.25">
      <c r="A3" s="1" t="str">
        <f>+'Washington volumes'!A3</f>
        <v>2019 WA GRC UG-181053</v>
      </c>
      <c r="N3" s="55"/>
      <c r="Q3" s="128"/>
      <c r="T3" s="128"/>
    </row>
    <row r="4" spans="1:25" ht="13.8" x14ac:dyDescent="0.25">
      <c r="A4" s="1" t="s">
        <v>48</v>
      </c>
      <c r="N4" s="2"/>
      <c r="Q4" s="128"/>
      <c r="T4" s="128"/>
    </row>
    <row r="5" spans="1:25" x14ac:dyDescent="0.25">
      <c r="N5" s="2"/>
      <c r="Q5" s="128"/>
      <c r="T5" s="128"/>
    </row>
    <row r="6" spans="1:25" x14ac:dyDescent="0.25">
      <c r="A6" s="396"/>
      <c r="B6" s="137"/>
      <c r="C6" s="137"/>
      <c r="D6" s="137"/>
      <c r="E6" s="28" t="s">
        <v>25</v>
      </c>
      <c r="F6" s="28" t="s">
        <v>25</v>
      </c>
      <c r="G6" s="28" t="s">
        <v>25</v>
      </c>
      <c r="H6" s="30"/>
      <c r="J6" s="30"/>
    </row>
    <row r="7" spans="1:25" ht="15" customHeight="1" thickBot="1" x14ac:dyDescent="0.3">
      <c r="A7" s="31">
        <v>1</v>
      </c>
      <c r="D7" s="28" t="s">
        <v>225</v>
      </c>
      <c r="E7" s="28" t="s">
        <v>22</v>
      </c>
      <c r="F7" s="28" t="s">
        <v>43</v>
      </c>
      <c r="G7" s="28" t="s">
        <v>57</v>
      </c>
      <c r="H7" s="4"/>
      <c r="I7" s="28"/>
      <c r="J7" s="4"/>
      <c r="K7" s="28"/>
      <c r="L7" s="28"/>
      <c r="N7" s="478" t="str">
        <f>+Inputs!C30</f>
        <v>Plant EDIT</v>
      </c>
      <c r="O7" s="479"/>
      <c r="P7" s="480"/>
      <c r="Q7" s="478" t="str">
        <f>Inputs!C32</f>
        <v>Non-Plant EDIT</v>
      </c>
      <c r="R7" s="479"/>
      <c r="S7" s="480"/>
      <c r="T7" s="478" t="str">
        <f>Inputs!C34</f>
        <v>Interim Period Tax Deferral</v>
      </c>
      <c r="U7" s="479"/>
      <c r="V7" s="480"/>
      <c r="W7" s="249"/>
    </row>
    <row r="8" spans="1:25" ht="15" customHeight="1" thickBot="1" x14ac:dyDescent="0.3">
      <c r="A8" s="31">
        <f t="shared" ref="A8:A79" si="0">+A7+1</f>
        <v>2</v>
      </c>
      <c r="D8" s="28" t="s">
        <v>192</v>
      </c>
      <c r="E8" s="28" t="s">
        <v>53</v>
      </c>
      <c r="F8" s="28" t="s">
        <v>55</v>
      </c>
      <c r="G8" s="28" t="s">
        <v>44</v>
      </c>
      <c r="H8" s="4" t="s">
        <v>25</v>
      </c>
      <c r="I8" s="28"/>
      <c r="J8" s="4" t="s">
        <v>25</v>
      </c>
      <c r="K8" s="28"/>
      <c r="L8" s="28"/>
      <c r="M8" s="32" t="s">
        <v>42</v>
      </c>
      <c r="N8" s="214">
        <f>+Inputs!B30</f>
        <v>-506329.11392405059</v>
      </c>
      <c r="O8" s="204" t="str">
        <f>+Inputs!C28</f>
        <v>Rate Case Increments</v>
      </c>
      <c r="P8" s="205"/>
      <c r="Q8" s="214">
        <f>Inputs!B32</f>
        <v>0</v>
      </c>
      <c r="R8" s="204" t="str">
        <f>+Inputs!C28</f>
        <v>Rate Case Increments</v>
      </c>
      <c r="S8" s="205"/>
      <c r="T8" s="214">
        <f>Inputs!B34</f>
        <v>-2100000</v>
      </c>
      <c r="U8" s="204" t="str">
        <f>+Inputs!C28</f>
        <v>Rate Case Increments</v>
      </c>
      <c r="V8" s="205"/>
      <c r="W8" s="16"/>
    </row>
    <row r="9" spans="1:25" ht="15" customHeight="1" thickBot="1" x14ac:dyDescent="0.3">
      <c r="A9" s="31">
        <f t="shared" si="0"/>
        <v>3</v>
      </c>
      <c r="D9" s="28" t="s">
        <v>52</v>
      </c>
      <c r="E9" s="28" t="s">
        <v>54</v>
      </c>
      <c r="F9" s="28" t="s">
        <v>54</v>
      </c>
      <c r="G9" s="28" t="s">
        <v>56</v>
      </c>
      <c r="H9" s="4" t="s">
        <v>40</v>
      </c>
      <c r="I9" s="28" t="s">
        <v>155</v>
      </c>
      <c r="J9" s="7" t="s">
        <v>149</v>
      </c>
      <c r="K9" s="28"/>
      <c r="L9" s="4" t="s">
        <v>47</v>
      </c>
      <c r="M9" s="32" t="s">
        <v>36</v>
      </c>
      <c r="N9" s="33">
        <f>revsens</f>
        <v>4.1579999999999999E-2</v>
      </c>
      <c r="O9" s="34" t="s">
        <v>46</v>
      </c>
      <c r="P9" s="202"/>
      <c r="Q9" s="33">
        <f>revsens</f>
        <v>4.1579999999999999E-2</v>
      </c>
      <c r="R9" s="34" t="s">
        <v>46</v>
      </c>
      <c r="S9" s="202"/>
      <c r="T9" s="33">
        <f>revsens</f>
        <v>4.1579999999999999E-2</v>
      </c>
      <c r="U9" s="34" t="s">
        <v>46</v>
      </c>
      <c r="V9" s="202"/>
      <c r="W9" s="250"/>
    </row>
    <row r="10" spans="1:25" s="5" customFormat="1" ht="15" customHeight="1" thickBot="1" x14ac:dyDescent="0.3">
      <c r="A10" s="31">
        <f t="shared" si="0"/>
        <v>4</v>
      </c>
      <c r="B10" s="2"/>
      <c r="C10" s="2"/>
      <c r="D10" s="35" t="s">
        <v>49</v>
      </c>
      <c r="E10" s="35" t="s">
        <v>50</v>
      </c>
      <c r="F10" s="35" t="s">
        <v>68</v>
      </c>
      <c r="G10" s="35" t="s">
        <v>50</v>
      </c>
      <c r="H10" s="62" t="s">
        <v>41</v>
      </c>
      <c r="I10" s="35" t="s">
        <v>45</v>
      </c>
      <c r="J10" s="62" t="s">
        <v>130</v>
      </c>
      <c r="K10" s="35" t="s">
        <v>134</v>
      </c>
      <c r="L10" s="62" t="s">
        <v>45</v>
      </c>
      <c r="M10" s="36" t="s">
        <v>37</v>
      </c>
      <c r="N10" s="37">
        <f>IF(N9&lt;&gt;"N/A",ROUND(+N8/(1-N9),0),N8)</f>
        <v>-528296</v>
      </c>
      <c r="O10" s="157" t="str">
        <f>Inputs!F30</f>
        <v>All Customers</v>
      </c>
      <c r="P10" s="203"/>
      <c r="Q10" s="37">
        <f>IF(Q9&lt;&gt;"N/A",ROUND(+Q8/(1-Q9),0),Q8)</f>
        <v>0</v>
      </c>
      <c r="R10" s="157" t="str">
        <f>Inputs!F32</f>
        <v>All Customers</v>
      </c>
      <c r="S10" s="203"/>
      <c r="T10" s="37">
        <f>IF(T9&lt;&gt;"N/A",ROUND(+T8/(1-T9),0),T8)</f>
        <v>-2191106</v>
      </c>
      <c r="U10" s="157" t="str">
        <f>Inputs!F34</f>
        <v>All Customers</v>
      </c>
      <c r="V10" s="203"/>
      <c r="W10" s="16"/>
      <c r="X10" s="161"/>
    </row>
    <row r="11" spans="1:25" s="5" customFormat="1" ht="13.8" thickBot="1" x14ac:dyDescent="0.3">
      <c r="A11" s="31">
        <f t="shared" si="0"/>
        <v>5</v>
      </c>
      <c r="B11" s="2"/>
      <c r="C11" s="2"/>
      <c r="D11" s="6"/>
      <c r="E11" s="6"/>
      <c r="F11" s="6"/>
      <c r="G11" s="6"/>
      <c r="H11" s="4" t="s">
        <v>67</v>
      </c>
      <c r="I11" s="6"/>
      <c r="J11" s="4"/>
      <c r="K11" s="6"/>
      <c r="L11" s="481" t="s">
        <v>163</v>
      </c>
      <c r="M11" s="38"/>
      <c r="N11" s="39" t="s">
        <v>34</v>
      </c>
      <c r="O11" s="31" t="s">
        <v>156</v>
      </c>
      <c r="P11" s="206" t="s">
        <v>35</v>
      </c>
      <c r="Q11" s="39" t="s">
        <v>34</v>
      </c>
      <c r="R11" s="31" t="s">
        <v>156</v>
      </c>
      <c r="S11" s="206" t="s">
        <v>35</v>
      </c>
      <c r="T11" s="39" t="s">
        <v>34</v>
      </c>
      <c r="U11" s="31" t="s">
        <v>156</v>
      </c>
      <c r="V11" s="206" t="s">
        <v>35</v>
      </c>
      <c r="W11" s="130"/>
      <c r="X11" s="161"/>
    </row>
    <row r="12" spans="1:25" s="5" customFormat="1" x14ac:dyDescent="0.25">
      <c r="A12" s="31">
        <f t="shared" si="0"/>
        <v>6</v>
      </c>
      <c r="B12" s="40" t="s">
        <v>2</v>
      </c>
      <c r="C12" s="8" t="s">
        <v>3</v>
      </c>
      <c r="D12" s="9" t="s">
        <v>58</v>
      </c>
      <c r="E12" s="144" t="s">
        <v>59</v>
      </c>
      <c r="F12" s="144" t="s">
        <v>16</v>
      </c>
      <c r="G12" s="144" t="s">
        <v>60</v>
      </c>
      <c r="H12" s="144" t="s">
        <v>61</v>
      </c>
      <c r="I12" s="144" t="s">
        <v>157</v>
      </c>
      <c r="J12" s="144" t="s">
        <v>63</v>
      </c>
      <c r="K12" s="9" t="s">
        <v>64</v>
      </c>
      <c r="L12" s="482"/>
      <c r="M12" s="41"/>
      <c r="N12" s="42" t="s">
        <v>174</v>
      </c>
      <c r="O12" s="9" t="s">
        <v>181</v>
      </c>
      <c r="P12" s="201" t="s">
        <v>182</v>
      </c>
      <c r="Q12" s="42" t="s">
        <v>174</v>
      </c>
      <c r="R12" s="9" t="s">
        <v>181</v>
      </c>
      <c r="S12" s="201" t="s">
        <v>182</v>
      </c>
      <c r="T12" s="42" t="s">
        <v>174</v>
      </c>
      <c r="U12" s="9" t="s">
        <v>181</v>
      </c>
      <c r="V12" s="201" t="s">
        <v>182</v>
      </c>
      <c r="W12" s="244"/>
      <c r="X12" s="253"/>
      <c r="Y12" s="254" t="s">
        <v>201</v>
      </c>
    </row>
    <row r="13" spans="1:25" x14ac:dyDescent="0.25">
      <c r="A13" s="31">
        <f t="shared" si="0"/>
        <v>7</v>
      </c>
      <c r="B13" s="13" t="s">
        <v>4</v>
      </c>
      <c r="C13" s="10"/>
      <c r="D13" s="43">
        <f>+'Washington volumes'!F13</f>
        <v>196427</v>
      </c>
      <c r="E13" s="171">
        <f>+'Rates in detail'!I13</f>
        <v>1.1040100000000002</v>
      </c>
      <c r="F13" s="171">
        <f>+'Rates in detail'!E13+'Rates in detail'!F13+'Rates in detail'!G13</f>
        <v>0.31381000000000003</v>
      </c>
      <c r="G13" s="171">
        <f>'Rates in detail'!H13</f>
        <v>0.10571999999999999</v>
      </c>
      <c r="H13" s="171">
        <f>+E13-F13-G13</f>
        <v>0.68448000000000009</v>
      </c>
      <c r="I13" s="221">
        <f t="shared" ref="I13:I18" si="1">ROUND(H13*D13,0)</f>
        <v>134450</v>
      </c>
      <c r="J13" s="146">
        <f>+'Avg Bill by RS'!H13</f>
        <v>3.47</v>
      </c>
      <c r="K13" s="43">
        <f>+'Washington volumes'!H13</f>
        <v>860.33333333333337</v>
      </c>
      <c r="L13" s="222">
        <f t="shared" ref="L13:L18" si="2">ROUND(I13+(J13*K13*12),0)</f>
        <v>170274</v>
      </c>
      <c r="M13" s="44"/>
      <c r="N13" s="433">
        <v>1</v>
      </c>
      <c r="O13" s="210">
        <f t="shared" ref="O13:O19" si="3">ROUND(+$N$10*(($L13*N13)/N$75),0)</f>
        <v>-2236</v>
      </c>
      <c r="P13" s="45">
        <f t="shared" ref="P13:P19" si="4">IF(O13&lt;&gt;0,ROUND((O13/$I13)*$H13,5),ROUND((N$10/$I$75)*$H13*N13,5))</f>
        <v>-1.1379999999999999E-2</v>
      </c>
      <c r="Q13" s="433">
        <v>1</v>
      </c>
      <c r="R13" s="210">
        <f t="shared" ref="R13:R19" si="5">ROUND(+$Q$10*(($L13*Q13)/Q$75),0)</f>
        <v>0</v>
      </c>
      <c r="S13" s="45">
        <f t="shared" ref="S13:S19" si="6">IF(R13&lt;&gt;0,ROUND((R13/$I13)*$H13,5),ROUND((Q$10/$I$75)*$H13*Q13,5))</f>
        <v>0</v>
      </c>
      <c r="T13" s="433">
        <v>1</v>
      </c>
      <c r="U13" s="210">
        <f t="shared" ref="U13:U19" si="7">ROUND(+$T$10*(($L13*T13)/T$75),0)</f>
        <v>-9272</v>
      </c>
      <c r="V13" s="45">
        <f t="shared" ref="V13:V19" si="8">IF(U13&lt;&gt;0,ROUND((U13/$I13)*$H13,5),ROUND((T$10/$I$75)*$H13*T13,5))</f>
        <v>-4.7199999999999999E-2</v>
      </c>
      <c r="W13" s="16"/>
      <c r="X13" s="255"/>
      <c r="Y13" s="256">
        <f t="shared" ref="Y13:Y44" si="9">(P13+S13+V13)*D13</f>
        <v>-11506.693660000001</v>
      </c>
    </row>
    <row r="14" spans="1:25" x14ac:dyDescent="0.25">
      <c r="A14" s="31">
        <f t="shared" si="0"/>
        <v>8</v>
      </c>
      <c r="B14" s="13" t="s">
        <v>5</v>
      </c>
      <c r="C14" s="10"/>
      <c r="D14" s="43">
        <f>+'Washington volumes'!F14</f>
        <v>45533</v>
      </c>
      <c r="E14" s="172">
        <f>+'Rates in detail'!I14</f>
        <v>1.0863799999999997</v>
      </c>
      <c r="F14" s="172">
        <f>+'Rates in detail'!E14+'Rates in detail'!F14+'Rates in detail'!G14</f>
        <v>0.31381000000000003</v>
      </c>
      <c r="G14" s="172">
        <f>'Rates in detail'!H14</f>
        <v>8.8500000000000009E-2</v>
      </c>
      <c r="H14" s="172">
        <f t="shared" ref="H14:H72" si="10">+E14-F14-G14</f>
        <v>0.68406999999999962</v>
      </c>
      <c r="I14" s="222">
        <f t="shared" si="1"/>
        <v>31148</v>
      </c>
      <c r="J14" s="146">
        <f>+'Avg Bill by RS'!H14</f>
        <v>3.47</v>
      </c>
      <c r="K14" s="43">
        <f>+'Washington volumes'!H14</f>
        <v>36.916666666666664</v>
      </c>
      <c r="L14" s="222">
        <f t="shared" si="2"/>
        <v>32685</v>
      </c>
      <c r="M14" s="44"/>
      <c r="N14" s="433">
        <v>1</v>
      </c>
      <c r="O14" s="210">
        <f t="shared" si="3"/>
        <v>-429</v>
      </c>
      <c r="P14" s="45">
        <f t="shared" si="4"/>
        <v>-9.4199999999999996E-3</v>
      </c>
      <c r="Q14" s="433">
        <v>1</v>
      </c>
      <c r="R14" s="210">
        <f t="shared" si="5"/>
        <v>0</v>
      </c>
      <c r="S14" s="45">
        <f t="shared" si="6"/>
        <v>0</v>
      </c>
      <c r="T14" s="433">
        <v>1</v>
      </c>
      <c r="U14" s="210">
        <f t="shared" si="7"/>
        <v>-1780</v>
      </c>
      <c r="V14" s="45">
        <f t="shared" si="8"/>
        <v>-3.909E-2</v>
      </c>
      <c r="W14" s="16"/>
      <c r="X14" s="255"/>
      <c r="Y14" s="256">
        <f t="shared" si="9"/>
        <v>-2208.8058299999998</v>
      </c>
    </row>
    <row r="15" spans="1:25" x14ac:dyDescent="0.25">
      <c r="A15" s="31">
        <f t="shared" si="0"/>
        <v>9</v>
      </c>
      <c r="B15" s="13" t="s">
        <v>14</v>
      </c>
      <c r="C15" s="10"/>
      <c r="D15" s="43">
        <f>+'Washington volumes'!F15</f>
        <v>50439545</v>
      </c>
      <c r="E15" s="172">
        <f>+'Rates in detail'!I15</f>
        <v>0.7959299999999998</v>
      </c>
      <c r="F15" s="172">
        <f>+'Rates in detail'!E15+'Rates in detail'!F15+'Rates in detail'!G15</f>
        <v>0.31381000000000003</v>
      </c>
      <c r="G15" s="172">
        <f>'Rates in detail'!H15</f>
        <v>6.7580000000000001E-2</v>
      </c>
      <c r="H15" s="172">
        <f t="shared" si="10"/>
        <v>0.4145399999999998</v>
      </c>
      <c r="I15" s="222">
        <f t="shared" si="1"/>
        <v>20909209</v>
      </c>
      <c r="J15" s="146">
        <f>+'Avg Bill by RS'!H15</f>
        <v>7</v>
      </c>
      <c r="K15" s="43">
        <f>+'Washington volumes'!H15</f>
        <v>74643.833333333328</v>
      </c>
      <c r="L15" s="222">
        <f t="shared" si="2"/>
        <v>27179291</v>
      </c>
      <c r="M15" s="44"/>
      <c r="N15" s="433">
        <v>1</v>
      </c>
      <c r="O15" s="210">
        <f t="shared" si="3"/>
        <v>-356836</v>
      </c>
      <c r="P15" s="45">
        <f t="shared" si="4"/>
        <v>-7.0699999999999999E-3</v>
      </c>
      <c r="Q15" s="433">
        <v>1</v>
      </c>
      <c r="R15" s="210">
        <f t="shared" si="5"/>
        <v>0</v>
      </c>
      <c r="S15" s="45">
        <f t="shared" si="6"/>
        <v>0</v>
      </c>
      <c r="T15" s="433">
        <v>1</v>
      </c>
      <c r="U15" s="210">
        <f t="shared" si="7"/>
        <v>-1479977</v>
      </c>
      <c r="V15" s="45">
        <f t="shared" si="8"/>
        <v>-2.9340000000000001E-2</v>
      </c>
      <c r="W15" s="16"/>
      <c r="X15" s="255"/>
      <c r="Y15" s="256">
        <f t="shared" si="9"/>
        <v>-1836503.8334499998</v>
      </c>
    </row>
    <row r="16" spans="1:25" x14ac:dyDescent="0.25">
      <c r="A16" s="31">
        <f t="shared" si="0"/>
        <v>10</v>
      </c>
      <c r="B16" s="13" t="s">
        <v>12</v>
      </c>
      <c r="C16" s="10"/>
      <c r="D16" s="43">
        <f>+'Washington volumes'!F16</f>
        <v>16896372.415424868</v>
      </c>
      <c r="E16" s="172">
        <f>+'Rates in detail'!I16</f>
        <v>0.79337000000000013</v>
      </c>
      <c r="F16" s="172">
        <f>+'Rates in detail'!E16+'Rates in detail'!F16+'Rates in detail'!G16</f>
        <v>0.31381000000000003</v>
      </c>
      <c r="G16" s="172">
        <f>'Rates in detail'!H16</f>
        <v>6.0979999999999999E-2</v>
      </c>
      <c r="H16" s="172">
        <f t="shared" si="10"/>
        <v>0.41858000000000012</v>
      </c>
      <c r="I16" s="222">
        <f t="shared" si="1"/>
        <v>7072484</v>
      </c>
      <c r="J16" s="146">
        <f>+'Avg Bill by RS'!H16</f>
        <v>15</v>
      </c>
      <c r="K16" s="43">
        <f>+'Washington volumes'!H16</f>
        <v>6007.083333333333</v>
      </c>
      <c r="L16" s="222">
        <f t="shared" si="2"/>
        <v>8153759</v>
      </c>
      <c r="M16" s="44"/>
      <c r="N16" s="433">
        <v>1</v>
      </c>
      <c r="O16" s="210">
        <f t="shared" si="3"/>
        <v>-107050</v>
      </c>
      <c r="P16" s="45">
        <f t="shared" si="4"/>
        <v>-6.3400000000000001E-3</v>
      </c>
      <c r="Q16" s="433">
        <v>1</v>
      </c>
      <c r="R16" s="210">
        <f t="shared" si="5"/>
        <v>0</v>
      </c>
      <c r="S16" s="45">
        <f t="shared" si="6"/>
        <v>0</v>
      </c>
      <c r="T16" s="433">
        <v>1</v>
      </c>
      <c r="U16" s="210">
        <f t="shared" si="7"/>
        <v>-443991</v>
      </c>
      <c r="V16" s="45">
        <f t="shared" si="8"/>
        <v>-2.6280000000000001E-2</v>
      </c>
      <c r="W16" s="16"/>
      <c r="X16" s="255"/>
      <c r="Y16" s="256">
        <f t="shared" si="9"/>
        <v>-551159.66819115926</v>
      </c>
    </row>
    <row r="17" spans="1:25" x14ac:dyDescent="0.25">
      <c r="A17" s="31">
        <f t="shared" si="0"/>
        <v>11</v>
      </c>
      <c r="B17" s="13" t="s">
        <v>13</v>
      </c>
      <c r="C17" s="10"/>
      <c r="D17" s="43">
        <f>+'Washington volumes'!F17</f>
        <v>478558.2</v>
      </c>
      <c r="E17" s="172">
        <f>+'Rates in detail'!I17</f>
        <v>0.74225999999999959</v>
      </c>
      <c r="F17" s="172">
        <f>+'Rates in detail'!E17+'Rates in detail'!F17+'Rates in detail'!G17</f>
        <v>0.31381000000000003</v>
      </c>
      <c r="G17" s="172">
        <f>'Rates in detail'!H17</f>
        <v>9.9999999999999967E-3</v>
      </c>
      <c r="H17" s="172">
        <f t="shared" si="10"/>
        <v>0.41844999999999954</v>
      </c>
      <c r="I17" s="222">
        <f t="shared" si="1"/>
        <v>200253</v>
      </c>
      <c r="J17" s="146">
        <f>+'Avg Bill by RS'!H17</f>
        <v>15</v>
      </c>
      <c r="K17" s="43">
        <f>+'Washington volumes'!H17</f>
        <v>27.333333333333332</v>
      </c>
      <c r="L17" s="222">
        <f t="shared" si="2"/>
        <v>205173</v>
      </c>
      <c r="M17" s="44"/>
      <c r="N17" s="433">
        <v>1</v>
      </c>
      <c r="O17" s="210">
        <f t="shared" si="3"/>
        <v>-2694</v>
      </c>
      <c r="P17" s="45">
        <f t="shared" si="4"/>
        <v>-5.6299999999999996E-3</v>
      </c>
      <c r="Q17" s="433">
        <v>1</v>
      </c>
      <c r="R17" s="210">
        <f t="shared" si="5"/>
        <v>0</v>
      </c>
      <c r="S17" s="45">
        <f t="shared" si="6"/>
        <v>0</v>
      </c>
      <c r="T17" s="433">
        <v>1</v>
      </c>
      <c r="U17" s="210">
        <f t="shared" si="7"/>
        <v>-11172</v>
      </c>
      <c r="V17" s="45">
        <f t="shared" si="8"/>
        <v>-2.3349999999999999E-2</v>
      </c>
      <c r="W17" s="16"/>
      <c r="X17" s="255"/>
      <c r="Y17" s="256">
        <f t="shared" si="9"/>
        <v>-13868.616636000001</v>
      </c>
    </row>
    <row r="18" spans="1:25" x14ac:dyDescent="0.25">
      <c r="A18" s="31">
        <f t="shared" si="0"/>
        <v>12</v>
      </c>
      <c r="B18" s="51">
        <v>27</v>
      </c>
      <c r="C18" s="17"/>
      <c r="D18" s="43">
        <f>+'Washington volumes'!F18</f>
        <v>517229.53568450134</v>
      </c>
      <c r="E18" s="172">
        <f>+'Rates in detail'!I18</f>
        <v>0.61602999999999974</v>
      </c>
      <c r="F18" s="172">
        <f>+'Rates in detail'!E18+'Rates in detail'!F18+'Rates in detail'!G18</f>
        <v>0.31381000000000003</v>
      </c>
      <c r="G18" s="172">
        <f>'Rates in detail'!H18</f>
        <v>4.8019999999999993E-2</v>
      </c>
      <c r="H18" s="172">
        <f t="shared" si="10"/>
        <v>0.2541999999999997</v>
      </c>
      <c r="I18" s="222">
        <f t="shared" si="1"/>
        <v>131480</v>
      </c>
      <c r="J18" s="146">
        <f>+'Avg Bill by RS'!H18</f>
        <v>6</v>
      </c>
      <c r="K18" s="43">
        <f>+'Washington volumes'!H18</f>
        <v>786.5</v>
      </c>
      <c r="L18" s="222">
        <f t="shared" si="2"/>
        <v>188108</v>
      </c>
      <c r="M18" s="44"/>
      <c r="N18" s="433">
        <v>1</v>
      </c>
      <c r="O18" s="210">
        <f t="shared" si="3"/>
        <v>-2470</v>
      </c>
      <c r="P18" s="45">
        <f t="shared" si="4"/>
        <v>-4.7800000000000004E-3</v>
      </c>
      <c r="Q18" s="433">
        <v>1</v>
      </c>
      <c r="R18" s="210">
        <f t="shared" si="5"/>
        <v>0</v>
      </c>
      <c r="S18" s="45">
        <f t="shared" si="6"/>
        <v>0</v>
      </c>
      <c r="T18" s="433">
        <v>1</v>
      </c>
      <c r="U18" s="210">
        <f t="shared" si="7"/>
        <v>-10243</v>
      </c>
      <c r="V18" s="45">
        <f t="shared" si="8"/>
        <v>-1.9800000000000002E-2</v>
      </c>
      <c r="W18" s="16"/>
      <c r="X18" s="255"/>
      <c r="Y18" s="256">
        <f t="shared" si="9"/>
        <v>-12713.501987125044</v>
      </c>
    </row>
    <row r="19" spans="1:25" x14ac:dyDescent="0.25">
      <c r="A19" s="31">
        <f t="shared" si="0"/>
        <v>13</v>
      </c>
      <c r="B19" s="47" t="s">
        <v>166</v>
      </c>
      <c r="C19" s="15" t="s">
        <v>6</v>
      </c>
      <c r="D19" s="48">
        <f>+'Washington volumes'!F19</f>
        <v>1845820.9686654136</v>
      </c>
      <c r="E19" s="173">
        <f>+'Rates in detail'!I19</f>
        <v>0.55385000000000018</v>
      </c>
      <c r="F19" s="173">
        <f>+'Rates in detail'!E19+'Rates in detail'!F19+'Rates in detail'!G19</f>
        <v>0.20291000000000001</v>
      </c>
      <c r="G19" s="173">
        <f>'Rates in detail'!H19</f>
        <v>4.9299999999999997E-2</v>
      </c>
      <c r="H19" s="173">
        <f t="shared" si="10"/>
        <v>0.30164000000000013</v>
      </c>
      <c r="I19" s="223">
        <f>ROUND((+H19*D19)+(H20*D20),0)</f>
        <v>1041233</v>
      </c>
      <c r="J19" s="135">
        <f>+'Avg Bill by RS'!H19</f>
        <v>250</v>
      </c>
      <c r="K19" s="48">
        <f>+'Washington volumes'!H19</f>
        <v>88.333333333333329</v>
      </c>
      <c r="L19" s="223">
        <f>ROUND((+H19*D19)+(H20*D20)+(J19*K19*12),0)</f>
        <v>1306233</v>
      </c>
      <c r="M19" s="49"/>
      <c r="N19" s="434">
        <v>1</v>
      </c>
      <c r="O19" s="211">
        <f t="shared" si="3"/>
        <v>-17149</v>
      </c>
      <c r="P19" s="207">
        <f t="shared" si="4"/>
        <v>-4.9699999999999996E-3</v>
      </c>
      <c r="Q19" s="434">
        <v>1</v>
      </c>
      <c r="R19" s="211">
        <f t="shared" si="5"/>
        <v>0</v>
      </c>
      <c r="S19" s="207">
        <f t="shared" si="6"/>
        <v>0</v>
      </c>
      <c r="T19" s="434">
        <v>1</v>
      </c>
      <c r="U19" s="211">
        <f t="shared" si="7"/>
        <v>-71127</v>
      </c>
      <c r="V19" s="207">
        <f t="shared" si="8"/>
        <v>-2.061E-2</v>
      </c>
      <c r="W19" s="251"/>
      <c r="X19" s="255"/>
      <c r="Y19" s="256">
        <f t="shared" si="9"/>
        <v>-47216.100378461277</v>
      </c>
    </row>
    <row r="20" spans="1:25" x14ac:dyDescent="0.25">
      <c r="A20" s="31">
        <f t="shared" si="0"/>
        <v>14</v>
      </c>
      <c r="B20" s="51"/>
      <c r="C20" s="18" t="s">
        <v>7</v>
      </c>
      <c r="D20" s="43">
        <f>+'Washington volumes'!F20</f>
        <v>1822715.7411472078</v>
      </c>
      <c r="E20" s="172">
        <f>+'Rates in detail'!I20</f>
        <v>0.51288999999999996</v>
      </c>
      <c r="F20" s="172">
        <f>+'Rates in detail'!E20+'Rates in detail'!F20+'Rates in detail'!G20</f>
        <v>0.20291000000000001</v>
      </c>
      <c r="G20" s="172">
        <f>'Rates in detail'!H20</f>
        <v>4.4189999999999993E-2</v>
      </c>
      <c r="H20" s="172">
        <f t="shared" si="10"/>
        <v>0.26578999999999992</v>
      </c>
      <c r="I20" s="222"/>
      <c r="J20" s="138"/>
      <c r="K20" s="43"/>
      <c r="L20" s="222"/>
      <c r="M20" s="44"/>
      <c r="N20" s="433">
        <v>1</v>
      </c>
      <c r="O20" s="210"/>
      <c r="P20" s="45">
        <f>IF(O19&lt;&gt;0,ROUND((O19/$I19)*$H20,5),ROUND((N$10/$I$75)*$H20*N20,5))</f>
        <v>-4.3800000000000002E-3</v>
      </c>
      <c r="Q20" s="433">
        <v>1</v>
      </c>
      <c r="R20" s="210"/>
      <c r="S20" s="45">
        <f>IF(R19&lt;&gt;0,ROUND((R19/$I19)*$H20,5),ROUND((Q$10/$I$75)*$H20*Q20,5))</f>
        <v>0</v>
      </c>
      <c r="T20" s="433">
        <v>1</v>
      </c>
      <c r="U20" s="210"/>
      <c r="V20" s="45">
        <f>IF(U19&lt;&gt;0,ROUND((U19/$I19)*$H20,5),ROUND((T$10/$I$75)*$H20*T20,5))</f>
        <v>-1.8159999999999999E-2</v>
      </c>
      <c r="W20" s="16"/>
      <c r="X20" s="255"/>
      <c r="Y20" s="256">
        <f t="shared" si="9"/>
        <v>-41084.012805458056</v>
      </c>
    </row>
    <row r="21" spans="1:25" x14ac:dyDescent="0.25">
      <c r="A21" s="31">
        <f t="shared" si="0"/>
        <v>15</v>
      </c>
      <c r="B21" s="47" t="s">
        <v>167</v>
      </c>
      <c r="C21" s="15" t="s">
        <v>6</v>
      </c>
      <c r="D21" s="48">
        <f>+'Washington volumes'!F21</f>
        <v>0</v>
      </c>
      <c r="E21" s="173">
        <f>+'Rates in detail'!I21</f>
        <v>0.57010000000000005</v>
      </c>
      <c r="F21" s="173">
        <f>+'Rates in detail'!E21+'Rates in detail'!F21+'Rates in detail'!G21</f>
        <v>0.20291000000000001</v>
      </c>
      <c r="G21" s="173">
        <f>'Rates in detail'!H21</f>
        <v>6.5780000000000005E-2</v>
      </c>
      <c r="H21" s="173">
        <f>+E21-F21-G21</f>
        <v>0.30141000000000001</v>
      </c>
      <c r="I21" s="223">
        <f>ROUND((+H21*D21)+(H22*D22),0)</f>
        <v>0</v>
      </c>
      <c r="J21" s="135">
        <f>+'Avg Bill by RS'!H22</f>
        <v>250</v>
      </c>
      <c r="K21" s="48">
        <f>+'Washington volumes'!H21</f>
        <v>0</v>
      </c>
      <c r="L21" s="223">
        <f>ROUND((+H21*D21)+(H22*D22)+(J21*K21*12),0)</f>
        <v>0</v>
      </c>
      <c r="M21" s="49"/>
      <c r="N21" s="434">
        <v>1</v>
      </c>
      <c r="O21" s="211">
        <f>ROUND(+$N$10*(($L21*N21)/N$75),0)</f>
        <v>0</v>
      </c>
      <c r="P21" s="207">
        <f>IF(O21&lt;&gt;0,ROUND((O21/$I21)*$H21,5),ROUND((N$10/$I$75)*$H21*N21,5))</f>
        <v>-5.0200000000000002E-3</v>
      </c>
      <c r="Q21" s="434">
        <v>1</v>
      </c>
      <c r="R21" s="211">
        <f>ROUND(+$Q$10*(($L21*Q21)/Q$75),0)</f>
        <v>0</v>
      </c>
      <c r="S21" s="207">
        <f>IF(R21&lt;&gt;0,ROUND((R21/$I21)*$H21,5),ROUND((Q$10/$I$75)*$H21*Q21,5))</f>
        <v>0</v>
      </c>
      <c r="T21" s="434">
        <v>1</v>
      </c>
      <c r="U21" s="211">
        <f>ROUND(+$T$10*(($L21*T21)/T$75),0)</f>
        <v>0</v>
      </c>
      <c r="V21" s="207">
        <f>IF(U21&lt;&gt;0,ROUND((U21/$I21)*$H21,5),ROUND((T$10/$I$75)*$H21*T21,5))</f>
        <v>-2.0799999999999999E-2</v>
      </c>
      <c r="W21" s="251"/>
      <c r="X21" s="255"/>
      <c r="Y21" s="256">
        <f t="shared" si="9"/>
        <v>0</v>
      </c>
    </row>
    <row r="22" spans="1:25" x14ac:dyDescent="0.25">
      <c r="A22" s="31">
        <f t="shared" si="0"/>
        <v>16</v>
      </c>
      <c r="B22" s="51"/>
      <c r="C22" s="18" t="s">
        <v>7</v>
      </c>
      <c r="D22" s="43">
        <f>+'Washington volumes'!F22</f>
        <v>0</v>
      </c>
      <c r="E22" s="172">
        <f>+'Rates in detail'!I22</f>
        <v>0.52943999999999991</v>
      </c>
      <c r="F22" s="172">
        <f>+'Rates in detail'!E22+'Rates in detail'!F22+'Rates in detail'!G22</f>
        <v>0.20291000000000001</v>
      </c>
      <c r="G22" s="172">
        <f>'Rates in detail'!H22</f>
        <v>6.0969999999999996E-2</v>
      </c>
      <c r="H22" s="172">
        <f>+E22-F22-G22</f>
        <v>0.26555999999999991</v>
      </c>
      <c r="I22" s="222"/>
      <c r="J22" s="138"/>
      <c r="K22" s="43"/>
      <c r="L22" s="222"/>
      <c r="M22" s="44"/>
      <c r="N22" s="433">
        <v>1</v>
      </c>
      <c r="O22" s="210"/>
      <c r="P22" s="45">
        <f>IF(O21&lt;&gt;0,ROUND((O21/$I21)*$H22,5),ROUND((N$10/$I$75)*$H22*N22,5))</f>
        <v>-4.4200000000000003E-3</v>
      </c>
      <c r="Q22" s="433">
        <v>1</v>
      </c>
      <c r="R22" s="210"/>
      <c r="S22" s="45">
        <f>IF(R21&lt;&gt;0,ROUND((R21/$I21)*$H22,5),ROUND((Q$10/$I$75)*$H22*Q22,5))</f>
        <v>0</v>
      </c>
      <c r="T22" s="433">
        <v>1</v>
      </c>
      <c r="U22" s="210"/>
      <c r="V22" s="45">
        <f>IF(U21&lt;&gt;0,ROUND((U21/$I21)*$H22,5),ROUND((T$10/$I$75)*$H22*T22,5))</f>
        <v>-1.8329999999999999E-2</v>
      </c>
      <c r="W22" s="16"/>
      <c r="X22" s="255"/>
      <c r="Y22" s="256">
        <f t="shared" si="9"/>
        <v>0</v>
      </c>
    </row>
    <row r="23" spans="1:25" x14ac:dyDescent="0.25">
      <c r="A23" s="31">
        <f t="shared" si="0"/>
        <v>17</v>
      </c>
      <c r="B23" s="47" t="s">
        <v>109</v>
      </c>
      <c r="C23" s="15" t="s">
        <v>6</v>
      </c>
      <c r="D23" s="48">
        <f>+'Washington volumes'!F23</f>
        <v>373284</v>
      </c>
      <c r="E23" s="173">
        <f>+'Rates in detail'!I23</f>
        <v>0.30027999999999999</v>
      </c>
      <c r="F23" s="173">
        <f>+'Rates in detail'!E23+'Rates in detail'!F23+'Rates in detail'!G23</f>
        <v>0</v>
      </c>
      <c r="G23" s="173">
        <f>'Rates in detail'!H23</f>
        <v>-4.8999999999999998E-4</v>
      </c>
      <c r="H23" s="173">
        <f t="shared" si="10"/>
        <v>0.30076999999999998</v>
      </c>
      <c r="I23" s="223">
        <f>ROUND((+H23*D23)+(H24*D24),0)</f>
        <v>268663</v>
      </c>
      <c r="J23" s="135">
        <f>+'Avg Bill by RS'!H25</f>
        <v>500</v>
      </c>
      <c r="K23" s="48">
        <f>+'Washington volumes'!H23</f>
        <v>16.833333333333332</v>
      </c>
      <c r="L23" s="225">
        <f>ROUND((+H23*D23)+(H24*D24)+(J23*K23*12),0)</f>
        <v>369663</v>
      </c>
      <c r="M23" s="49"/>
      <c r="N23" s="434">
        <v>1</v>
      </c>
      <c r="O23" s="211">
        <f>ROUND(+$N$10*(($L23*N23)/N$75),0)</f>
        <v>-4853</v>
      </c>
      <c r="P23" s="207">
        <f>IF(O23&lt;&gt;0,ROUND((O23/$I23)*$H23,5),ROUND((N$10/$I$75)*$H23*N23,5))</f>
        <v>-5.4299999999999999E-3</v>
      </c>
      <c r="Q23" s="434">
        <v>1</v>
      </c>
      <c r="R23" s="211">
        <f>ROUND(+$Q$10*(($L23*Q23)/Q$75),0)</f>
        <v>0</v>
      </c>
      <c r="S23" s="207">
        <f>IF(R23&lt;&gt;0,ROUND((R23/$I23)*$H23,5),ROUND((Q$10/$I$75)*$H23*Q23,5))</f>
        <v>0</v>
      </c>
      <c r="T23" s="434">
        <v>1</v>
      </c>
      <c r="U23" s="211">
        <f>ROUND(+$T$10*(($L23*T23)/T$75),0)</f>
        <v>-20129</v>
      </c>
      <c r="V23" s="207">
        <f>IF(U23&lt;&gt;0,ROUND((U23/$I23)*$H23,5),ROUND((T$10/$I$75)*$H23*T23,5))</f>
        <v>-2.2530000000000001E-2</v>
      </c>
      <c r="W23" s="251"/>
      <c r="X23" s="255"/>
      <c r="Y23" s="256">
        <f t="shared" si="9"/>
        <v>-10437.020640000001</v>
      </c>
    </row>
    <row r="24" spans="1:25" x14ac:dyDescent="0.25">
      <c r="A24" s="31">
        <f t="shared" si="0"/>
        <v>18</v>
      </c>
      <c r="B24" s="51"/>
      <c r="C24" s="18" t="s">
        <v>7</v>
      </c>
      <c r="D24" s="43">
        <f>+'Washington volumes'!F24</f>
        <v>590151</v>
      </c>
      <c r="E24" s="172">
        <f>+'Rates in detail'!I24</f>
        <v>0.26457000000000003</v>
      </c>
      <c r="F24" s="172">
        <f>+'Rates in detail'!E24+'Rates in detail'!F24+'Rates in detail'!G24</f>
        <v>0</v>
      </c>
      <c r="G24" s="172">
        <f>'Rates in detail'!H24</f>
        <v>-4.2999999999999999E-4</v>
      </c>
      <c r="H24" s="172">
        <f t="shared" si="10"/>
        <v>0.26500000000000001</v>
      </c>
      <c r="I24" s="222"/>
      <c r="J24" s="138"/>
      <c r="K24" s="43"/>
      <c r="L24" s="222"/>
      <c r="M24" s="44"/>
      <c r="N24" s="433">
        <v>1</v>
      </c>
      <c r="O24" s="210"/>
      <c r="P24" s="45">
        <f>IF(O23&lt;&gt;0,ROUND((O23/$I23)*$H24,5),ROUND((N$10/$I$75)*$H24*N24,5))</f>
        <v>-4.79E-3</v>
      </c>
      <c r="Q24" s="433">
        <v>1</v>
      </c>
      <c r="R24" s="210"/>
      <c r="S24" s="45">
        <f>IF(R23&lt;&gt;0,ROUND((R23/$I23)*$H24,5),ROUND((Q$10/$I$75)*$H24*Q24,5))</f>
        <v>0</v>
      </c>
      <c r="T24" s="433">
        <v>1</v>
      </c>
      <c r="U24" s="210"/>
      <c r="V24" s="45">
        <f>IF(U23&lt;&gt;0,ROUND((U23/$I23)*$H24,5),ROUND((T$10/$I$75)*$H24*T24,5))</f>
        <v>-1.985E-2</v>
      </c>
      <c r="W24" s="16"/>
      <c r="X24" s="255"/>
      <c r="Y24" s="256">
        <f t="shared" si="9"/>
        <v>-14541.32064</v>
      </c>
    </row>
    <row r="25" spans="1:25" x14ac:dyDescent="0.25">
      <c r="A25" s="31">
        <f t="shared" si="0"/>
        <v>19</v>
      </c>
      <c r="B25" s="47" t="s">
        <v>168</v>
      </c>
      <c r="C25" s="15" t="s">
        <v>6</v>
      </c>
      <c r="D25" s="48">
        <f>+'Washington volumes'!F25</f>
        <v>322107.7</v>
      </c>
      <c r="E25" s="173">
        <f>+'Rates in detail'!I25</f>
        <v>0.51405000000000023</v>
      </c>
      <c r="F25" s="173">
        <f>+'Rates in detail'!E25+'Rates in detail'!F25+'Rates in detail'!G25</f>
        <v>0.20291000000000001</v>
      </c>
      <c r="G25" s="173">
        <f>'Rates in detail'!H25</f>
        <v>9.4599999999999962E-3</v>
      </c>
      <c r="H25" s="173">
        <f>+E25-F25-G25</f>
        <v>0.30168000000000017</v>
      </c>
      <c r="I25" s="223">
        <f>ROUND((+H25*D25)+(H26*D26),0)</f>
        <v>189298</v>
      </c>
      <c r="J25" s="135">
        <f>+'Avg Bill by RS'!H28</f>
        <v>250</v>
      </c>
      <c r="K25" s="48">
        <f>+'Washington volumes'!H25</f>
        <v>14.916666666666666</v>
      </c>
      <c r="L25" s="223">
        <f>ROUND((+H25*D25)+(H26*D26)+(J25*K25*12),0)</f>
        <v>234048</v>
      </c>
      <c r="M25" s="49"/>
      <c r="N25" s="434">
        <v>1</v>
      </c>
      <c r="O25" s="211">
        <f>ROUND(+$N$10*(($L25*N25)/N$75),0)</f>
        <v>-3073</v>
      </c>
      <c r="P25" s="207">
        <f>IF(O25&lt;&gt;0,ROUND((O25/$I25)*$H25,5),ROUND((N$10/$I$75)*$H25*N25,5))</f>
        <v>-4.8999999999999998E-3</v>
      </c>
      <c r="Q25" s="434">
        <v>1</v>
      </c>
      <c r="R25" s="211">
        <f>ROUND(+$Q$10*(($L25*Q25)/Q$75),0)</f>
        <v>0</v>
      </c>
      <c r="S25" s="207">
        <f>IF(R25&lt;&gt;0,ROUND((R25/$I25)*$H25,5),ROUND((Q$10/$I$75)*$H25*Q25,5))</f>
        <v>0</v>
      </c>
      <c r="T25" s="434">
        <v>1</v>
      </c>
      <c r="U25" s="211">
        <f>ROUND(+$T$10*(($L25*T25)/T$75),0)</f>
        <v>-12744</v>
      </c>
      <c r="V25" s="207">
        <f>IF(U25&lt;&gt;0,ROUND((U25/$I25)*$H25,5),ROUND((T$10/$I$75)*$H25*T25,5))</f>
        <v>-2.0310000000000002E-2</v>
      </c>
      <c r="W25" s="251"/>
      <c r="X25" s="255"/>
      <c r="Y25" s="256">
        <f t="shared" si="9"/>
        <v>-8120.3351170000014</v>
      </c>
    </row>
    <row r="26" spans="1:25" x14ac:dyDescent="0.25">
      <c r="A26" s="31">
        <f t="shared" si="0"/>
        <v>20</v>
      </c>
      <c r="B26" s="51"/>
      <c r="C26" s="18" t="s">
        <v>7</v>
      </c>
      <c r="D26" s="43">
        <f>+'Washington volumes'!F26</f>
        <v>346566.6999999999</v>
      </c>
      <c r="E26" s="172">
        <f>+'Rates in detail'!I26</f>
        <v>0.47782999999999987</v>
      </c>
      <c r="F26" s="172">
        <f>+'Rates in detail'!E26+'Rates in detail'!F26+'Rates in detail'!G26</f>
        <v>0.20291000000000001</v>
      </c>
      <c r="G26" s="172">
        <f>'Rates in detail'!H26</f>
        <v>9.099999999999997E-3</v>
      </c>
      <c r="H26" s="172">
        <f>+E26-F26-G26</f>
        <v>0.26581999999999983</v>
      </c>
      <c r="I26" s="222"/>
      <c r="J26" s="138"/>
      <c r="K26" s="43"/>
      <c r="L26" s="222"/>
      <c r="M26" s="44"/>
      <c r="N26" s="433">
        <v>1</v>
      </c>
      <c r="O26" s="210"/>
      <c r="P26" s="45">
        <f>IF(O25&lt;&gt;0,ROUND((O25/$I25)*$H26,5),ROUND((N$10/$I$75)*$H26*N26,5))</f>
        <v>-4.3200000000000001E-3</v>
      </c>
      <c r="Q26" s="433">
        <v>1</v>
      </c>
      <c r="R26" s="210"/>
      <c r="S26" s="45">
        <f>IF(R25&lt;&gt;0,ROUND((R25/$I25)*$H26,5),ROUND((Q$10/$I$75)*$H26*Q26,5))</f>
        <v>0</v>
      </c>
      <c r="T26" s="433">
        <v>1</v>
      </c>
      <c r="U26" s="210"/>
      <c r="V26" s="45">
        <f>IF(U25&lt;&gt;0,ROUND((U25/$I25)*$H26,5),ROUND((T$10/$I$75)*$H26*T26,5))</f>
        <v>-1.7899999999999999E-2</v>
      </c>
      <c r="W26" s="16"/>
      <c r="X26" s="255"/>
      <c r="Y26" s="256">
        <f t="shared" si="9"/>
        <v>-7700.7120739999973</v>
      </c>
    </row>
    <row r="27" spans="1:25" x14ac:dyDescent="0.25">
      <c r="A27" s="31">
        <f t="shared" si="0"/>
        <v>21</v>
      </c>
      <c r="B27" s="47" t="s">
        <v>169</v>
      </c>
      <c r="C27" s="15" t="s">
        <v>6</v>
      </c>
      <c r="D27" s="48">
        <f>+'Washington volumes'!F27</f>
        <v>0</v>
      </c>
      <c r="E27" s="173">
        <f>+'Rates in detail'!I27</f>
        <v>0.53268000000000004</v>
      </c>
      <c r="F27" s="173">
        <f>+'Rates in detail'!E27+'Rates in detail'!F27+'Rates in detail'!G27</f>
        <v>0.20291000000000001</v>
      </c>
      <c r="G27" s="173">
        <f>'Rates in detail'!H27</f>
        <v>2.8359999999999996E-2</v>
      </c>
      <c r="H27" s="173">
        <f t="shared" si="10"/>
        <v>0.30141000000000001</v>
      </c>
      <c r="I27" s="223">
        <f>ROUND((+H27*D27)+(H28*D28),0)</f>
        <v>0</v>
      </c>
      <c r="J27" s="135">
        <f>+'Avg Bill by RS'!H31</f>
        <v>250</v>
      </c>
      <c r="K27" s="48">
        <f>+'Washington volumes'!H27</f>
        <v>0</v>
      </c>
      <c r="L27" s="225">
        <f>ROUND((+H27*D27)+(H28*D28)+(J27*K27*12),0)</f>
        <v>0</v>
      </c>
      <c r="M27" s="49"/>
      <c r="N27" s="434">
        <v>1</v>
      </c>
      <c r="O27" s="211">
        <f>ROUND(+$N$10*(($L27*N27)/N$75),0)</f>
        <v>0</v>
      </c>
      <c r="P27" s="207">
        <f>IF(O27&lt;&gt;0,ROUND((O27/$I27)*$H27,5),ROUND((N$10/$I$75)*$H27*N27,5))</f>
        <v>-5.0200000000000002E-3</v>
      </c>
      <c r="Q27" s="434">
        <v>1</v>
      </c>
      <c r="R27" s="211">
        <f>ROUND(+$Q$10*(($L27*Q27)/Q$75),0)</f>
        <v>0</v>
      </c>
      <c r="S27" s="207">
        <f>IF(R27&lt;&gt;0,ROUND((R27/$I27)*$H27,5),ROUND((Q$10/$I$75)*$H27*Q27,5))</f>
        <v>0</v>
      </c>
      <c r="T27" s="434">
        <v>1</v>
      </c>
      <c r="U27" s="211">
        <f>ROUND(+$T$10*(($L27*T27)/T$75),0)</f>
        <v>0</v>
      </c>
      <c r="V27" s="207">
        <f>IF(U27&lt;&gt;0,ROUND((U27/$I27)*$H27,5),ROUND((T$10/$I$75)*$H27*T27,5))</f>
        <v>-2.0799999999999999E-2</v>
      </c>
      <c r="W27" s="251"/>
      <c r="X27" s="255"/>
      <c r="Y27" s="256">
        <f t="shared" si="9"/>
        <v>0</v>
      </c>
    </row>
    <row r="28" spans="1:25" x14ac:dyDescent="0.25">
      <c r="A28" s="31">
        <f t="shared" si="0"/>
        <v>22</v>
      </c>
      <c r="B28" s="51"/>
      <c r="C28" s="18" t="s">
        <v>7</v>
      </c>
      <c r="D28" s="43">
        <f>+'Washington volumes'!F28</f>
        <v>0</v>
      </c>
      <c r="E28" s="172">
        <f>+'Rates in detail'!I28</f>
        <v>0.49646999999999997</v>
      </c>
      <c r="F28" s="172">
        <f>+'Rates in detail'!E28+'Rates in detail'!F28+'Rates in detail'!G28</f>
        <v>0.20291000000000001</v>
      </c>
      <c r="G28" s="172">
        <f>'Rates in detail'!H28</f>
        <v>2.7999999999999997E-2</v>
      </c>
      <c r="H28" s="172">
        <f t="shared" si="10"/>
        <v>0.26555999999999991</v>
      </c>
      <c r="I28" s="222"/>
      <c r="J28" s="138"/>
      <c r="K28" s="43"/>
      <c r="L28" s="222"/>
      <c r="M28" s="44"/>
      <c r="N28" s="433">
        <v>1</v>
      </c>
      <c r="O28" s="210"/>
      <c r="P28" s="45">
        <f>IF(O27&lt;&gt;0,ROUND((O27/$I27)*$H28,5),ROUND((N$10/$I$75)*$H28*N28,5))</f>
        <v>-4.4200000000000003E-3</v>
      </c>
      <c r="Q28" s="433">
        <v>1</v>
      </c>
      <c r="R28" s="210"/>
      <c r="S28" s="45">
        <f>IF(R27&lt;&gt;0,ROUND((R27/$I27)*$H28,5),ROUND((Q$10/$I$75)*$H28*Q28,5))</f>
        <v>0</v>
      </c>
      <c r="T28" s="433">
        <v>1</v>
      </c>
      <c r="U28" s="210"/>
      <c r="V28" s="45">
        <f>IF(U27&lt;&gt;0,ROUND((U27/$I27)*$H28,5),ROUND((T$10/$I$75)*$H28*T28,5))</f>
        <v>-1.8329999999999999E-2</v>
      </c>
      <c r="W28" s="16"/>
      <c r="X28" s="255"/>
      <c r="Y28" s="256">
        <f t="shared" si="9"/>
        <v>0</v>
      </c>
    </row>
    <row r="29" spans="1:25" x14ac:dyDescent="0.25">
      <c r="A29" s="31">
        <f t="shared" si="0"/>
        <v>23</v>
      </c>
      <c r="B29" s="47" t="s">
        <v>110</v>
      </c>
      <c r="C29" s="15" t="s">
        <v>6</v>
      </c>
      <c r="D29" s="48">
        <f>+'Washington volumes'!F29</f>
        <v>375116.70374643942</v>
      </c>
      <c r="E29" s="173">
        <f>+'Rates in detail'!I29</f>
        <v>0.35133999999999999</v>
      </c>
      <c r="F29" s="173">
        <f>+'Rates in detail'!E29+'Rates in detail'!F29+'Rates in detail'!G29</f>
        <v>0.20291000000000001</v>
      </c>
      <c r="G29" s="173">
        <f>'Rates in detail'!H29</f>
        <v>2.9659999999999995E-2</v>
      </c>
      <c r="H29" s="173">
        <f t="shared" si="10"/>
        <v>0.11876999999999999</v>
      </c>
      <c r="I29" s="223">
        <f>ROUND((+H29*D29)+(H30*D30)+(H31*D31)+(H32*D32)+(H33*D33)+(H34*D34),0)</f>
        <v>82221</v>
      </c>
      <c r="J29" s="135">
        <f>+'Avg Bill by RS'!H34</f>
        <v>1300</v>
      </c>
      <c r="K29" s="48">
        <f>+'Washington volumes'!H29</f>
        <v>5.75</v>
      </c>
      <c r="L29" s="223">
        <f>ROUND((+H29*D29)+(H30*D30)+(H31*D31)+(H32*D32)+(H33*D33)+(H34*D34)+(J29*K29*12),0)</f>
        <v>171921</v>
      </c>
      <c r="M29" s="49"/>
      <c r="N29" s="434">
        <v>1</v>
      </c>
      <c r="O29" s="212">
        <f>ROUND(+$N$10*(($L29*N29)/N$75),0)</f>
        <v>-2257</v>
      </c>
      <c r="P29" s="208">
        <f>IF(O29&lt;&gt;0,ROUND((O29/$I29)*$H29,5),ROUND((N$10/$I$75)*$H29*N29,5))</f>
        <v>-3.2599999999999999E-3</v>
      </c>
      <c r="Q29" s="434">
        <v>1</v>
      </c>
      <c r="R29" s="212">
        <f>ROUND(+$Q$10*(($L29*Q29)/Q$75),0)</f>
        <v>0</v>
      </c>
      <c r="S29" s="208">
        <f>IF(R29&lt;&gt;0,ROUND((R29/$I29)*$H29,5),ROUND((Q$10/$I$75)*$H29*Q29,5))</f>
        <v>0</v>
      </c>
      <c r="T29" s="434">
        <v>1</v>
      </c>
      <c r="U29" s="212">
        <f>ROUND(+$T$10*(($L29*T29)/T$75),0)</f>
        <v>-9362</v>
      </c>
      <c r="V29" s="208">
        <f>IF(U29&lt;&gt;0,ROUND((U29/$I29)*$H29,5),ROUND((T$10/$I$75)*$H29*T29,5))</f>
        <v>-1.3520000000000001E-2</v>
      </c>
      <c r="W29" s="252"/>
      <c r="X29" s="255"/>
      <c r="Y29" s="256">
        <f t="shared" si="9"/>
        <v>-6294.4582888652531</v>
      </c>
    </row>
    <row r="30" spans="1:25" x14ac:dyDescent="0.25">
      <c r="A30" s="31">
        <f t="shared" si="0"/>
        <v>24</v>
      </c>
      <c r="B30" s="47"/>
      <c r="C30" s="15" t="s">
        <v>7</v>
      </c>
      <c r="D30" s="48">
        <f>+'Washington volumes'!F30</f>
        <v>296540.09891768522</v>
      </c>
      <c r="E30" s="173">
        <f>+'Rates in detail'!I30</f>
        <v>0.33645999999999976</v>
      </c>
      <c r="F30" s="173">
        <f>+'Rates in detail'!E30+'Rates in detail'!F30+'Rates in detail'!G30</f>
        <v>0.20291000000000001</v>
      </c>
      <c r="G30" s="173">
        <f>'Rates in detail'!H30</f>
        <v>2.7229999999999997E-2</v>
      </c>
      <c r="H30" s="173">
        <f t="shared" si="10"/>
        <v>0.10631999999999975</v>
      </c>
      <c r="I30" s="224"/>
      <c r="J30" s="135"/>
      <c r="K30" s="48"/>
      <c r="L30" s="224"/>
      <c r="M30" s="49"/>
      <c r="N30" s="434">
        <v>1</v>
      </c>
      <c r="O30" s="213"/>
      <c r="P30" s="50">
        <f>IF(O29&lt;&gt;0,ROUND((O29/$I29)*$H30,5),ROUND((N$10/$I$75)*$H30*N30,5))</f>
        <v>-2.9199999999999999E-3</v>
      </c>
      <c r="Q30" s="434">
        <v>1</v>
      </c>
      <c r="R30" s="213"/>
      <c r="S30" s="50">
        <f>IF(R29&lt;&gt;0,ROUND((R29/$I29)*$H30,5),ROUND((Q$10/$I$75)*$H30*Q30,5))</f>
        <v>0</v>
      </c>
      <c r="T30" s="434">
        <v>1</v>
      </c>
      <c r="U30" s="213"/>
      <c r="V30" s="50">
        <f>IF(U29&lt;&gt;0,ROUND((U29/$I29)*$H30,5),ROUND((T$10/$I$75)*$H30*T30,5))</f>
        <v>-1.2109999999999999E-2</v>
      </c>
      <c r="W30" s="16"/>
      <c r="X30" s="255"/>
      <c r="Y30" s="256">
        <f t="shared" si="9"/>
        <v>-4456.9976867328087</v>
      </c>
    </row>
    <row r="31" spans="1:25" x14ac:dyDescent="0.25">
      <c r="A31" s="31">
        <f t="shared" si="0"/>
        <v>25</v>
      </c>
      <c r="B31" s="47"/>
      <c r="C31" s="15" t="s">
        <v>8</v>
      </c>
      <c r="D31" s="48">
        <f>+'Washington volumes'!F31</f>
        <v>74345.195918210724</v>
      </c>
      <c r="E31" s="173">
        <f>+'Rates in detail'!I31</f>
        <v>0.30681999999999993</v>
      </c>
      <c r="F31" s="173">
        <f>+'Rates in detail'!E31+'Rates in detail'!F31+'Rates in detail'!G31</f>
        <v>0.20291000000000001</v>
      </c>
      <c r="G31" s="173">
        <f>'Rates in detail'!H31</f>
        <v>2.2369999999999998E-2</v>
      </c>
      <c r="H31" s="173">
        <f t="shared" si="10"/>
        <v>8.1539999999999918E-2</v>
      </c>
      <c r="I31" s="224"/>
      <c r="J31" s="135"/>
      <c r="K31" s="48"/>
      <c r="L31" s="224"/>
      <c r="M31" s="49"/>
      <c r="N31" s="434">
        <v>1</v>
      </c>
      <c r="O31" s="213"/>
      <c r="P31" s="50">
        <f>IF(O29&lt;&gt;0,ROUND((O29/$I29)*$H31,5),ROUND((N$10/$I$75)*$H31*N31,5))</f>
        <v>-2.2399999999999998E-3</v>
      </c>
      <c r="Q31" s="434">
        <v>1</v>
      </c>
      <c r="R31" s="213"/>
      <c r="S31" s="50">
        <f>IF(R29&lt;&gt;0,ROUND((R29/$I29)*$H31,5),ROUND((Q$10/$I$75)*$H31*Q31,5))</f>
        <v>0</v>
      </c>
      <c r="T31" s="434">
        <v>1</v>
      </c>
      <c r="U31" s="213"/>
      <c r="V31" s="50">
        <f>IF(U29&lt;&gt;0,ROUND((U29/$I29)*$H31,5),ROUND((T$10/$I$75)*$H31*T31,5))</f>
        <v>-9.2800000000000001E-3</v>
      </c>
      <c r="W31" s="16"/>
      <c r="X31" s="255"/>
      <c r="Y31" s="256">
        <f t="shared" si="9"/>
        <v>-856.45665697778747</v>
      </c>
    </row>
    <row r="32" spans="1:25" x14ac:dyDescent="0.25">
      <c r="A32" s="31">
        <f t="shared" si="0"/>
        <v>26</v>
      </c>
      <c r="B32" s="47"/>
      <c r="C32" s="15" t="s">
        <v>9</v>
      </c>
      <c r="D32" s="48">
        <f>+'Washington volumes'!F32</f>
        <v>1196.8591974909189</v>
      </c>
      <c r="E32" s="173">
        <f>+'Rates in detail'!I32</f>
        <v>0.28731000000000023</v>
      </c>
      <c r="F32" s="173">
        <f>+'Rates in detail'!E32+'Rates in detail'!F32+'Rates in detail'!G32</f>
        <v>0.20291000000000001</v>
      </c>
      <c r="G32" s="173">
        <f>'Rates in detail'!H32</f>
        <v>1.9169999999999996E-2</v>
      </c>
      <c r="H32" s="173">
        <f t="shared" si="10"/>
        <v>6.5230000000000232E-2</v>
      </c>
      <c r="I32" s="224"/>
      <c r="J32" s="135"/>
      <c r="K32" s="48"/>
      <c r="L32" s="224"/>
      <c r="M32" s="49"/>
      <c r="N32" s="434">
        <v>1</v>
      </c>
      <c r="O32" s="213"/>
      <c r="P32" s="50">
        <f>IF(O29&lt;&gt;0,ROUND((O29/$I29)*$H32,5),ROUND((N$10/$I$75)*$H32*N32,5))</f>
        <v>-1.7899999999999999E-3</v>
      </c>
      <c r="Q32" s="434">
        <v>1</v>
      </c>
      <c r="R32" s="213"/>
      <c r="S32" s="50">
        <f>IF(R29&lt;&gt;0,ROUND((R29/$I29)*$H32,5),ROUND((Q$10/$I$75)*$H32*Q32,5))</f>
        <v>0</v>
      </c>
      <c r="T32" s="434">
        <v>1</v>
      </c>
      <c r="U32" s="213"/>
      <c r="V32" s="50">
        <f>IF(U29&lt;&gt;0,ROUND((U29/$I29)*$H32,5),ROUND((T$10/$I$75)*$H32*T32,5))</f>
        <v>-7.43E-3</v>
      </c>
      <c r="W32" s="16"/>
      <c r="X32" s="255"/>
      <c r="Y32" s="256">
        <f t="shared" si="9"/>
        <v>-11.035041800866271</v>
      </c>
    </row>
    <row r="33" spans="1:25" x14ac:dyDescent="0.25">
      <c r="A33" s="31">
        <f t="shared" si="0"/>
        <v>27</v>
      </c>
      <c r="B33" s="47"/>
      <c r="C33" s="15" t="s">
        <v>10</v>
      </c>
      <c r="D33" s="48">
        <f>+'Washington volumes'!F33</f>
        <v>0</v>
      </c>
      <c r="E33" s="173">
        <f>+'Rates in detail'!I33</f>
        <v>0.26129999999999992</v>
      </c>
      <c r="F33" s="173">
        <f>+'Rates in detail'!E33+'Rates in detail'!F33+'Rates in detail'!G33</f>
        <v>0.20291000000000001</v>
      </c>
      <c r="G33" s="173">
        <f>'Rates in detail'!H33</f>
        <v>1.4909999999999998E-2</v>
      </c>
      <c r="H33" s="173">
        <f t="shared" si="10"/>
        <v>4.3479999999999915E-2</v>
      </c>
      <c r="I33" s="224"/>
      <c r="J33" s="135"/>
      <c r="K33" s="48"/>
      <c r="L33" s="224"/>
      <c r="M33" s="49"/>
      <c r="N33" s="434">
        <v>1</v>
      </c>
      <c r="O33" s="213"/>
      <c r="P33" s="50">
        <f>IF(O29&lt;&gt;0,ROUND((O29/$I29)*$H33,5),ROUND((N$10/$I$75)*$H33*N33,5))</f>
        <v>-1.1900000000000001E-3</v>
      </c>
      <c r="Q33" s="434">
        <v>1</v>
      </c>
      <c r="R33" s="213"/>
      <c r="S33" s="50">
        <f>IF(R29&lt;&gt;0,ROUND((R29/$I29)*$H33,5),ROUND((Q$10/$I$75)*$H33*Q33,5))</f>
        <v>0</v>
      </c>
      <c r="T33" s="434">
        <v>1</v>
      </c>
      <c r="U33" s="213"/>
      <c r="V33" s="50">
        <f>IF(U29&lt;&gt;0,ROUND((U29/$I29)*$H33,5),ROUND((T$10/$I$75)*$H33*T33,5))</f>
        <v>-4.9500000000000004E-3</v>
      </c>
      <c r="W33" s="16"/>
      <c r="X33" s="255"/>
      <c r="Y33" s="256">
        <f t="shared" si="9"/>
        <v>0</v>
      </c>
    </row>
    <row r="34" spans="1:25" x14ac:dyDescent="0.25">
      <c r="A34" s="31">
        <f t="shared" si="0"/>
        <v>28</v>
      </c>
      <c r="B34" s="51"/>
      <c r="C34" s="18" t="s">
        <v>11</v>
      </c>
      <c r="D34" s="43">
        <f>+'Washington volumes'!F34</f>
        <v>0</v>
      </c>
      <c r="E34" s="172">
        <f>+'Rates in detail'!I34</f>
        <v>0.22878000000000007</v>
      </c>
      <c r="F34" s="172">
        <f>+'Rates in detail'!E34+'Rates in detail'!F34+'Rates in detail'!G34</f>
        <v>0.20291000000000001</v>
      </c>
      <c r="G34" s="172">
        <f>'Rates in detail'!H34</f>
        <v>9.5699999999999969E-3</v>
      </c>
      <c r="H34" s="172">
        <f t="shared" si="10"/>
        <v>1.6300000000000064E-2</v>
      </c>
      <c r="I34" s="222"/>
      <c r="J34" s="138"/>
      <c r="K34" s="43"/>
      <c r="L34" s="222"/>
      <c r="M34" s="44"/>
      <c r="N34" s="433">
        <v>1</v>
      </c>
      <c r="O34" s="210"/>
      <c r="P34" s="45">
        <f>IF(O29&lt;&gt;0,ROUND((O29/$I29)*$H34,5),ROUND((N$10/$I$75)*$H34*N34,5))</f>
        <v>-4.4999999999999999E-4</v>
      </c>
      <c r="Q34" s="433">
        <v>1</v>
      </c>
      <c r="R34" s="210"/>
      <c r="S34" s="45">
        <f>IF(R29&lt;&gt;0,ROUND((R29/$I29)*$H34,5),ROUND((Q$10/$I$75)*$H34*Q34,5))</f>
        <v>0</v>
      </c>
      <c r="T34" s="433">
        <v>1</v>
      </c>
      <c r="U34" s="210"/>
      <c r="V34" s="45">
        <f>IF(U29&lt;&gt;0,ROUND((U29/$I29)*$H34,5),ROUND((T$10/$I$75)*$H34*T34,5))</f>
        <v>-1.8600000000000001E-3</v>
      </c>
      <c r="W34" s="16"/>
      <c r="X34" s="255"/>
      <c r="Y34" s="256">
        <f t="shared" si="9"/>
        <v>0</v>
      </c>
    </row>
    <row r="35" spans="1:25" x14ac:dyDescent="0.25">
      <c r="A35" s="31">
        <f t="shared" si="0"/>
        <v>29</v>
      </c>
      <c r="B35" s="47" t="s">
        <v>111</v>
      </c>
      <c r="C35" s="15" t="s">
        <v>6</v>
      </c>
      <c r="D35" s="48">
        <f>+'Washington volumes'!F35</f>
        <v>1116842.3999999999</v>
      </c>
      <c r="E35" s="173">
        <f>+'Rates in detail'!I35</f>
        <v>0.32991000000000004</v>
      </c>
      <c r="F35" s="173">
        <f>+'Rates in detail'!E35+'Rates in detail'!F35+'Rates in detail'!G35</f>
        <v>0.20291000000000001</v>
      </c>
      <c r="G35" s="173">
        <f>'Rates in detail'!H35</f>
        <v>8.289999999999997E-3</v>
      </c>
      <c r="H35" s="173">
        <f t="shared" si="10"/>
        <v>0.11871000000000004</v>
      </c>
      <c r="I35" s="223">
        <f>ROUND((+H35*D35)+(H36*D36)+(H37*D37)+(H38*D38)+(H39*D39)+(H40*D40),0)</f>
        <v>215641</v>
      </c>
      <c r="J35" s="135">
        <f>+'Avg Bill by RS'!H41</f>
        <v>1300</v>
      </c>
      <c r="K35" s="48">
        <f>+'Washington volumes'!H35</f>
        <v>11.833333333333334</v>
      </c>
      <c r="L35" s="223">
        <f>ROUND((+H35*D35)+(H36*D36)+(H37*D37)+(H38*D38)+(H39*D39)+(H40*D40)+(J35*K35*12),0)</f>
        <v>400241</v>
      </c>
      <c r="M35" s="49"/>
      <c r="N35" s="434">
        <v>1</v>
      </c>
      <c r="O35" s="212">
        <f>ROUND(+$N$10*(($L35*N35)/N$75),0)</f>
        <v>-5255</v>
      </c>
      <c r="P35" s="208">
        <f>IF(O35&lt;&gt;0,ROUND((O35/$I35)*$H35,5),ROUND((N$10/$I$75)*$H35*N35,5))</f>
        <v>-2.8900000000000002E-3</v>
      </c>
      <c r="Q35" s="434">
        <v>1</v>
      </c>
      <c r="R35" s="212">
        <f>ROUND(+$Q$10*(($L35*Q35)/Q$75),0)</f>
        <v>0</v>
      </c>
      <c r="S35" s="208">
        <f>IF(R35&lt;&gt;0,ROUND((R35/$I35)*$H35,5),ROUND((Q$10/$I$75)*$H35*Q35,5))</f>
        <v>0</v>
      </c>
      <c r="T35" s="434">
        <v>1</v>
      </c>
      <c r="U35" s="212">
        <f>ROUND(+$T$10*(($L35*T35)/T$75),0)</f>
        <v>-21794</v>
      </c>
      <c r="V35" s="208">
        <f>IF(U35&lt;&gt;0,ROUND((U35/$I35)*$H35,5),ROUND((T$10/$I$75)*$H35*T35,5))</f>
        <v>-1.2E-2</v>
      </c>
      <c r="W35" s="252"/>
      <c r="X35" s="255"/>
      <c r="Y35" s="256">
        <f t="shared" si="9"/>
        <v>-16629.783336</v>
      </c>
    </row>
    <row r="36" spans="1:25" x14ac:dyDescent="0.25">
      <c r="A36" s="31">
        <f t="shared" si="0"/>
        <v>30</v>
      </c>
      <c r="B36" s="47"/>
      <c r="C36" s="15" t="s">
        <v>7</v>
      </c>
      <c r="D36" s="48">
        <f>+'Washington volumes'!F36</f>
        <v>718678.6</v>
      </c>
      <c r="E36" s="173">
        <f>+'Rates in detail'!I36</f>
        <v>0.31727000000000005</v>
      </c>
      <c r="F36" s="173">
        <f>+'Rates in detail'!E36+'Rates in detail'!F36+'Rates in detail'!G36</f>
        <v>0.20291000000000001</v>
      </c>
      <c r="G36" s="173">
        <f>'Rates in detail'!H36</f>
        <v>8.0999999999999961E-3</v>
      </c>
      <c r="H36" s="173">
        <f t="shared" si="10"/>
        <v>0.10626000000000005</v>
      </c>
      <c r="I36" s="224"/>
      <c r="J36" s="135"/>
      <c r="K36" s="48"/>
      <c r="L36" s="224"/>
      <c r="M36" s="49"/>
      <c r="N36" s="434">
        <v>1</v>
      </c>
      <c r="O36" s="213"/>
      <c r="P36" s="50">
        <f>IF(O35&lt;&gt;0,ROUND((O35/$I35)*$H36,5),ROUND((N$10/$I$75)*$H36*N36,5))</f>
        <v>-2.5899999999999999E-3</v>
      </c>
      <c r="Q36" s="434">
        <v>1</v>
      </c>
      <c r="R36" s="213"/>
      <c r="S36" s="50">
        <f>IF(R35&lt;&gt;0,ROUND((R35/$I35)*$H36,5),ROUND((Q$10/$I$75)*$H36*Q36,5))</f>
        <v>0</v>
      </c>
      <c r="T36" s="434">
        <v>1</v>
      </c>
      <c r="U36" s="213"/>
      <c r="V36" s="50">
        <f>IF(U35&lt;&gt;0,ROUND((U35/$I35)*$H36,5),ROUND((T$10/$I$75)*$H36*T36,5))</f>
        <v>-1.074E-2</v>
      </c>
      <c r="W36" s="16"/>
      <c r="X36" s="255"/>
      <c r="Y36" s="256">
        <f t="shared" si="9"/>
        <v>-9579.9857379999994</v>
      </c>
    </row>
    <row r="37" spans="1:25" x14ac:dyDescent="0.25">
      <c r="A37" s="31">
        <f t="shared" si="0"/>
        <v>31</v>
      </c>
      <c r="B37" s="47"/>
      <c r="C37" s="15" t="s">
        <v>8</v>
      </c>
      <c r="D37" s="48">
        <f>+'Washington volumes'!F37</f>
        <v>82148.5</v>
      </c>
      <c r="E37" s="173">
        <f>+'Rates in detail'!I37</f>
        <v>0.29208999999999985</v>
      </c>
      <c r="F37" s="173">
        <f>+'Rates in detail'!E37+'Rates in detail'!F37+'Rates in detail'!G37</f>
        <v>0.20291000000000001</v>
      </c>
      <c r="G37" s="173">
        <f>'Rates in detail'!H37</f>
        <v>7.6899999999999972E-3</v>
      </c>
      <c r="H37" s="173">
        <f t="shared" si="10"/>
        <v>8.148999999999984E-2</v>
      </c>
      <c r="I37" s="224"/>
      <c r="J37" s="135"/>
      <c r="K37" s="48"/>
      <c r="L37" s="224"/>
      <c r="M37" s="49"/>
      <c r="N37" s="434">
        <v>1</v>
      </c>
      <c r="O37" s="213"/>
      <c r="P37" s="50">
        <f>IF(O35&lt;&gt;0,ROUND((O35/$I35)*$H37,5),ROUND((N$10/$I$75)*$H37*N37,5))</f>
        <v>-1.99E-3</v>
      </c>
      <c r="Q37" s="434">
        <v>1</v>
      </c>
      <c r="R37" s="213"/>
      <c r="S37" s="50">
        <f>IF(R35&lt;&gt;0,ROUND((R35/$I35)*$H37,5),ROUND((Q$10/$I$75)*$H37*Q37,5))</f>
        <v>0</v>
      </c>
      <c r="T37" s="434">
        <v>1</v>
      </c>
      <c r="U37" s="213"/>
      <c r="V37" s="50">
        <f>IF(U35&lt;&gt;0,ROUND((U35/$I35)*$H37,5),ROUND((T$10/$I$75)*$H37*T37,5))</f>
        <v>-8.2400000000000008E-3</v>
      </c>
      <c r="W37" s="16"/>
      <c r="X37" s="255"/>
      <c r="Y37" s="256">
        <f t="shared" si="9"/>
        <v>-840.37915500000008</v>
      </c>
    </row>
    <row r="38" spans="1:25" x14ac:dyDescent="0.25">
      <c r="A38" s="31">
        <f t="shared" si="0"/>
        <v>32</v>
      </c>
      <c r="B38" s="47"/>
      <c r="C38" s="15" t="s">
        <v>9</v>
      </c>
      <c r="D38" s="48">
        <f>+'Washington volumes'!F38</f>
        <v>0</v>
      </c>
      <c r="E38" s="173">
        <f>+'Rates in detail'!I38</f>
        <v>0.27553000000000016</v>
      </c>
      <c r="F38" s="173">
        <f>+'Rates in detail'!E38+'Rates in detail'!F38+'Rates in detail'!G38</f>
        <v>0.20291000000000001</v>
      </c>
      <c r="G38" s="173">
        <f>'Rates in detail'!H38</f>
        <v>7.4299999999999965E-3</v>
      </c>
      <c r="H38" s="173">
        <f t="shared" si="10"/>
        <v>6.5190000000000164E-2</v>
      </c>
      <c r="I38" s="224"/>
      <c r="J38" s="135"/>
      <c r="K38" s="48"/>
      <c r="L38" s="224"/>
      <c r="M38" s="49"/>
      <c r="N38" s="434">
        <v>1</v>
      </c>
      <c r="O38" s="213"/>
      <c r="P38" s="50">
        <f>IF(O35&lt;&gt;0,ROUND((O35/$I35)*$H38,5),ROUND((N$10/$I$75)*$H38*N38,5))</f>
        <v>-1.5900000000000001E-3</v>
      </c>
      <c r="Q38" s="434">
        <v>1</v>
      </c>
      <c r="R38" s="213"/>
      <c r="S38" s="50">
        <f>IF(R35&lt;&gt;0,ROUND((R35/$I35)*$H38,5),ROUND((Q$10/$I$75)*$H38*Q38,5))</f>
        <v>0</v>
      </c>
      <c r="T38" s="434">
        <v>1</v>
      </c>
      <c r="U38" s="213"/>
      <c r="V38" s="50">
        <f>IF(U35&lt;&gt;0,ROUND((U35/$I35)*$H38,5),ROUND((T$10/$I$75)*$H38*T38,5))</f>
        <v>-6.5900000000000004E-3</v>
      </c>
      <c r="W38" s="16"/>
      <c r="X38" s="255"/>
      <c r="Y38" s="256">
        <f t="shared" si="9"/>
        <v>0</v>
      </c>
    </row>
    <row r="39" spans="1:25" x14ac:dyDescent="0.25">
      <c r="A39" s="31">
        <f t="shared" si="0"/>
        <v>33</v>
      </c>
      <c r="B39" s="47"/>
      <c r="C39" s="15" t="s">
        <v>10</v>
      </c>
      <c r="D39" s="48">
        <f>+'Washington volumes'!F39</f>
        <v>0</v>
      </c>
      <c r="E39" s="173">
        <f>+'Rates in detail'!I39</f>
        <v>0.25346000000000019</v>
      </c>
      <c r="F39" s="173">
        <f>+'Rates in detail'!E39+'Rates in detail'!F39+'Rates in detail'!G39</f>
        <v>0.20291000000000001</v>
      </c>
      <c r="G39" s="173">
        <f>'Rates in detail'!H39</f>
        <v>7.0799999999999969E-3</v>
      </c>
      <c r="H39" s="173">
        <f t="shared" si="10"/>
        <v>4.3470000000000182E-2</v>
      </c>
      <c r="I39" s="224"/>
      <c r="J39" s="135"/>
      <c r="K39" s="48"/>
      <c r="L39" s="224"/>
      <c r="M39" s="49"/>
      <c r="N39" s="434">
        <v>1</v>
      </c>
      <c r="O39" s="213"/>
      <c r="P39" s="50">
        <f>IF(O35&lt;&gt;0,ROUND((O35/$I35)*$H39,5),ROUND((N$10/$I$75)*$H39*N39,5))</f>
        <v>-1.06E-3</v>
      </c>
      <c r="Q39" s="434">
        <v>1</v>
      </c>
      <c r="R39" s="213"/>
      <c r="S39" s="50">
        <f>IF(R35&lt;&gt;0,ROUND((R35/$I35)*$H39,5),ROUND((Q$10/$I$75)*$H39*Q39,5))</f>
        <v>0</v>
      </c>
      <c r="T39" s="434">
        <v>1</v>
      </c>
      <c r="U39" s="213"/>
      <c r="V39" s="50">
        <f>IF(U35&lt;&gt;0,ROUND((U35/$I35)*$H39,5),ROUND((T$10/$I$75)*$H39*T39,5))</f>
        <v>-4.3899999999999998E-3</v>
      </c>
      <c r="W39" s="16"/>
      <c r="X39" s="255"/>
      <c r="Y39" s="256">
        <f t="shared" si="9"/>
        <v>0</v>
      </c>
    </row>
    <row r="40" spans="1:25" x14ac:dyDescent="0.25">
      <c r="A40" s="31">
        <f t="shared" si="0"/>
        <v>34</v>
      </c>
      <c r="B40" s="51"/>
      <c r="C40" s="18" t="s">
        <v>11</v>
      </c>
      <c r="D40" s="43">
        <f>+'Washington volumes'!F40</f>
        <v>0</v>
      </c>
      <c r="E40" s="172">
        <f>+'Rates in detail'!I40</f>
        <v>0.22583999999999993</v>
      </c>
      <c r="F40" s="172">
        <f>+'Rates in detail'!E40+'Rates in detail'!F40+'Rates in detail'!G40</f>
        <v>0.20291000000000001</v>
      </c>
      <c r="G40" s="172">
        <f>'Rates in detail'!H40</f>
        <v>6.6399999999999966E-3</v>
      </c>
      <c r="H40" s="172">
        <f t="shared" si="10"/>
        <v>1.6289999999999926E-2</v>
      </c>
      <c r="I40" s="222"/>
      <c r="J40" s="138"/>
      <c r="K40" s="43"/>
      <c r="L40" s="222"/>
      <c r="M40" s="44"/>
      <c r="N40" s="433">
        <v>1</v>
      </c>
      <c r="O40" s="210"/>
      <c r="P40" s="45">
        <f>IF(O35&lt;&gt;0,ROUND((O35/$I35)*$H40,5),ROUND((N$10/$I$75)*$H40*N40,5))</f>
        <v>-4.0000000000000002E-4</v>
      </c>
      <c r="Q40" s="433">
        <v>1</v>
      </c>
      <c r="R40" s="210"/>
      <c r="S40" s="45">
        <f>IF(R35&lt;&gt;0,ROUND((R35/$I35)*$H40,5),ROUND((Q$10/$I$75)*$H40*Q40,5))</f>
        <v>0</v>
      </c>
      <c r="T40" s="433">
        <v>1</v>
      </c>
      <c r="U40" s="210"/>
      <c r="V40" s="45">
        <f>IF(U35&lt;&gt;0,ROUND((U35/$I35)*$H40,5),ROUND((T$10/$I$75)*$H40*T40,5))</f>
        <v>-1.65E-3</v>
      </c>
      <c r="W40" s="16"/>
      <c r="X40" s="255"/>
      <c r="Y40" s="256">
        <f t="shared" si="9"/>
        <v>0</v>
      </c>
    </row>
    <row r="41" spans="1:25" x14ac:dyDescent="0.25">
      <c r="A41" s="31">
        <f t="shared" si="0"/>
        <v>35</v>
      </c>
      <c r="B41" s="47" t="s">
        <v>265</v>
      </c>
      <c r="C41" s="15" t="s">
        <v>6</v>
      </c>
      <c r="D41" s="48">
        <f>+'Washington volumes'!F41</f>
        <v>480000</v>
      </c>
      <c r="E41" s="173">
        <f>+'Rates in detail'!I41</f>
        <v>0.11796</v>
      </c>
      <c r="F41" s="173">
        <f>+'Rates in detail'!E41+'Rates in detail'!F41+'Rates in detail'!G41</f>
        <v>0</v>
      </c>
      <c r="G41" s="173">
        <f>'Rates in detail'!H41</f>
        <v>-2.2000000000000001E-4</v>
      </c>
      <c r="H41" s="173">
        <f t="shared" si="10"/>
        <v>0.11817999999999999</v>
      </c>
      <c r="I41" s="223">
        <f>ROUND((+H41*D41)+(H42*D42)+(H43*D43)+(H44*D44)+(H45*D45)+(H46*D46),0)</f>
        <v>197774</v>
      </c>
      <c r="J41" s="135">
        <f>+'Avg Bill by RS'!H48</f>
        <v>1550</v>
      </c>
      <c r="K41" s="48">
        <f>+'Washington volumes'!H41</f>
        <v>4</v>
      </c>
      <c r="L41" s="223">
        <f>ROUND((+H41*D41)+(H42*D42)+(H43*D43)+(H44*D44)+(H45*D45)+(H46*D46)+(J41*K41*12),0)</f>
        <v>272174</v>
      </c>
      <c r="M41" s="49"/>
      <c r="N41" s="434">
        <v>1</v>
      </c>
      <c r="O41" s="212">
        <f>ROUND(+$N$10*(($L41*N41)/N$75),0)</f>
        <v>-3573</v>
      </c>
      <c r="P41" s="208">
        <f>IF(O41&lt;&gt;0,ROUND((O41/$I41)*$H41,5),ROUND((N$10/$I$75)*$H41*N41,5))</f>
        <v>-2.14E-3</v>
      </c>
      <c r="Q41" s="434">
        <v>1</v>
      </c>
      <c r="R41" s="212">
        <f>ROUND(+$Q$10*(($L41*Q41)/Q$75),0)</f>
        <v>0</v>
      </c>
      <c r="S41" s="208">
        <f>IF(R41&lt;&gt;0,ROUND((R41/$I41)*$H41,5),ROUND((Q$10/$I$75)*$H41*Q41,5))</f>
        <v>0</v>
      </c>
      <c r="T41" s="434">
        <v>1</v>
      </c>
      <c r="U41" s="212">
        <f>ROUND(+$T$10*(($L41*T41)/T$75),0)</f>
        <v>-14821</v>
      </c>
      <c r="V41" s="208">
        <f>IF(U41&lt;&gt;0,ROUND((U41/$I41)*$H41,5),ROUND((T$10/$I$75)*$H41*T41,5))</f>
        <v>-8.8599999999999998E-3</v>
      </c>
      <c r="W41" s="252"/>
      <c r="X41" s="255"/>
      <c r="Y41" s="256">
        <f t="shared" si="9"/>
        <v>-5280</v>
      </c>
    </row>
    <row r="42" spans="1:25" x14ac:dyDescent="0.25">
      <c r="A42" s="31">
        <f t="shared" si="0"/>
        <v>36</v>
      </c>
      <c r="B42" s="47"/>
      <c r="C42" s="15" t="s">
        <v>7</v>
      </c>
      <c r="D42" s="48">
        <f>+'Washington volumes'!F42</f>
        <v>772316</v>
      </c>
      <c r="E42" s="173">
        <f>+'Rates in detail'!I42</f>
        <v>0.10558999999999999</v>
      </c>
      <c r="F42" s="173">
        <f>+'Rates in detail'!E42+'Rates in detail'!F42+'Rates in detail'!G42</f>
        <v>0</v>
      </c>
      <c r="G42" s="173">
        <f>'Rates in detail'!H42</f>
        <v>-2.0000000000000001E-4</v>
      </c>
      <c r="H42" s="173">
        <f t="shared" si="10"/>
        <v>0.10579</v>
      </c>
      <c r="I42" s="224"/>
      <c r="J42" s="135"/>
      <c r="K42" s="48"/>
      <c r="L42" s="224"/>
      <c r="M42" s="49"/>
      <c r="N42" s="434">
        <v>1</v>
      </c>
      <c r="O42" s="213"/>
      <c r="P42" s="50">
        <f>IF(O41&lt;&gt;0,ROUND((O41/$I41)*$H42,5),ROUND((N$10/$I$75)*$H42*N42,5))</f>
        <v>-1.91E-3</v>
      </c>
      <c r="Q42" s="434">
        <v>1</v>
      </c>
      <c r="R42" s="213"/>
      <c r="S42" s="50">
        <f>IF(R41&lt;&gt;0,ROUND((R41/$I41)*$H42,5),ROUND((Q$10/$I$75)*$H42*Q42,5))</f>
        <v>0</v>
      </c>
      <c r="T42" s="434">
        <v>1</v>
      </c>
      <c r="U42" s="213"/>
      <c r="V42" s="50">
        <f>IF(U41&lt;&gt;0,ROUND((U41/$I41)*$H42,5),ROUND((T$10/$I$75)*$H42*T42,5))</f>
        <v>-7.9299999999999995E-3</v>
      </c>
      <c r="W42" s="16"/>
      <c r="X42" s="255"/>
      <c r="Y42" s="256">
        <f t="shared" si="9"/>
        <v>-7599.5894399999997</v>
      </c>
    </row>
    <row r="43" spans="1:25" x14ac:dyDescent="0.25">
      <c r="A43" s="31">
        <f t="shared" si="0"/>
        <v>37</v>
      </c>
      <c r="B43" s="47"/>
      <c r="C43" s="15" t="s">
        <v>8</v>
      </c>
      <c r="D43" s="48">
        <f>+'Washington volumes'!F43</f>
        <v>435081</v>
      </c>
      <c r="E43" s="173">
        <f>+'Rates in detail'!I43</f>
        <v>8.097E-2</v>
      </c>
      <c r="F43" s="173">
        <f>+'Rates in detail'!E43+'Rates in detail'!F43+'Rates in detail'!G43</f>
        <v>0</v>
      </c>
      <c r="G43" s="173">
        <f>'Rates in detail'!H43</f>
        <v>-1.4999999999999999E-4</v>
      </c>
      <c r="H43" s="173">
        <f t="shared" si="10"/>
        <v>8.1119999999999998E-2</v>
      </c>
      <c r="I43" s="224"/>
      <c r="J43" s="135"/>
      <c r="K43" s="48"/>
      <c r="L43" s="224"/>
      <c r="M43" s="49"/>
      <c r="N43" s="434">
        <v>1</v>
      </c>
      <c r="O43" s="213"/>
      <c r="P43" s="50">
        <f>IF(O41&lt;&gt;0,ROUND((O41/$I41)*$H43,5),ROUND((N$10/$I$75)*$H43*N43,5))</f>
        <v>-1.47E-3</v>
      </c>
      <c r="Q43" s="434">
        <v>1</v>
      </c>
      <c r="R43" s="213"/>
      <c r="S43" s="50">
        <f>IF(R41&lt;&gt;0,ROUND((R41/$I41)*$H43,5),ROUND((Q$10/$I$75)*$H43*Q43,5))</f>
        <v>0</v>
      </c>
      <c r="T43" s="434">
        <v>1</v>
      </c>
      <c r="U43" s="213"/>
      <c r="V43" s="50">
        <f>IF(U41&lt;&gt;0,ROUND((U41/$I41)*$H43,5),ROUND((T$10/$I$75)*$H43*T43,5))</f>
        <v>-6.0800000000000003E-3</v>
      </c>
      <c r="W43" s="16"/>
      <c r="X43" s="255"/>
      <c r="Y43" s="256">
        <f t="shared" si="9"/>
        <v>-3284.8615500000001</v>
      </c>
    </row>
    <row r="44" spans="1:25" x14ac:dyDescent="0.25">
      <c r="A44" s="31">
        <f t="shared" si="0"/>
        <v>38</v>
      </c>
      <c r="B44" s="47"/>
      <c r="C44" s="15" t="s">
        <v>9</v>
      </c>
      <c r="D44" s="48">
        <f>+'Washington volumes'!F44</f>
        <v>370572</v>
      </c>
      <c r="E44" s="173">
        <f>+'Rates in detail'!I44</f>
        <v>6.4780000000000004E-2</v>
      </c>
      <c r="F44" s="173">
        <f>+'Rates in detail'!E44+'Rates in detail'!F44+'Rates in detail'!G44</f>
        <v>0</v>
      </c>
      <c r="G44" s="173">
        <f>'Rates in detail'!H44</f>
        <v>-1.2E-4</v>
      </c>
      <c r="H44" s="173">
        <f t="shared" si="10"/>
        <v>6.4899999999999999E-2</v>
      </c>
      <c r="I44" s="224"/>
      <c r="J44" s="135"/>
      <c r="K44" s="48"/>
      <c r="L44" s="224"/>
      <c r="M44" s="49"/>
      <c r="N44" s="434">
        <v>1</v>
      </c>
      <c r="O44" s="213"/>
      <c r="P44" s="50">
        <f>IF(O41&lt;&gt;0,ROUND((O41/$I41)*$H44,5),ROUND((N$10/$I$75)*$H44*N44,5))</f>
        <v>-1.17E-3</v>
      </c>
      <c r="Q44" s="434">
        <v>1</v>
      </c>
      <c r="R44" s="213"/>
      <c r="S44" s="50">
        <f>IF(R41&lt;&gt;0,ROUND((R41/$I41)*$H44,5),ROUND((Q$10/$I$75)*$H44*Q44,5))</f>
        <v>0</v>
      </c>
      <c r="T44" s="434">
        <v>1</v>
      </c>
      <c r="U44" s="213"/>
      <c r="V44" s="50">
        <f>IF(U41&lt;&gt;0,ROUND((U41/$I41)*$H44,5),ROUND((T$10/$I$75)*$H44*T44,5))</f>
        <v>-4.8599999999999997E-3</v>
      </c>
      <c r="W44" s="16"/>
      <c r="X44" s="255"/>
      <c r="Y44" s="256">
        <f t="shared" si="9"/>
        <v>-2234.54916</v>
      </c>
    </row>
    <row r="45" spans="1:25" x14ac:dyDescent="0.25">
      <c r="A45" s="31">
        <f t="shared" si="0"/>
        <v>39</v>
      </c>
      <c r="B45" s="47"/>
      <c r="C45" s="15" t="s">
        <v>10</v>
      </c>
      <c r="D45" s="48">
        <f>+'Washington volumes'!F45</f>
        <v>0</v>
      </c>
      <c r="E45" s="173">
        <f>+'Rates in detail'!I45</f>
        <v>4.3190000000000006E-2</v>
      </c>
      <c r="F45" s="173">
        <f>+'Rates in detail'!E45+'Rates in detail'!F45+'Rates in detail'!G45</f>
        <v>0</v>
      </c>
      <c r="G45" s="173">
        <f>'Rates in detail'!H45</f>
        <v>-8.0000000000000007E-5</v>
      </c>
      <c r="H45" s="173">
        <f t="shared" si="10"/>
        <v>4.3270000000000003E-2</v>
      </c>
      <c r="I45" s="224"/>
      <c r="J45" s="135"/>
      <c r="K45" s="48"/>
      <c r="L45" s="224"/>
      <c r="M45" s="49"/>
      <c r="N45" s="434">
        <v>1</v>
      </c>
      <c r="O45" s="213"/>
      <c r="P45" s="50">
        <f>IF(O41&lt;&gt;0,ROUND((O41/$I41)*$H45,5),ROUND((N$10/$I$75)*$H45*N45,5))</f>
        <v>-7.7999999999999999E-4</v>
      </c>
      <c r="Q45" s="434">
        <v>1</v>
      </c>
      <c r="R45" s="213"/>
      <c r="S45" s="50">
        <f>IF(R41&lt;&gt;0,ROUND((R41/$I41)*$H45,5),ROUND((Q$10/$I$75)*$H45*Q45,5))</f>
        <v>0</v>
      </c>
      <c r="T45" s="434">
        <v>1</v>
      </c>
      <c r="U45" s="213"/>
      <c r="V45" s="50">
        <f>IF(U41&lt;&gt;0,ROUND((U41/$I41)*$H45,5),ROUND((T$10/$I$75)*$H45*T45,5))</f>
        <v>-3.2399999999999998E-3</v>
      </c>
      <c r="W45" s="16"/>
      <c r="X45" s="255"/>
      <c r="Y45" s="256">
        <f t="shared" ref="Y45:Y72" si="11">(P45+S45+V45)*D45</f>
        <v>0</v>
      </c>
    </row>
    <row r="46" spans="1:25" x14ac:dyDescent="0.25">
      <c r="A46" s="31">
        <f t="shared" si="0"/>
        <v>40</v>
      </c>
      <c r="B46" s="51"/>
      <c r="C46" s="18" t="s">
        <v>11</v>
      </c>
      <c r="D46" s="43">
        <f>+'Washington volumes'!F46</f>
        <v>0</v>
      </c>
      <c r="E46" s="172">
        <f>+'Rates in detail'!I46</f>
        <v>1.619E-2</v>
      </c>
      <c r="F46" s="172">
        <f>+'Rates in detail'!E46+'Rates in detail'!F46+'Rates in detail'!G46</f>
        <v>0</v>
      </c>
      <c r="G46" s="172">
        <f>'Rates in detail'!H46</f>
        <v>-3.0000000000000001E-5</v>
      </c>
      <c r="H46" s="172">
        <f t="shared" si="10"/>
        <v>1.6219999999999998E-2</v>
      </c>
      <c r="I46" s="222"/>
      <c r="J46" s="138"/>
      <c r="K46" s="43"/>
      <c r="L46" s="222"/>
      <c r="M46" s="44"/>
      <c r="N46" s="433">
        <v>1</v>
      </c>
      <c r="O46" s="210"/>
      <c r="P46" s="45">
        <f>IF(O41&lt;&gt;0,ROUND((O41/$I41)*$H46,5),ROUND((N$10/$I$75)*$H46*N46,5))</f>
        <v>-2.9E-4</v>
      </c>
      <c r="Q46" s="433">
        <v>1</v>
      </c>
      <c r="R46" s="210"/>
      <c r="S46" s="45">
        <f>IF(R41&lt;&gt;0,ROUND((R41/$I41)*$H46,5),ROUND((Q$10/$I$75)*$H46*Q46,5))</f>
        <v>0</v>
      </c>
      <c r="T46" s="433">
        <v>1</v>
      </c>
      <c r="U46" s="210"/>
      <c r="V46" s="45">
        <f>IF(U41&lt;&gt;0,ROUND((U41/$I41)*$H46,5),ROUND((T$10/$I$75)*$H46*T46,5))</f>
        <v>-1.2199999999999999E-3</v>
      </c>
      <c r="W46" s="16"/>
      <c r="X46" s="255"/>
      <c r="Y46" s="256">
        <f t="shared" si="11"/>
        <v>0</v>
      </c>
    </row>
    <row r="47" spans="1:25" x14ac:dyDescent="0.25">
      <c r="A47" s="31">
        <f t="shared" si="0"/>
        <v>41</v>
      </c>
      <c r="B47" s="47" t="s">
        <v>266</v>
      </c>
      <c r="C47" s="15" t="s">
        <v>6</v>
      </c>
      <c r="D47" s="48">
        <f>+'Washington volumes'!F47</f>
        <v>835575</v>
      </c>
      <c r="E47" s="173">
        <f>+'Rates in detail'!I47</f>
        <v>0.11796</v>
      </c>
      <c r="F47" s="173">
        <f>+'Rates in detail'!E47+'Rates in detail'!F47+'Rates in detail'!G47</f>
        <v>0</v>
      </c>
      <c r="G47" s="173">
        <f>'Rates in detail'!H47</f>
        <v>-2.2000000000000001E-4</v>
      </c>
      <c r="H47" s="173">
        <f t="shared" ref="H47:H52" si="12">+E47-F47-G47</f>
        <v>0.11817999999999999</v>
      </c>
      <c r="I47" s="223">
        <f>ROUND((+H47*D47)+(H48*D48)+(H49*D49)+(H50*D50)+(H51*D51)+(H52*D52),0)</f>
        <v>345539</v>
      </c>
      <c r="J47" s="135">
        <f>+'Avg Bill by RS'!H54</f>
        <v>0</v>
      </c>
      <c r="K47" s="48">
        <f>+'Washington volumes'!H47</f>
        <v>7.833333333333333</v>
      </c>
      <c r="L47" s="223">
        <f>ROUND((+H47*D47)+(H48*D48)+(H49*D49)+(H50*D50)+(H51*D51)+(H52*D52)+(J47*K47*12),0)</f>
        <v>345539</v>
      </c>
      <c r="M47" s="49"/>
      <c r="N47" s="434">
        <v>1</v>
      </c>
      <c r="O47" s="212">
        <f>ROUND(+$N$10*(($L47*N47)/N$75),0)</f>
        <v>-4537</v>
      </c>
      <c r="P47" s="208">
        <f>IF(O47&lt;&gt;0,ROUND((O47/$I47)*$H47,5),ROUND((N$10/$I$75)*$H47*N47,5))</f>
        <v>-1.5499999999999999E-3</v>
      </c>
      <c r="Q47" s="434">
        <v>1</v>
      </c>
      <c r="R47" s="212">
        <f>ROUND(+$Q$10*(($L47*Q47)/Q$75),0)</f>
        <v>0</v>
      </c>
      <c r="S47" s="208">
        <f>IF(R47&lt;&gt;0,ROUND((R47/$I47)*$H47,5),ROUND((Q$10/$I$75)*$H47*Q47,5))</f>
        <v>0</v>
      </c>
      <c r="T47" s="434">
        <v>1</v>
      </c>
      <c r="U47" s="212">
        <f>ROUND(+$T$10*(($L47*T47)/T$75),0)</f>
        <v>-18815</v>
      </c>
      <c r="V47" s="208">
        <f>IF(U47&lt;&gt;0,ROUND((U47/$I47)*$H47,5),ROUND((T$10/$I$75)*$H47*T47,5))</f>
        <v>-6.4400000000000004E-3</v>
      </c>
      <c r="W47" s="252"/>
      <c r="X47" s="255"/>
      <c r="Y47" s="256">
        <f t="shared" si="11"/>
        <v>-6676.2442500000006</v>
      </c>
    </row>
    <row r="48" spans="1:25" x14ac:dyDescent="0.25">
      <c r="A48" s="31">
        <f t="shared" si="0"/>
        <v>42</v>
      </c>
      <c r="B48" s="47"/>
      <c r="C48" s="15" t="s">
        <v>7</v>
      </c>
      <c r="D48" s="48">
        <f>+'Washington volumes'!F48</f>
        <v>847995</v>
      </c>
      <c r="E48" s="173">
        <f>+'Rates in detail'!I48</f>
        <v>0.10558999999999999</v>
      </c>
      <c r="F48" s="173">
        <f>+'Rates in detail'!E48+'Rates in detail'!F48+'Rates in detail'!G48</f>
        <v>0</v>
      </c>
      <c r="G48" s="173">
        <f>'Rates in detail'!H48</f>
        <v>-2.0000000000000001E-4</v>
      </c>
      <c r="H48" s="173">
        <f t="shared" si="12"/>
        <v>0.10579</v>
      </c>
      <c r="I48" s="224"/>
      <c r="J48" s="135"/>
      <c r="K48" s="48"/>
      <c r="L48" s="224"/>
      <c r="M48" s="49"/>
      <c r="N48" s="434">
        <v>1</v>
      </c>
      <c r="O48" s="213"/>
      <c r="P48" s="50">
        <f>IF(O47&lt;&gt;0,ROUND((O47/$I47)*$H48,5),ROUND((N$10/$I$75)*$H48*N48,5))</f>
        <v>-1.39E-3</v>
      </c>
      <c r="Q48" s="434">
        <v>1</v>
      </c>
      <c r="R48" s="213"/>
      <c r="S48" s="50">
        <f>IF(R47&lt;&gt;0,ROUND((R47/$I47)*$H48,5),ROUND((Q$10/$I$75)*$H48*Q48,5))</f>
        <v>0</v>
      </c>
      <c r="T48" s="434">
        <v>1</v>
      </c>
      <c r="U48" s="213"/>
      <c r="V48" s="50">
        <f>IF(U47&lt;&gt;0,ROUND((U47/$I47)*$H48,5),ROUND((T$10/$I$75)*$H48*T48,5))</f>
        <v>-5.7600000000000004E-3</v>
      </c>
      <c r="W48" s="16"/>
      <c r="X48" s="255"/>
      <c r="Y48" s="256">
        <f t="shared" si="11"/>
        <v>-6063.1642499999998</v>
      </c>
    </row>
    <row r="49" spans="1:25" x14ac:dyDescent="0.25">
      <c r="A49" s="31">
        <f t="shared" si="0"/>
        <v>43</v>
      </c>
      <c r="B49" s="47"/>
      <c r="C49" s="15" t="s">
        <v>8</v>
      </c>
      <c r="D49" s="48">
        <f>+'Washington volumes'!F49</f>
        <v>712276</v>
      </c>
      <c r="E49" s="173">
        <f>+'Rates in detail'!I49</f>
        <v>8.097E-2</v>
      </c>
      <c r="F49" s="173">
        <f>+'Rates in detail'!E49+'Rates in detail'!F49+'Rates in detail'!G49</f>
        <v>0</v>
      </c>
      <c r="G49" s="173">
        <f>'Rates in detail'!H49</f>
        <v>-1.4999999999999999E-4</v>
      </c>
      <c r="H49" s="173">
        <f t="shared" si="12"/>
        <v>8.1119999999999998E-2</v>
      </c>
      <c r="I49" s="224"/>
      <c r="J49" s="135"/>
      <c r="K49" s="48"/>
      <c r="L49" s="224"/>
      <c r="M49" s="49"/>
      <c r="N49" s="434">
        <v>1</v>
      </c>
      <c r="O49" s="213"/>
      <c r="P49" s="50">
        <f>IF(O47&lt;&gt;0,ROUND((O47/$I47)*$H49,5),ROUND((N$10/$I$75)*$H49*N49,5))</f>
        <v>-1.07E-3</v>
      </c>
      <c r="Q49" s="434">
        <v>1</v>
      </c>
      <c r="R49" s="213"/>
      <c r="S49" s="50">
        <f>IF(R47&lt;&gt;0,ROUND((R47/$I47)*$H49,5),ROUND((Q$10/$I$75)*$H49*Q49,5))</f>
        <v>0</v>
      </c>
      <c r="T49" s="434">
        <v>1</v>
      </c>
      <c r="U49" s="213"/>
      <c r="V49" s="50">
        <f>IF(U47&lt;&gt;0,ROUND((U47/$I47)*$H49,5),ROUND((T$10/$I$75)*$H49*T49,5))</f>
        <v>-4.4200000000000003E-3</v>
      </c>
      <c r="W49" s="16"/>
      <c r="X49" s="255"/>
      <c r="Y49" s="256">
        <f t="shared" si="11"/>
        <v>-3910.3952400000003</v>
      </c>
    </row>
    <row r="50" spans="1:25" x14ac:dyDescent="0.25">
      <c r="A50" s="31">
        <f t="shared" si="0"/>
        <v>44</v>
      </c>
      <c r="B50" s="47"/>
      <c r="C50" s="15" t="s">
        <v>9</v>
      </c>
      <c r="D50" s="48">
        <f>+'Washington volumes'!F50</f>
        <v>1293228</v>
      </c>
      <c r="E50" s="173">
        <f>+'Rates in detail'!I50</f>
        <v>6.4780000000000004E-2</v>
      </c>
      <c r="F50" s="173">
        <f>+'Rates in detail'!E50+'Rates in detail'!F50+'Rates in detail'!G50</f>
        <v>0</v>
      </c>
      <c r="G50" s="173">
        <f>'Rates in detail'!H50</f>
        <v>-1.2E-4</v>
      </c>
      <c r="H50" s="173">
        <f t="shared" si="12"/>
        <v>6.4899999999999999E-2</v>
      </c>
      <c r="I50" s="224"/>
      <c r="J50" s="135"/>
      <c r="K50" s="48"/>
      <c r="L50" s="224"/>
      <c r="M50" s="49"/>
      <c r="N50" s="434">
        <v>1</v>
      </c>
      <c r="O50" s="213"/>
      <c r="P50" s="50">
        <f>IF(O47&lt;&gt;0,ROUND((O47/$I47)*$H50,5),ROUND((N$10/$I$75)*$H50*N50,5))</f>
        <v>-8.4999999999999995E-4</v>
      </c>
      <c r="Q50" s="434">
        <v>1</v>
      </c>
      <c r="R50" s="213"/>
      <c r="S50" s="50">
        <f>IF(R47&lt;&gt;0,ROUND((R47/$I47)*$H50,5),ROUND((Q$10/$I$75)*$H50*Q50,5))</f>
        <v>0</v>
      </c>
      <c r="T50" s="434">
        <v>1</v>
      </c>
      <c r="U50" s="213"/>
      <c r="V50" s="50">
        <f>IF(U47&lt;&gt;0,ROUND((U47/$I47)*$H50,5),ROUND((T$10/$I$75)*$H50*T50,5))</f>
        <v>-3.5300000000000002E-3</v>
      </c>
      <c r="W50" s="16"/>
      <c r="X50" s="255"/>
      <c r="Y50" s="256">
        <f t="shared" si="11"/>
        <v>-5664.3386399999999</v>
      </c>
    </row>
    <row r="51" spans="1:25" x14ac:dyDescent="0.25">
      <c r="A51" s="31">
        <f t="shared" si="0"/>
        <v>45</v>
      </c>
      <c r="B51" s="47"/>
      <c r="C51" s="15" t="s">
        <v>10</v>
      </c>
      <c r="D51" s="48">
        <f>+'Washington volumes'!F51</f>
        <v>355242</v>
      </c>
      <c r="E51" s="173">
        <f>+'Rates in detail'!I51</f>
        <v>4.3190000000000006E-2</v>
      </c>
      <c r="F51" s="173">
        <f>+'Rates in detail'!E51+'Rates in detail'!F51+'Rates in detail'!G51</f>
        <v>0</v>
      </c>
      <c r="G51" s="173">
        <f>'Rates in detail'!H51</f>
        <v>-8.0000000000000007E-5</v>
      </c>
      <c r="H51" s="173">
        <f t="shared" si="12"/>
        <v>4.3270000000000003E-2</v>
      </c>
      <c r="I51" s="224"/>
      <c r="J51" s="135"/>
      <c r="K51" s="48"/>
      <c r="L51" s="224"/>
      <c r="M51" s="49"/>
      <c r="N51" s="434">
        <v>1</v>
      </c>
      <c r="O51" s="213"/>
      <c r="P51" s="50">
        <f>IF(O47&lt;&gt;0,ROUND((O47/$I47)*$H51,5),ROUND((N$10/$I$75)*$H51*N51,5))</f>
        <v>-5.6999999999999998E-4</v>
      </c>
      <c r="Q51" s="434">
        <v>1</v>
      </c>
      <c r="R51" s="213"/>
      <c r="S51" s="50">
        <f>IF(R47&lt;&gt;0,ROUND((R47/$I47)*$H51,5),ROUND((Q$10/$I$75)*$H51*Q51,5))</f>
        <v>0</v>
      </c>
      <c r="T51" s="434">
        <v>1</v>
      </c>
      <c r="U51" s="213"/>
      <c r="V51" s="50">
        <f>IF(U47&lt;&gt;0,ROUND((U47/$I47)*$H51,5),ROUND((T$10/$I$75)*$H51*T51,5))</f>
        <v>-2.3600000000000001E-3</v>
      </c>
      <c r="W51" s="16"/>
      <c r="X51" s="255"/>
      <c r="Y51" s="256">
        <f t="shared" ref="Y51:Y52" si="13">(P51+S51+V51)*D51</f>
        <v>-1040.85906</v>
      </c>
    </row>
    <row r="52" spans="1:25" x14ac:dyDescent="0.25">
      <c r="A52" s="31">
        <f t="shared" si="0"/>
        <v>46</v>
      </c>
      <c r="B52" s="51"/>
      <c r="C52" s="18" t="s">
        <v>11</v>
      </c>
      <c r="D52" s="43">
        <f>+'Washington volumes'!F52</f>
        <v>0</v>
      </c>
      <c r="E52" s="172">
        <f>+'Rates in detail'!I52</f>
        <v>1.619E-2</v>
      </c>
      <c r="F52" s="172">
        <f>+'Rates in detail'!E52+'Rates in detail'!F52+'Rates in detail'!G52</f>
        <v>0</v>
      </c>
      <c r="G52" s="172">
        <f>'Rates in detail'!H52</f>
        <v>-3.0000000000000001E-5</v>
      </c>
      <c r="H52" s="172">
        <f t="shared" si="12"/>
        <v>1.6219999999999998E-2</v>
      </c>
      <c r="I52" s="222"/>
      <c r="J52" s="138"/>
      <c r="K52" s="43"/>
      <c r="L52" s="222"/>
      <c r="M52" s="44"/>
      <c r="N52" s="433">
        <v>1</v>
      </c>
      <c r="O52" s="210"/>
      <c r="P52" s="45">
        <f>IF(O47&lt;&gt;0,ROUND((O47/$I47)*$H52,5),ROUND((N$10/$I$75)*$H52*N52,5))</f>
        <v>-2.1000000000000001E-4</v>
      </c>
      <c r="Q52" s="433">
        <v>1</v>
      </c>
      <c r="R52" s="210"/>
      <c r="S52" s="45">
        <f>IF(R47&lt;&gt;0,ROUND((R47/$I47)*$H52,5),ROUND((Q$10/$I$75)*$H52*Q52,5))</f>
        <v>0</v>
      </c>
      <c r="T52" s="433">
        <v>1</v>
      </c>
      <c r="U52" s="210"/>
      <c r="V52" s="45">
        <f>IF(U47&lt;&gt;0,ROUND((U47/$I47)*$H52,5),ROUND((T$10/$I$75)*$H52*T52,5))</f>
        <v>-8.8000000000000003E-4</v>
      </c>
      <c r="W52" s="16"/>
      <c r="X52" s="255"/>
      <c r="Y52" s="256">
        <f t="shared" si="13"/>
        <v>0</v>
      </c>
    </row>
    <row r="53" spans="1:25" x14ac:dyDescent="0.25">
      <c r="A53" s="31">
        <f t="shared" si="0"/>
        <v>47</v>
      </c>
      <c r="B53" s="47" t="s">
        <v>170</v>
      </c>
      <c r="C53" s="15" t="s">
        <v>6</v>
      </c>
      <c r="D53" s="48">
        <f>+'Washington volumes'!F53</f>
        <v>240014.56328353498</v>
      </c>
      <c r="E53" s="173">
        <f>+'Rates in detail'!I53</f>
        <v>0.36463000000000001</v>
      </c>
      <c r="F53" s="173">
        <f>+'Rates in detail'!E53+'Rates in detail'!F53+'Rates in detail'!G53</f>
        <v>0.20291000000000001</v>
      </c>
      <c r="G53" s="173">
        <f>'Rates in detail'!H53</f>
        <v>4.3160000000000004E-2</v>
      </c>
      <c r="H53" s="173">
        <f t="shared" ref="H53:H58" si="14">+E53-F53-G53</f>
        <v>0.11856</v>
      </c>
      <c r="I53" s="223">
        <f>ROUND((+H53*D53)+(H54*D54)+(H55*D55)+(H56*D56)+(H57*D57)+(H58*D58),0)</f>
        <v>102054</v>
      </c>
      <c r="J53" s="135">
        <f>+'Avg Bill by RS'!H62</f>
        <v>1300</v>
      </c>
      <c r="K53" s="48">
        <f>+'Washington volumes'!H53</f>
        <v>3</v>
      </c>
      <c r="L53" s="223">
        <f>ROUND((+H53*D53)+(H54*D54)+(H55*D55)+(H56*D56)+(H57*D57)+(H58*D58)+(J53*K53*12),0)</f>
        <v>148854</v>
      </c>
      <c r="M53" s="49"/>
      <c r="N53" s="434">
        <v>1</v>
      </c>
      <c r="O53" s="212">
        <f>ROUND(+$N$10*(($L53*N53)/N$75),0)</f>
        <v>-1954</v>
      </c>
      <c r="P53" s="208">
        <f>IF(O53&lt;&gt;0,ROUND((O53/$I53)*$H53,5),ROUND((N$10/$I$75)*$H53*N53,5))</f>
        <v>-2.2699999999999999E-3</v>
      </c>
      <c r="Q53" s="434">
        <v>1</v>
      </c>
      <c r="R53" s="212">
        <f>ROUND(+$Q$10*(($L53*Q53)/Q$75),0)</f>
        <v>0</v>
      </c>
      <c r="S53" s="208">
        <f>IF(R53&lt;&gt;0,ROUND((R53/$I53)*$H53,5),ROUND((Q$10/$I$75)*$H53*Q53,5))</f>
        <v>0</v>
      </c>
      <c r="T53" s="434">
        <v>1</v>
      </c>
      <c r="U53" s="212">
        <f>ROUND(+$T$10*(($L53*T53)/T$75),0)</f>
        <v>-8105</v>
      </c>
      <c r="V53" s="208">
        <f>IF(U53&lt;&gt;0,ROUND((U53/$I53)*$H53,5),ROUND((T$10/$I$75)*$H53*T53,5))</f>
        <v>-9.4199999999999996E-3</v>
      </c>
      <c r="W53" s="252"/>
      <c r="X53" s="255"/>
      <c r="Y53" s="256">
        <f t="shared" si="11"/>
        <v>-2805.7702447845236</v>
      </c>
    </row>
    <row r="54" spans="1:25" x14ac:dyDescent="0.25">
      <c r="A54" s="31">
        <f t="shared" si="0"/>
        <v>48</v>
      </c>
      <c r="B54" s="47"/>
      <c r="C54" s="15" t="s">
        <v>7</v>
      </c>
      <c r="D54" s="48">
        <f>+'Washington volumes'!F54</f>
        <v>472188.31633306126</v>
      </c>
      <c r="E54" s="173">
        <f>+'Rates in detail'!I54</f>
        <v>0.35032999999999992</v>
      </c>
      <c r="F54" s="173">
        <f>+'Rates in detail'!E54+'Rates in detail'!F54+'Rates in detail'!G54</f>
        <v>0.20291000000000001</v>
      </c>
      <c r="G54" s="173">
        <f>'Rates in detail'!H54</f>
        <v>4.1300000000000003E-2</v>
      </c>
      <c r="H54" s="173">
        <f t="shared" si="14"/>
        <v>0.10611999999999991</v>
      </c>
      <c r="I54" s="224"/>
      <c r="J54" s="135"/>
      <c r="K54" s="48"/>
      <c r="L54" s="224"/>
      <c r="M54" s="49"/>
      <c r="N54" s="434">
        <v>1</v>
      </c>
      <c r="O54" s="213"/>
      <c r="P54" s="50">
        <f>IF(O53&lt;&gt;0,ROUND((O53/$I53)*$H54,5),ROUND((N$10/$I$75)*$H54*N54,5))</f>
        <v>-2.0300000000000001E-3</v>
      </c>
      <c r="Q54" s="434">
        <v>1</v>
      </c>
      <c r="R54" s="213"/>
      <c r="S54" s="50">
        <f>IF(R53&lt;&gt;0,ROUND((R53/$I53)*$H54,5),ROUND((Q$10/$I$75)*$H54*Q54,5))</f>
        <v>0</v>
      </c>
      <c r="T54" s="434">
        <v>1</v>
      </c>
      <c r="U54" s="213"/>
      <c r="V54" s="50">
        <f>IF(U53&lt;&gt;0,ROUND((U53/$I53)*$H54,5),ROUND((T$10/$I$75)*$H54*T54,5))</f>
        <v>-8.43E-3</v>
      </c>
      <c r="W54" s="16"/>
      <c r="X54" s="255"/>
      <c r="Y54" s="256">
        <f t="shared" si="11"/>
        <v>-4939.0897888438212</v>
      </c>
    </row>
    <row r="55" spans="1:25" x14ac:dyDescent="0.25">
      <c r="A55" s="31">
        <f t="shared" si="0"/>
        <v>49</v>
      </c>
      <c r="B55" s="47"/>
      <c r="C55" s="15" t="s">
        <v>8</v>
      </c>
      <c r="D55" s="48">
        <f>+'Washington volumes'!F55</f>
        <v>247080</v>
      </c>
      <c r="E55" s="173">
        <f>+'Rates in detail'!I55</f>
        <v>0.32185000000000008</v>
      </c>
      <c r="F55" s="173">
        <f>+'Rates in detail'!E55+'Rates in detail'!F55+'Rates in detail'!G55</f>
        <v>0.20291000000000001</v>
      </c>
      <c r="G55" s="173">
        <f>'Rates in detail'!H55</f>
        <v>3.7559999999999996E-2</v>
      </c>
      <c r="H55" s="173">
        <f t="shared" si="14"/>
        <v>8.1380000000000077E-2</v>
      </c>
      <c r="I55" s="224"/>
      <c r="J55" s="135"/>
      <c r="K55" s="48"/>
      <c r="L55" s="224"/>
      <c r="M55" s="49"/>
      <c r="N55" s="434">
        <v>1</v>
      </c>
      <c r="O55" s="213"/>
      <c r="P55" s="50">
        <f>IF(O53&lt;&gt;0,ROUND((O53/$I53)*$H55,5),ROUND((N$10/$I$75)*$H55*N55,5))</f>
        <v>-1.56E-3</v>
      </c>
      <c r="Q55" s="434">
        <v>1</v>
      </c>
      <c r="R55" s="213"/>
      <c r="S55" s="50">
        <f>IF(R53&lt;&gt;0,ROUND((R53/$I53)*$H55,5),ROUND((Q$10/$I$75)*$H55*Q55,5))</f>
        <v>0</v>
      </c>
      <c r="T55" s="434">
        <v>1</v>
      </c>
      <c r="U55" s="213"/>
      <c r="V55" s="50">
        <f>IF(U53&lt;&gt;0,ROUND((U53/$I53)*$H55,5),ROUND((T$10/$I$75)*$H55*T55,5))</f>
        <v>-6.4599999999999996E-3</v>
      </c>
      <c r="W55" s="16"/>
      <c r="X55" s="255"/>
      <c r="Y55" s="256">
        <f t="shared" si="11"/>
        <v>-1981.5815999999998</v>
      </c>
    </row>
    <row r="56" spans="1:25" x14ac:dyDescent="0.25">
      <c r="A56" s="31">
        <f t="shared" si="0"/>
        <v>50</v>
      </c>
      <c r="B56" s="47"/>
      <c r="C56" s="15" t="s">
        <v>9</v>
      </c>
      <c r="D56" s="48">
        <f>+'Washington volumes'!F56</f>
        <v>51943</v>
      </c>
      <c r="E56" s="173">
        <f>+'Rates in detail'!I56</f>
        <v>0.30312999999999996</v>
      </c>
      <c r="F56" s="173">
        <f>+'Rates in detail'!E56+'Rates in detail'!F56+'Rates in detail'!G56</f>
        <v>0.20291000000000001</v>
      </c>
      <c r="G56" s="173">
        <f>'Rates in detail'!H56</f>
        <v>3.5119999999999998E-2</v>
      </c>
      <c r="H56" s="173">
        <f t="shared" si="14"/>
        <v>6.509999999999995E-2</v>
      </c>
      <c r="I56" s="224"/>
      <c r="J56" s="135"/>
      <c r="K56" s="48"/>
      <c r="L56" s="224"/>
      <c r="M56" s="49"/>
      <c r="N56" s="434">
        <v>1</v>
      </c>
      <c r="O56" s="213"/>
      <c r="P56" s="50">
        <f>IF(O53&lt;&gt;0,ROUND((O53/$I53)*$H56,5),ROUND((N$10/$I$75)*$H56*N56,5))</f>
        <v>-1.25E-3</v>
      </c>
      <c r="Q56" s="434">
        <v>1</v>
      </c>
      <c r="R56" s="213"/>
      <c r="S56" s="50">
        <f>IF(R53&lt;&gt;0,ROUND((R53/$I53)*$H56,5),ROUND((Q$10/$I$75)*$H56*Q56,5))</f>
        <v>0</v>
      </c>
      <c r="T56" s="434">
        <v>1</v>
      </c>
      <c r="U56" s="213"/>
      <c r="V56" s="50">
        <f>IF(U53&lt;&gt;0,ROUND((U53/$I53)*$H56,5),ROUND((T$10/$I$75)*$H56*T56,5))</f>
        <v>-5.1700000000000001E-3</v>
      </c>
      <c r="W56" s="16"/>
      <c r="X56" s="255"/>
      <c r="Y56" s="256">
        <f t="shared" si="11"/>
        <v>-333.47406000000001</v>
      </c>
    </row>
    <row r="57" spans="1:25" x14ac:dyDescent="0.25">
      <c r="A57" s="31">
        <f t="shared" si="0"/>
        <v>51</v>
      </c>
      <c r="B57" s="47"/>
      <c r="C57" s="15" t="s">
        <v>10</v>
      </c>
      <c r="D57" s="48">
        <f>+'Washington volumes'!F57</f>
        <v>0</v>
      </c>
      <c r="E57" s="173">
        <f>+'Rates in detail'!I57</f>
        <v>0.27817000000000003</v>
      </c>
      <c r="F57" s="173">
        <f>+'Rates in detail'!E57+'Rates in detail'!F57+'Rates in detail'!G57</f>
        <v>0.20291000000000001</v>
      </c>
      <c r="G57" s="173">
        <f>'Rates in detail'!H57</f>
        <v>3.1859999999999999E-2</v>
      </c>
      <c r="H57" s="173">
        <f t="shared" si="14"/>
        <v>4.3400000000000022E-2</v>
      </c>
      <c r="I57" s="224"/>
      <c r="J57" s="135"/>
      <c r="K57" s="48"/>
      <c r="L57" s="224"/>
      <c r="M57" s="49"/>
      <c r="N57" s="434">
        <v>1</v>
      </c>
      <c r="O57" s="213"/>
      <c r="P57" s="50">
        <f>IF(O53&lt;&gt;0,ROUND((O53/$I53)*$H57,5),ROUND((N$10/$I$75)*$H57*N57,5))</f>
        <v>-8.3000000000000001E-4</v>
      </c>
      <c r="Q57" s="434">
        <v>1</v>
      </c>
      <c r="R57" s="213"/>
      <c r="S57" s="50">
        <f>IF(R53&lt;&gt;0,ROUND((R53/$I53)*$H57,5),ROUND((Q$10/$I$75)*$H57*Q57,5))</f>
        <v>0</v>
      </c>
      <c r="T57" s="434">
        <v>1</v>
      </c>
      <c r="U57" s="213"/>
      <c r="V57" s="50">
        <f>IF(U53&lt;&gt;0,ROUND((U53/$I53)*$H57,5),ROUND((T$10/$I$75)*$H57*T57,5))</f>
        <v>-3.4499999999999999E-3</v>
      </c>
      <c r="W57" s="16"/>
      <c r="X57" s="255"/>
      <c r="Y57" s="256">
        <f t="shared" si="11"/>
        <v>0</v>
      </c>
    </row>
    <row r="58" spans="1:25" x14ac:dyDescent="0.25">
      <c r="A58" s="31">
        <f t="shared" si="0"/>
        <v>52</v>
      </c>
      <c r="B58" s="51"/>
      <c r="C58" s="18" t="s">
        <v>11</v>
      </c>
      <c r="D58" s="43">
        <f>+'Washington volumes'!F58</f>
        <v>0</v>
      </c>
      <c r="E58" s="172">
        <f>+'Rates in detail'!I58</f>
        <v>0.24696999999999991</v>
      </c>
      <c r="F58" s="172">
        <f>+'Rates in detail'!E58+'Rates in detail'!F58+'Rates in detail'!G58</f>
        <v>0.20291000000000001</v>
      </c>
      <c r="G58" s="172">
        <f>'Rates in detail'!H58</f>
        <v>2.7779999999999999E-2</v>
      </c>
      <c r="H58" s="172">
        <f t="shared" si="14"/>
        <v>1.6279999999999906E-2</v>
      </c>
      <c r="I58" s="222"/>
      <c r="J58" s="138"/>
      <c r="K58" s="43"/>
      <c r="L58" s="222"/>
      <c r="M58" s="44"/>
      <c r="N58" s="433">
        <v>1</v>
      </c>
      <c r="O58" s="210"/>
      <c r="P58" s="45">
        <f>IF(O53&lt;&gt;0,ROUND((O53/$I53)*$H58,5),ROUND((N$10/$I$75)*$H58*N58,5))</f>
        <v>-3.1E-4</v>
      </c>
      <c r="Q58" s="433">
        <v>1</v>
      </c>
      <c r="R58" s="210"/>
      <c r="S58" s="45">
        <f>IF(R53&lt;&gt;0,ROUND((R53/$I53)*$H58,5),ROUND((Q$10/$I$75)*$H58*Q58,5))</f>
        <v>0</v>
      </c>
      <c r="T58" s="433">
        <v>1</v>
      </c>
      <c r="U58" s="210"/>
      <c r="V58" s="45">
        <f>IF(U53&lt;&gt;0,ROUND((U53/$I53)*$H58,5),ROUND((T$10/$I$75)*$H58*T58,5))</f>
        <v>-1.2899999999999999E-3</v>
      </c>
      <c r="W58" s="16"/>
      <c r="X58" s="255"/>
      <c r="Y58" s="256">
        <f t="shared" si="11"/>
        <v>0</v>
      </c>
    </row>
    <row r="59" spans="1:25" x14ac:dyDescent="0.25">
      <c r="A59" s="31">
        <f t="shared" si="0"/>
        <v>53</v>
      </c>
      <c r="B59" s="47" t="s">
        <v>171</v>
      </c>
      <c r="C59" s="15" t="s">
        <v>6</v>
      </c>
      <c r="D59" s="48">
        <f>+'Washington volumes'!F59</f>
        <v>172005.43671646502</v>
      </c>
      <c r="E59" s="173">
        <f>+'Rates in detail'!I59</f>
        <v>0.34927999999999992</v>
      </c>
      <c r="F59" s="173">
        <f>+'Rates in detail'!E59+'Rates in detail'!F59+'Rates in detail'!G59</f>
        <v>0.20291000000000001</v>
      </c>
      <c r="G59" s="173">
        <f>'Rates in detail'!H59</f>
        <v>2.7669999999999997E-2</v>
      </c>
      <c r="H59" s="173">
        <f t="shared" si="10"/>
        <v>0.11869999999999992</v>
      </c>
      <c r="I59" s="223">
        <f>ROUND((+H59*D59)+(H60*D60)+(H61*D61)+(H62*D62)+(H63*D63)+(H64*D64),0)</f>
        <v>34864</v>
      </c>
      <c r="J59" s="135">
        <f>+'Avg Bill by RS'!H69</f>
        <v>1300</v>
      </c>
      <c r="K59" s="48">
        <f>+'Washington volumes'!H59</f>
        <v>2</v>
      </c>
      <c r="L59" s="223">
        <f>ROUND((+H59*D59)+(H60*D60)+(H61*D61)+(H62*D62)+(H63*D63)+(H64*D64)+(J59*K59*12),0)</f>
        <v>66064</v>
      </c>
      <c r="M59" s="49"/>
      <c r="N59" s="434">
        <v>1</v>
      </c>
      <c r="O59" s="212">
        <f>ROUND(+$N$10*(($L59*N59)/N$75),0)</f>
        <v>-867</v>
      </c>
      <c r="P59" s="208">
        <f>IF(O59&lt;&gt;0,ROUND((O59/$I59)*$H59,5),ROUND((N$10/$I$75)*$H59*N59,5))</f>
        <v>-2.9499999999999999E-3</v>
      </c>
      <c r="Q59" s="434">
        <v>1</v>
      </c>
      <c r="R59" s="212">
        <f>ROUND(+$Q$10*(($L59*Q59)/Q$75),0)</f>
        <v>0</v>
      </c>
      <c r="S59" s="208">
        <f>IF(R59&lt;&gt;0,ROUND((R59/$I59)*$H59,5),ROUND((Q$10/$I$75)*$H59*Q59,5))</f>
        <v>0</v>
      </c>
      <c r="T59" s="434">
        <v>1</v>
      </c>
      <c r="U59" s="212">
        <f>ROUND(+$T$10*(($L59*T59)/T$75),0)</f>
        <v>-3597</v>
      </c>
      <c r="V59" s="208">
        <f>IF(U59&lt;&gt;0,ROUND((U59/$I59)*$H59,5),ROUND((T$10/$I$75)*$H59*T59,5))</f>
        <v>-1.225E-2</v>
      </c>
      <c r="W59" s="252"/>
      <c r="X59" s="255"/>
      <c r="Y59" s="256">
        <f t="shared" si="11"/>
        <v>-2614.4826380902682</v>
      </c>
    </row>
    <row r="60" spans="1:25" x14ac:dyDescent="0.25">
      <c r="A60" s="31">
        <f t="shared" si="0"/>
        <v>54</v>
      </c>
      <c r="B60" s="47"/>
      <c r="C60" s="15" t="s">
        <v>7</v>
      </c>
      <c r="D60" s="48">
        <f>+'Washington volumes'!F60</f>
        <v>135966.68366693874</v>
      </c>
      <c r="E60" s="173">
        <f>+'Rates in detail'!I60</f>
        <v>0.33658999999999989</v>
      </c>
      <c r="F60" s="173">
        <f>+'Rates in detail'!E60+'Rates in detail'!F60+'Rates in detail'!G60</f>
        <v>0.20291000000000001</v>
      </c>
      <c r="G60" s="173">
        <f>'Rates in detail'!H60</f>
        <v>2.743E-2</v>
      </c>
      <c r="H60" s="173">
        <f t="shared" si="10"/>
        <v>0.10624999999999989</v>
      </c>
      <c r="I60" s="224"/>
      <c r="J60" s="135"/>
      <c r="K60" s="48"/>
      <c r="L60" s="224"/>
      <c r="M60" s="49"/>
      <c r="N60" s="434">
        <v>1</v>
      </c>
      <c r="O60" s="213"/>
      <c r="P60" s="50">
        <f>IF(O59&lt;&gt;0,ROUND((O59/$I59)*$H60,5),ROUND((N$10/$I$75)*$H60*N60,5))</f>
        <v>-2.64E-3</v>
      </c>
      <c r="Q60" s="434">
        <v>1</v>
      </c>
      <c r="R60" s="213"/>
      <c r="S60" s="50">
        <f>IF(R59&lt;&gt;0,ROUND((R59/$I59)*$H60,5),ROUND((Q$10/$I$75)*$H60*Q60,5))</f>
        <v>0</v>
      </c>
      <c r="T60" s="434">
        <v>1</v>
      </c>
      <c r="U60" s="213"/>
      <c r="V60" s="50">
        <f>IF(U59&lt;&gt;0,ROUND((U59/$I59)*$H60,5),ROUND((T$10/$I$75)*$H60*T60,5))</f>
        <v>-1.0959999999999999E-2</v>
      </c>
      <c r="W60" s="16"/>
      <c r="X60" s="255"/>
      <c r="Y60" s="256">
        <f t="shared" si="11"/>
        <v>-1849.1468978703667</v>
      </c>
    </row>
    <row r="61" spans="1:25" x14ac:dyDescent="0.25">
      <c r="A61" s="31">
        <f t="shared" si="0"/>
        <v>55</v>
      </c>
      <c r="B61" s="47"/>
      <c r="C61" s="15" t="s">
        <v>8</v>
      </c>
      <c r="D61" s="48">
        <f>+'Washington volumes'!F61</f>
        <v>0</v>
      </c>
      <c r="E61" s="173">
        <f>+'Rates in detail'!I61</f>
        <v>0.31133000000000005</v>
      </c>
      <c r="F61" s="173">
        <f>+'Rates in detail'!E61+'Rates in detail'!F61+'Rates in detail'!G61</f>
        <v>0.20291000000000001</v>
      </c>
      <c r="G61" s="173">
        <f>'Rates in detail'!H61</f>
        <v>2.6939999999999999E-2</v>
      </c>
      <c r="H61" s="173">
        <f t="shared" si="10"/>
        <v>8.1480000000000052E-2</v>
      </c>
      <c r="I61" s="224"/>
      <c r="J61" s="135"/>
      <c r="K61" s="48"/>
      <c r="L61" s="224"/>
      <c r="M61" s="49"/>
      <c r="N61" s="434">
        <v>1</v>
      </c>
      <c r="O61" s="213"/>
      <c r="P61" s="50">
        <f>IF(O59&lt;&gt;0,ROUND((O59/$I59)*$H61,5),ROUND((N$10/$I$75)*$H61*N61,5))</f>
        <v>-2.0300000000000001E-3</v>
      </c>
      <c r="Q61" s="434">
        <v>1</v>
      </c>
      <c r="R61" s="213"/>
      <c r="S61" s="50">
        <f>IF(R59&lt;&gt;0,ROUND((R59/$I59)*$H61,5),ROUND((Q$10/$I$75)*$H61*Q61,5))</f>
        <v>0</v>
      </c>
      <c r="T61" s="434">
        <v>1</v>
      </c>
      <c r="U61" s="213"/>
      <c r="V61" s="50">
        <f>IF(U59&lt;&gt;0,ROUND((U59/$I59)*$H61,5),ROUND((T$10/$I$75)*$H61*T61,5))</f>
        <v>-8.4100000000000008E-3</v>
      </c>
      <c r="W61" s="16"/>
      <c r="X61" s="255"/>
      <c r="Y61" s="256">
        <f t="shared" si="11"/>
        <v>0</v>
      </c>
    </row>
    <row r="62" spans="1:25" x14ac:dyDescent="0.25">
      <c r="A62" s="31">
        <f t="shared" si="0"/>
        <v>56</v>
      </c>
      <c r="B62" s="47"/>
      <c r="C62" s="15" t="s">
        <v>9</v>
      </c>
      <c r="D62" s="48">
        <f>+'Washington volumes'!F62</f>
        <v>0</v>
      </c>
      <c r="E62" s="173">
        <f>+'Rates in detail'!I62</f>
        <v>0.29469999999999985</v>
      </c>
      <c r="F62" s="173">
        <f>+'Rates in detail'!E62+'Rates in detail'!F62+'Rates in detail'!G62</f>
        <v>0.20291000000000001</v>
      </c>
      <c r="G62" s="173">
        <f>'Rates in detail'!H62</f>
        <v>2.6609999999999998E-2</v>
      </c>
      <c r="H62" s="173">
        <f t="shared" si="10"/>
        <v>6.5179999999999849E-2</v>
      </c>
      <c r="I62" s="224"/>
      <c r="J62" s="135"/>
      <c r="K62" s="48"/>
      <c r="L62" s="224"/>
      <c r="M62" s="49"/>
      <c r="N62" s="434">
        <v>1</v>
      </c>
      <c r="O62" s="213"/>
      <c r="P62" s="50">
        <f>IF(O59&lt;&gt;0,ROUND((O59/$I59)*$H62,5),ROUND((N$10/$I$75)*$H62*N62,5))</f>
        <v>-1.6199999999999999E-3</v>
      </c>
      <c r="Q62" s="434">
        <v>1</v>
      </c>
      <c r="R62" s="213"/>
      <c r="S62" s="50">
        <f>IF(R59&lt;&gt;0,ROUND((R59/$I59)*$H62,5),ROUND((Q$10/$I$75)*$H62*Q62,5))</f>
        <v>0</v>
      </c>
      <c r="T62" s="434">
        <v>1</v>
      </c>
      <c r="U62" s="213"/>
      <c r="V62" s="50">
        <f>IF(U59&lt;&gt;0,ROUND((U59/$I59)*$H62,5),ROUND((T$10/$I$75)*$H62*T62,5))</f>
        <v>-6.7200000000000003E-3</v>
      </c>
      <c r="W62" s="16"/>
      <c r="X62" s="255"/>
      <c r="Y62" s="256">
        <f t="shared" si="11"/>
        <v>0</v>
      </c>
    </row>
    <row r="63" spans="1:25" x14ac:dyDescent="0.25">
      <c r="A63" s="31">
        <f t="shared" si="0"/>
        <v>57</v>
      </c>
      <c r="B63" s="47"/>
      <c r="C63" s="15" t="s">
        <v>10</v>
      </c>
      <c r="D63" s="48">
        <f>+'Washington volumes'!F63</f>
        <v>0</v>
      </c>
      <c r="E63" s="173">
        <f>+'Rates in detail'!I63</f>
        <v>0.27254</v>
      </c>
      <c r="F63" s="173">
        <f>+'Rates in detail'!E63+'Rates in detail'!F63+'Rates in detail'!G63</f>
        <v>0.20291000000000001</v>
      </c>
      <c r="G63" s="173">
        <f>'Rates in detail'!H63</f>
        <v>2.6179999999999998E-2</v>
      </c>
      <c r="H63" s="173">
        <f t="shared" si="10"/>
        <v>4.3450000000000003E-2</v>
      </c>
      <c r="I63" s="224"/>
      <c r="J63" s="135"/>
      <c r="K63" s="48"/>
      <c r="L63" s="224"/>
      <c r="M63" s="49"/>
      <c r="N63" s="434">
        <v>1</v>
      </c>
      <c r="O63" s="213"/>
      <c r="P63" s="50">
        <f>IF(O59&lt;&gt;0,ROUND((O59/$I59)*$H63,5),ROUND((N$10/$I$75)*$H63*N63,5))</f>
        <v>-1.08E-3</v>
      </c>
      <c r="Q63" s="434">
        <v>1</v>
      </c>
      <c r="R63" s="213"/>
      <c r="S63" s="50">
        <f>IF(R59&lt;&gt;0,ROUND((R59/$I59)*$H63,5),ROUND((Q$10/$I$75)*$H63*Q63,5))</f>
        <v>0</v>
      </c>
      <c r="T63" s="434">
        <v>1</v>
      </c>
      <c r="U63" s="213"/>
      <c r="V63" s="50">
        <f>IF(U59&lt;&gt;0,ROUND((U59/$I59)*$H63,5),ROUND((T$10/$I$75)*$H63*T63,5))</f>
        <v>-4.4799999999999996E-3</v>
      </c>
      <c r="W63" s="16"/>
      <c r="X63" s="255"/>
      <c r="Y63" s="256">
        <f t="shared" si="11"/>
        <v>0</v>
      </c>
    </row>
    <row r="64" spans="1:25" x14ac:dyDescent="0.25">
      <c r="A64" s="31">
        <f t="shared" si="0"/>
        <v>58</v>
      </c>
      <c r="B64" s="51"/>
      <c r="C64" s="18" t="s">
        <v>11</v>
      </c>
      <c r="D64" s="43">
        <f>+'Washington volumes'!F64</f>
        <v>0</v>
      </c>
      <c r="E64" s="172">
        <f>+'Rates in detail'!I64</f>
        <v>0.24485999999999991</v>
      </c>
      <c r="F64" s="172">
        <f>+'Rates in detail'!E64+'Rates in detail'!F64+'Rates in detail'!G64</f>
        <v>0.20291000000000001</v>
      </c>
      <c r="G64" s="172">
        <f>'Rates in detail'!H64</f>
        <v>2.5649999999999999E-2</v>
      </c>
      <c r="H64" s="172">
        <f t="shared" si="10"/>
        <v>1.6299999999999905E-2</v>
      </c>
      <c r="I64" s="222"/>
      <c r="J64" s="138"/>
      <c r="K64" s="43"/>
      <c r="L64" s="222"/>
      <c r="M64" s="44"/>
      <c r="N64" s="433">
        <v>1</v>
      </c>
      <c r="O64" s="210"/>
      <c r="P64" s="45">
        <f>IF(O59&lt;&gt;0,ROUND((O59/$I59)*$H64,5),ROUND((N$10/$I$75)*$H64*N64,5))</f>
        <v>-4.0999999999999999E-4</v>
      </c>
      <c r="Q64" s="433">
        <v>1</v>
      </c>
      <c r="R64" s="210"/>
      <c r="S64" s="45">
        <f>IF(R59&lt;&gt;0,ROUND((R59/$I59)*$H64,5),ROUND((Q$10/$I$75)*$H64*Q64,5))</f>
        <v>0</v>
      </c>
      <c r="T64" s="433">
        <v>1</v>
      </c>
      <c r="U64" s="210"/>
      <c r="V64" s="45">
        <f>IF(U59&lt;&gt;0,ROUND((U59/$I59)*$H64,5),ROUND((T$10/$I$75)*$H64*T64,5))</f>
        <v>-1.6800000000000001E-3</v>
      </c>
      <c r="W64" s="16"/>
      <c r="X64" s="255"/>
      <c r="Y64" s="256">
        <f t="shared" si="11"/>
        <v>0</v>
      </c>
    </row>
    <row r="65" spans="1:25" x14ac:dyDescent="0.25">
      <c r="A65" s="31">
        <f t="shared" si="0"/>
        <v>59</v>
      </c>
      <c r="B65" s="47" t="s">
        <v>112</v>
      </c>
      <c r="C65" s="15" t="s">
        <v>6</v>
      </c>
      <c r="D65" s="48">
        <f>+'Washington volumes'!F65</f>
        <v>924358</v>
      </c>
      <c r="E65" s="174">
        <f>+'Rates in detail'!I65</f>
        <v>0.11797999999999999</v>
      </c>
      <c r="F65" s="174">
        <f>+'Rates in detail'!E65+'Rates in detail'!F65+'Rates in detail'!G65</f>
        <v>0</v>
      </c>
      <c r="G65" s="174">
        <f>'Rates in detail'!H65</f>
        <v>-2.0000000000000001E-4</v>
      </c>
      <c r="H65" s="174">
        <f t="shared" si="10"/>
        <v>0.11817999999999999</v>
      </c>
      <c r="I65" s="223">
        <f>ROUND((+H65*D65)+(H66*D66)+(H67*D67)+(H68*D68)+(H69*D69)+(H70*D70),0)</f>
        <v>791873</v>
      </c>
      <c r="J65" s="139">
        <f>+'Avg Bill by RS'!H76</f>
        <v>1550</v>
      </c>
      <c r="K65" s="48">
        <f>+'Washington volumes'!H65</f>
        <v>10.916666666666666</v>
      </c>
      <c r="L65" s="223">
        <f>ROUND((+H65*D65)+(H66*D66)+(H67*D67)+(H68*D68)+(H69*D69)+(H70*D70)+(J65*K65*12),0)</f>
        <v>994923</v>
      </c>
      <c r="M65" s="53"/>
      <c r="N65" s="434">
        <v>1</v>
      </c>
      <c r="O65" s="212">
        <f>ROUND(+$N$10*(($L65*N65)/N$75),0)</f>
        <v>-13062</v>
      </c>
      <c r="P65" s="208">
        <f>IF(O65&lt;&gt;0,ROUND((O65/$I65)*$H65,5),ROUND((N$10/$I$75)*$H65*N65,5))</f>
        <v>-1.9499999999999999E-3</v>
      </c>
      <c r="Q65" s="434">
        <v>1</v>
      </c>
      <c r="R65" s="212">
        <f>ROUND(+$Q$10*(($L65*Q65)/Q$75),0)</f>
        <v>0</v>
      </c>
      <c r="S65" s="208">
        <f>IF(R65&lt;&gt;0,ROUND((R65/$I65)*$H65,5),ROUND((Q$10/$I$75)*$H65*Q65,5))</f>
        <v>0</v>
      </c>
      <c r="T65" s="434">
        <v>1</v>
      </c>
      <c r="U65" s="212">
        <f>ROUND(+$T$10*(($L65*T65)/T$75),0)</f>
        <v>-54176</v>
      </c>
      <c r="V65" s="208">
        <f>IF(U65&lt;&gt;0,ROUND((U65/$I65)*$H65,5),ROUND((T$10/$I$75)*$H65*T65,5))</f>
        <v>-8.09E-3</v>
      </c>
      <c r="W65" s="252"/>
      <c r="X65" s="255"/>
      <c r="Y65" s="256">
        <f t="shared" si="11"/>
        <v>-9280.5543200000011</v>
      </c>
    </row>
    <row r="66" spans="1:25" x14ac:dyDescent="0.25">
      <c r="A66" s="31">
        <f t="shared" si="0"/>
        <v>60</v>
      </c>
      <c r="B66" s="47"/>
      <c r="C66" s="15" t="s">
        <v>7</v>
      </c>
      <c r="D66" s="48">
        <f>+'Washington volumes'!F66</f>
        <v>1661182</v>
      </c>
      <c r="E66" s="175">
        <f>+'Rates in detail'!I66</f>
        <v>0.10561</v>
      </c>
      <c r="F66" s="175">
        <f>+'Rates in detail'!E66+'Rates in detail'!F66+'Rates in detail'!G66</f>
        <v>0</v>
      </c>
      <c r="G66" s="175">
        <f>'Rates in detail'!H66</f>
        <v>-1.8000000000000001E-4</v>
      </c>
      <c r="H66" s="175">
        <f t="shared" si="10"/>
        <v>0.10579</v>
      </c>
      <c r="I66" s="224"/>
      <c r="J66" s="140"/>
      <c r="K66" s="48"/>
      <c r="L66" s="224"/>
      <c r="M66" s="53"/>
      <c r="N66" s="434">
        <v>1</v>
      </c>
      <c r="O66" s="213"/>
      <c r="P66" s="50">
        <f>IF(O65&lt;&gt;0,ROUND((O65/$I65)*$H66,5),ROUND((N$10/$I$75)*$H66*N66,5))</f>
        <v>-1.75E-3</v>
      </c>
      <c r="Q66" s="434">
        <v>1</v>
      </c>
      <c r="R66" s="213"/>
      <c r="S66" s="50">
        <f>IF(R65&lt;&gt;0,ROUND((R65/$I65)*$H66,5),ROUND((Q$10/$I$75)*$H66*Q66,5))</f>
        <v>0</v>
      </c>
      <c r="T66" s="434">
        <v>1</v>
      </c>
      <c r="U66" s="213"/>
      <c r="V66" s="50">
        <f>IF(U65&lt;&gt;0,ROUND((U65/$I65)*$H66,5),ROUND((T$10/$I$75)*$H66*T66,5))</f>
        <v>-7.2399999999999999E-3</v>
      </c>
      <c r="W66" s="16"/>
      <c r="X66" s="255"/>
      <c r="Y66" s="256">
        <f t="shared" si="11"/>
        <v>-14934.026179999999</v>
      </c>
    </row>
    <row r="67" spans="1:25" x14ac:dyDescent="0.25">
      <c r="A67" s="31">
        <f t="shared" si="0"/>
        <v>61</v>
      </c>
      <c r="B67" s="47"/>
      <c r="C67" s="15" t="s">
        <v>8</v>
      </c>
      <c r="D67" s="48">
        <f>+'Washington volumes'!F67</f>
        <v>1395939</v>
      </c>
      <c r="E67" s="175">
        <f>+'Rates in detail'!I67</f>
        <v>8.0979999999999996E-2</v>
      </c>
      <c r="F67" s="175">
        <f>+'Rates in detail'!E67+'Rates in detail'!F67+'Rates in detail'!G67</f>
        <v>0</v>
      </c>
      <c r="G67" s="175">
        <f>'Rates in detail'!H67</f>
        <v>-1.3999999999999999E-4</v>
      </c>
      <c r="H67" s="175">
        <f t="shared" si="10"/>
        <v>8.1119999999999998E-2</v>
      </c>
      <c r="I67" s="224"/>
      <c r="J67" s="140"/>
      <c r="K67" s="48"/>
      <c r="L67" s="224"/>
      <c r="M67" s="53"/>
      <c r="N67" s="434">
        <v>1</v>
      </c>
      <c r="O67" s="213"/>
      <c r="P67" s="50">
        <f>IF(O65&lt;&gt;0,ROUND((O65/$I65)*$H67,5),ROUND((N$10/$I$75)*$H67*N67,5))</f>
        <v>-1.34E-3</v>
      </c>
      <c r="Q67" s="434">
        <v>1</v>
      </c>
      <c r="R67" s="213"/>
      <c r="S67" s="50">
        <f>IF(R65&lt;&gt;0,ROUND((R65/$I65)*$H67,5),ROUND((Q$10/$I$75)*$H67*Q67,5))</f>
        <v>0</v>
      </c>
      <c r="T67" s="434">
        <v>1</v>
      </c>
      <c r="U67" s="213"/>
      <c r="V67" s="50">
        <f>IF(U65&lt;&gt;0,ROUND((U65/$I65)*$H67,5),ROUND((T$10/$I$75)*$H67*T67,5))</f>
        <v>-5.5500000000000002E-3</v>
      </c>
      <c r="W67" s="16"/>
      <c r="X67" s="255"/>
      <c r="Y67" s="256">
        <f t="shared" si="11"/>
        <v>-9618.0197100000005</v>
      </c>
    </row>
    <row r="68" spans="1:25" x14ac:dyDescent="0.25">
      <c r="A68" s="31">
        <f t="shared" si="0"/>
        <v>62</v>
      </c>
      <c r="B68" s="47"/>
      <c r="C68" s="15" t="s">
        <v>9</v>
      </c>
      <c r="D68" s="48">
        <f>+'Washington volumes'!F68</f>
        <v>4342579</v>
      </c>
      <c r="E68" s="175">
        <f>+'Rates in detail'!I68</f>
        <v>6.479E-2</v>
      </c>
      <c r="F68" s="175">
        <f>+'Rates in detail'!E68+'Rates in detail'!F68+'Rates in detail'!G68</f>
        <v>0</v>
      </c>
      <c r="G68" s="175">
        <f>'Rates in detail'!H68</f>
        <v>-1.1E-4</v>
      </c>
      <c r="H68" s="175">
        <f t="shared" si="10"/>
        <v>6.4899999999999999E-2</v>
      </c>
      <c r="I68" s="224"/>
      <c r="J68" s="140"/>
      <c r="K68" s="48"/>
      <c r="L68" s="224"/>
      <c r="M68" s="53"/>
      <c r="N68" s="434">
        <v>1</v>
      </c>
      <c r="O68" s="213"/>
      <c r="P68" s="50">
        <f>IF(O65&lt;&gt;0,ROUND((O65/$I65)*$H68,5),ROUND((N$10/$I$75)*$H68*N68,5))</f>
        <v>-1.07E-3</v>
      </c>
      <c r="Q68" s="434">
        <v>1</v>
      </c>
      <c r="R68" s="213"/>
      <c r="S68" s="50">
        <f>IF(R65&lt;&gt;0,ROUND((R65/$I65)*$H68,5),ROUND((Q$10/$I$75)*$H68*Q68,5))</f>
        <v>0</v>
      </c>
      <c r="T68" s="434">
        <v>1</v>
      </c>
      <c r="U68" s="213"/>
      <c r="V68" s="50">
        <f>IF(U65&lt;&gt;0,ROUND((U65/$I65)*$H68,5),ROUND((T$10/$I$75)*$H68*T68,5))</f>
        <v>-4.4400000000000004E-3</v>
      </c>
      <c r="W68" s="16"/>
      <c r="X68" s="255"/>
      <c r="Y68" s="256">
        <f t="shared" si="11"/>
        <v>-23927.610290000001</v>
      </c>
    </row>
    <row r="69" spans="1:25" x14ac:dyDescent="0.25">
      <c r="A69" s="31">
        <f t="shared" si="0"/>
        <v>63</v>
      </c>
      <c r="B69" s="47"/>
      <c r="C69" s="15" t="s">
        <v>10</v>
      </c>
      <c r="D69" s="48">
        <f>+'Washington volumes'!F69</f>
        <v>2584324</v>
      </c>
      <c r="E69" s="175">
        <f>+'Rates in detail'!I69</f>
        <v>4.3200000000000002E-2</v>
      </c>
      <c r="F69" s="175">
        <f>+'Rates in detail'!E69+'Rates in detail'!F69+'Rates in detail'!G69</f>
        <v>0</v>
      </c>
      <c r="G69" s="175">
        <f>'Rates in detail'!H69</f>
        <v>-6.9999999999999994E-5</v>
      </c>
      <c r="H69" s="175">
        <f t="shared" si="10"/>
        <v>4.3270000000000003E-2</v>
      </c>
      <c r="I69" s="224"/>
      <c r="J69" s="140"/>
      <c r="K69" s="48"/>
      <c r="L69" s="224"/>
      <c r="M69" s="53"/>
      <c r="N69" s="434">
        <v>1</v>
      </c>
      <c r="O69" s="213"/>
      <c r="P69" s="50">
        <f>IF(O65&lt;&gt;0,ROUND((O65/$I65)*$H69,5),ROUND((N$10/$I$75)*$H69*N69,5))</f>
        <v>-7.1000000000000002E-4</v>
      </c>
      <c r="Q69" s="434">
        <v>1</v>
      </c>
      <c r="R69" s="213"/>
      <c r="S69" s="50">
        <f>IF(R65&lt;&gt;0,ROUND((R65/$I65)*$H69,5),ROUND((Q$10/$I$75)*$H69*Q69,5))</f>
        <v>0</v>
      </c>
      <c r="T69" s="434">
        <v>1</v>
      </c>
      <c r="U69" s="213"/>
      <c r="V69" s="50">
        <f>IF(U65&lt;&gt;0,ROUND((U65/$I65)*$H69,5),ROUND((T$10/$I$75)*$H69*T69,5))</f>
        <v>-2.96E-3</v>
      </c>
      <c r="W69" s="16"/>
      <c r="X69" s="255"/>
      <c r="Y69" s="256">
        <f t="shared" si="11"/>
        <v>-9484.4690800000008</v>
      </c>
    </row>
    <row r="70" spans="1:25" x14ac:dyDescent="0.25">
      <c r="A70" s="31">
        <f t="shared" si="0"/>
        <v>64</v>
      </c>
      <c r="B70" s="51"/>
      <c r="C70" s="18" t="s">
        <v>11</v>
      </c>
      <c r="D70" s="43">
        <f>+'Washington volumes'!F70</f>
        <v>0</v>
      </c>
      <c r="E70" s="176">
        <f>+'Rates in detail'!I70</f>
        <v>1.619E-2</v>
      </c>
      <c r="F70" s="176">
        <f>+'Rates in detail'!E70+'Rates in detail'!F70+'Rates in detail'!G70</f>
        <v>0</v>
      </c>
      <c r="G70" s="176">
        <f>'Rates in detail'!H70</f>
        <v>-3.0000000000000001E-5</v>
      </c>
      <c r="H70" s="176">
        <f t="shared" si="10"/>
        <v>1.6219999999999998E-2</v>
      </c>
      <c r="I70" s="222"/>
      <c r="J70" s="141"/>
      <c r="K70" s="43"/>
      <c r="L70" s="222"/>
      <c r="M70" s="57"/>
      <c r="N70" s="433">
        <v>1</v>
      </c>
      <c r="O70" s="210"/>
      <c r="P70" s="45">
        <f>IF(O65&lt;&gt;0,ROUND((O65/$I65)*$H70,5),ROUND((N$10/$I$75)*$H70*N70,5))</f>
        <v>-2.7E-4</v>
      </c>
      <c r="Q70" s="433">
        <v>1</v>
      </c>
      <c r="R70" s="210"/>
      <c r="S70" s="45">
        <f>IF(R65&lt;&gt;0,ROUND((R65/$I65)*$H70,5),ROUND((Q$10/$I$75)*$H70*Q70,5))</f>
        <v>0</v>
      </c>
      <c r="T70" s="433">
        <v>1</v>
      </c>
      <c r="U70" s="210"/>
      <c r="V70" s="45">
        <f>IF(U65&lt;&gt;0,ROUND((U65/$I65)*$H70,5),ROUND((T$10/$I$75)*$H70*T70,5))</f>
        <v>-1.1100000000000001E-3</v>
      </c>
      <c r="W70" s="16"/>
      <c r="X70" s="255"/>
      <c r="Y70" s="256">
        <f t="shared" si="11"/>
        <v>0</v>
      </c>
    </row>
    <row r="71" spans="1:25" x14ac:dyDescent="0.25">
      <c r="A71" s="31">
        <f t="shared" si="0"/>
        <v>65</v>
      </c>
      <c r="B71" s="51" t="s">
        <v>113</v>
      </c>
      <c r="C71" s="17"/>
      <c r="D71" s="43">
        <f>+'Washington volumes'!F71</f>
        <v>0</v>
      </c>
      <c r="E71" s="177">
        <f>+'Rates in detail'!I71</f>
        <v>4.9800000000000001E-3</v>
      </c>
      <c r="F71" s="177">
        <f>+'Rates in detail'!E71+'Rates in detail'!F71+'Rates in detail'!G71</f>
        <v>0</v>
      </c>
      <c r="G71" s="177">
        <f>'Rates in detail'!H71</f>
        <v>-1.0000000000000001E-5</v>
      </c>
      <c r="H71" s="177">
        <f t="shared" si="10"/>
        <v>4.9899999999999996E-3</v>
      </c>
      <c r="I71" s="222">
        <f>ROUND(H71*D71,0)</f>
        <v>0</v>
      </c>
      <c r="J71" s="142">
        <f>+'Avg Bill by RS'!H83</f>
        <v>38000</v>
      </c>
      <c r="K71" s="43">
        <f>+'Washington volumes'!H71</f>
        <v>0</v>
      </c>
      <c r="L71" s="222">
        <f>ROUND(I71+(J71*K71*12),0)</f>
        <v>0</v>
      </c>
      <c r="M71" s="58"/>
      <c r="N71" s="435">
        <v>1</v>
      </c>
      <c r="O71" s="210">
        <f>ROUND(+$N$10*(($L71*N71)/N$75),0)</f>
        <v>0</v>
      </c>
      <c r="P71" s="209">
        <f>IF(O71&lt;&gt;0,ROUND((O71/$I71)*$H71,5),ROUND((N$10/$I$75)*$H71*N71,5))</f>
        <v>-8.0000000000000007E-5</v>
      </c>
      <c r="Q71" s="435">
        <v>1</v>
      </c>
      <c r="R71" s="210">
        <f>ROUND(+$Q$10*(($L71*Q71)/Q$75),0)</f>
        <v>0</v>
      </c>
      <c r="S71" s="209">
        <f>IF(R71&lt;&gt;0,ROUND((R71/$I71)*$H71,5),ROUND((Q$10/$I$75)*$H71*Q71,5))</f>
        <v>0</v>
      </c>
      <c r="T71" s="435">
        <v>1</v>
      </c>
      <c r="U71" s="210">
        <f>ROUND(+$T$10*(($L71*T71)/T$75),0)</f>
        <v>0</v>
      </c>
      <c r="V71" s="209">
        <f>IF(U71&lt;&gt;0,ROUND((U71/$I71)*$H71,5),ROUND((T$10/$I$75)*$H71*T71,5))</f>
        <v>-3.4000000000000002E-4</v>
      </c>
      <c r="W71" s="16"/>
      <c r="X71" s="255"/>
      <c r="Y71" s="256">
        <f t="shared" si="11"/>
        <v>0</v>
      </c>
    </row>
    <row r="72" spans="1:25" x14ac:dyDescent="0.25">
      <c r="A72" s="31">
        <f t="shared" si="0"/>
        <v>66</v>
      </c>
      <c r="B72" s="13" t="s">
        <v>114</v>
      </c>
      <c r="C72" s="10"/>
      <c r="D72" s="43">
        <f>+'Washington volumes'!F72</f>
        <v>0</v>
      </c>
      <c r="E72" s="176">
        <f>+'Rates in detail'!I72</f>
        <v>4.9800000000000001E-3</v>
      </c>
      <c r="F72" s="176">
        <f>+'Rates in detail'!E72+'Rates in detail'!F72+'Rates in detail'!G72</f>
        <v>0</v>
      </c>
      <c r="G72" s="176">
        <f>'Rates in detail'!H72</f>
        <v>-1.0000000000000001E-5</v>
      </c>
      <c r="H72" s="176">
        <f t="shared" si="10"/>
        <v>4.9899999999999996E-3</v>
      </c>
      <c r="I72" s="222">
        <f>ROUND(H72*D72,0)</f>
        <v>0</v>
      </c>
      <c r="J72" s="141">
        <f>+'Avg Bill by RS'!H84</f>
        <v>38000</v>
      </c>
      <c r="K72" s="43">
        <f>+'Washington volumes'!H72</f>
        <v>0</v>
      </c>
      <c r="L72" s="222">
        <f>ROUND(I72+(J72*K72*12),0)</f>
        <v>0</v>
      </c>
      <c r="M72" s="57"/>
      <c r="N72" s="433">
        <v>1</v>
      </c>
      <c r="O72" s="210">
        <f>ROUND(+$N$10*(($L72*N72)/N$75),0)</f>
        <v>0</v>
      </c>
      <c r="P72" s="45">
        <f>IF(O72&lt;&gt;0,ROUND((O72/$I72)*$H72,5),ROUND((N$10/$I$75)*$H72*N72,5))</f>
        <v>-8.0000000000000007E-5</v>
      </c>
      <c r="Q72" s="433">
        <v>1</v>
      </c>
      <c r="R72" s="210">
        <f>ROUND(+$Q$10*(($L72*Q72)/Q$75),0)</f>
        <v>0</v>
      </c>
      <c r="S72" s="45">
        <f>IF(R72&lt;&gt;0,ROUND((R72/$I72)*$H72,5),ROUND((Q$10/$I$75)*$H72*Q72,5))</f>
        <v>0</v>
      </c>
      <c r="T72" s="433">
        <v>1</v>
      </c>
      <c r="U72" s="210">
        <f>ROUND(+$T$10*(($L72*T72)/T$75),0)</f>
        <v>0</v>
      </c>
      <c r="V72" s="45">
        <f>IF(U72&lt;&gt;0,ROUND((U72/$I72)*$H72,5),ROUND((T$10/$I$75)*$H72*T72,5))</f>
        <v>-3.4000000000000002E-4</v>
      </c>
      <c r="W72" s="16"/>
      <c r="X72" s="255"/>
      <c r="Y72" s="256">
        <f t="shared" si="11"/>
        <v>0</v>
      </c>
    </row>
    <row r="73" spans="1:25" x14ac:dyDescent="0.25">
      <c r="A73" s="31">
        <f t="shared" si="0"/>
        <v>67</v>
      </c>
      <c r="B73" s="12" t="s">
        <v>144</v>
      </c>
      <c r="C73" s="10"/>
      <c r="D73" s="43"/>
      <c r="E73" s="178"/>
      <c r="F73" s="178"/>
      <c r="G73" s="178"/>
      <c r="H73" s="178"/>
      <c r="I73" s="222"/>
      <c r="J73" s="143"/>
      <c r="K73" s="43"/>
      <c r="L73" s="179"/>
      <c r="M73" s="57"/>
      <c r="N73" s="433"/>
      <c r="O73" s="43"/>
      <c r="P73" s="45"/>
      <c r="Q73" s="433"/>
      <c r="R73" s="43"/>
      <c r="S73" s="45"/>
      <c r="T73" s="433"/>
      <c r="U73" s="43"/>
      <c r="V73" s="45"/>
      <c r="W73" s="16"/>
      <c r="X73" s="255" t="s">
        <v>217</v>
      </c>
      <c r="Y73" s="257">
        <f>SUM(Y13:Y72)</f>
        <v>-2719251.9437121712</v>
      </c>
    </row>
    <row r="74" spans="1:25" ht="13.8" thickBot="1" x14ac:dyDescent="0.3">
      <c r="A74" s="31">
        <f t="shared" si="0"/>
        <v>68</v>
      </c>
      <c r="E74" s="436"/>
      <c r="F74" s="436"/>
      <c r="G74" s="436"/>
      <c r="H74" s="436"/>
      <c r="I74" s="437"/>
      <c r="L74" s="437"/>
      <c r="N74" s="438"/>
      <c r="Q74" s="439"/>
      <c r="T74" s="439"/>
      <c r="X74" s="258" t="s">
        <v>216</v>
      </c>
      <c r="Y74" s="440">
        <f>Y73-N10-Q10-T10</f>
        <v>150.05628782883286</v>
      </c>
    </row>
    <row r="75" spans="1:25" x14ac:dyDescent="0.25">
      <c r="A75" s="31">
        <f t="shared" si="0"/>
        <v>69</v>
      </c>
      <c r="B75" s="2" t="s">
        <v>118</v>
      </c>
      <c r="D75" s="55">
        <f>SUM(D13:D74)</f>
        <v>94869044.618701831</v>
      </c>
      <c r="E75" s="436"/>
      <c r="F75" s="436"/>
      <c r="G75" s="436"/>
      <c r="H75" s="436"/>
      <c r="I75" s="182">
        <f>SUM(I13:I73)</f>
        <v>31748184</v>
      </c>
      <c r="J75" s="55"/>
      <c r="K75" s="55"/>
      <c r="L75" s="182">
        <f>SUM(L13:L73)</f>
        <v>40238950</v>
      </c>
      <c r="N75" s="441">
        <f>ROUND(($L13*N13)+($L14*N14)+($L15*N15)+($L16*N16)+($L17*N17)+($L18*N18)+($L19*N19)+($L$21*N21)+($L23*N23)+($L$25*N25)+($L27*N27)+($L29*N29)+($L35*N35)+($L41*N41)+($L47*N47)+($L$53*N53)+($L59*N59)+($L65*N65)+($L71*N71)+($L72*N72)+($L73*N73),0)</f>
        <v>40238950</v>
      </c>
      <c r="O75" s="181">
        <f>SUM(O13:O74)</f>
        <v>-528295</v>
      </c>
      <c r="Q75" s="442">
        <f>ROUND(($L13*Q13)+($L14*Q14)+($L15*Q15)+($L16*Q16)+($L17*Q17)+($L18*Q18)+($L19*Q19)+($L$21*Q21)+($L23*Q23)+($L$25*Q25)+($L27*Q27)+($L29*Q29)+($L35*Q35)+($L41*Q41)+($L47*Q47)+($L$53*Q53)+($L59*Q59)+($L65*Q65)+($L71*Q71)+($L72*Q72)+($L73*Q73),0)</f>
        <v>40238950</v>
      </c>
      <c r="R75" s="230">
        <f>SUM(R13:R74)</f>
        <v>0</v>
      </c>
      <c r="T75" s="442">
        <f>ROUND(($L13*T13)+($L14*T14)+($L15*T15)+($L16*T16)+($L17*T17)+($L18*T18)+($L19*T19)+($L$21*T21)+($L23*T23)+($L$25*T25)+($L27*T27)+($L29*T29)+($L35*T35)+($L41*T41)+($L47*T47)+($L$53*T53)+($L59*T59)+($L65*T65)+($L71*T71)+($L72*T72)+($L73*T73),0)</f>
        <v>40238950</v>
      </c>
      <c r="U75" s="230">
        <f>SUM(U13:U74)</f>
        <v>-2191105</v>
      </c>
    </row>
    <row r="76" spans="1:25" x14ac:dyDescent="0.25">
      <c r="A76" s="31">
        <f t="shared" si="0"/>
        <v>70</v>
      </c>
      <c r="M76" s="55"/>
      <c r="N76" s="443"/>
      <c r="Q76" s="444"/>
      <c r="T76" s="444"/>
    </row>
    <row r="77" spans="1:25" ht="13.8" thickBot="1" x14ac:dyDescent="0.3">
      <c r="A77" s="31">
        <f t="shared" si="0"/>
        <v>71</v>
      </c>
      <c r="B77" s="22" t="s">
        <v>139</v>
      </c>
      <c r="N77" s="2"/>
      <c r="Q77" s="128"/>
      <c r="T77" s="128"/>
    </row>
    <row r="78" spans="1:25" ht="13.8" thickBot="1" x14ac:dyDescent="0.3">
      <c r="A78" s="31">
        <f t="shared" si="0"/>
        <v>72</v>
      </c>
      <c r="B78" s="23" t="s">
        <v>140</v>
      </c>
      <c r="C78" s="25"/>
      <c r="D78" s="25"/>
      <c r="E78" s="25"/>
      <c r="F78" s="25"/>
      <c r="G78" s="25"/>
      <c r="H78" s="25"/>
      <c r="I78" s="25"/>
      <c r="J78" s="25"/>
      <c r="K78" s="26" t="s">
        <v>119</v>
      </c>
      <c r="L78" s="25"/>
      <c r="M78" s="25"/>
      <c r="N78" s="26" t="s">
        <v>164</v>
      </c>
      <c r="O78" s="25"/>
      <c r="P78" s="131"/>
      <c r="Q78" s="26" t="s">
        <v>164</v>
      </c>
      <c r="R78" s="61"/>
      <c r="S78" s="229"/>
      <c r="T78" s="26" t="s">
        <v>164</v>
      </c>
      <c r="U78" s="61"/>
      <c r="V78" s="229"/>
      <c r="W78" s="152"/>
    </row>
    <row r="79" spans="1:25" ht="13.8" thickBot="1" x14ac:dyDescent="0.3">
      <c r="A79" s="31">
        <f t="shared" si="0"/>
        <v>73</v>
      </c>
      <c r="B79" s="22" t="s">
        <v>176</v>
      </c>
      <c r="N79" s="2"/>
      <c r="Q79" s="128"/>
      <c r="T79" s="128"/>
    </row>
    <row r="80" spans="1:25" ht="13.8" thickBot="1" x14ac:dyDescent="0.3">
      <c r="A80" s="31">
        <f t="shared" ref="A80:A82" si="15">+A79+1</f>
        <v>74</v>
      </c>
      <c r="B80" s="23" t="s">
        <v>177</v>
      </c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6" t="s">
        <v>178</v>
      </c>
      <c r="O80" s="25"/>
      <c r="P80" s="131"/>
      <c r="Q80" s="26" t="s">
        <v>178</v>
      </c>
      <c r="R80" s="61"/>
      <c r="S80" s="229"/>
      <c r="T80" s="26" t="s">
        <v>178</v>
      </c>
      <c r="U80" s="61"/>
      <c r="V80" s="229"/>
      <c r="W80" s="152"/>
    </row>
    <row r="81" spans="1:23" x14ac:dyDescent="0.25">
      <c r="A81" s="31">
        <f t="shared" si="15"/>
        <v>75</v>
      </c>
      <c r="N81" s="438"/>
      <c r="Q81" s="439"/>
      <c r="T81" s="439"/>
    </row>
    <row r="82" spans="1:23" x14ac:dyDescent="0.25">
      <c r="A82" s="31">
        <f t="shared" si="15"/>
        <v>76</v>
      </c>
      <c r="B82" s="199" t="s">
        <v>152</v>
      </c>
      <c r="N82" s="438"/>
      <c r="Q82" s="439"/>
      <c r="T82" s="439"/>
    </row>
    <row r="86" spans="1:23" x14ac:dyDescent="0.25">
      <c r="O86" s="100"/>
      <c r="R86" s="231"/>
      <c r="U86" s="231"/>
    </row>
    <row r="87" spans="1:23" x14ac:dyDescent="0.25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O87" s="156"/>
      <c r="P87" s="3"/>
      <c r="R87" s="232"/>
      <c r="S87" s="63"/>
      <c r="U87" s="232"/>
      <c r="V87" s="63"/>
      <c r="W87" s="63"/>
    </row>
    <row r="88" spans="1:23" x14ac:dyDescent="0.25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O88" s="76"/>
      <c r="P88" s="3"/>
      <c r="R88" s="233"/>
      <c r="S88" s="63"/>
      <c r="U88" s="233"/>
      <c r="V88" s="63"/>
      <c r="W88" s="63"/>
    </row>
    <row r="89" spans="1:23" x14ac:dyDescent="0.25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O89" s="76"/>
      <c r="P89" s="3"/>
      <c r="R89" s="233"/>
      <c r="S89" s="63"/>
      <c r="U89" s="233"/>
      <c r="V89" s="63"/>
      <c r="W89" s="63"/>
    </row>
    <row r="90" spans="1:23" x14ac:dyDescent="0.25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O90" s="100"/>
      <c r="P90" s="3"/>
      <c r="R90" s="231"/>
      <c r="S90" s="63"/>
      <c r="U90" s="231"/>
      <c r="V90" s="63"/>
      <c r="W90" s="63"/>
    </row>
    <row r="91" spans="1:23" x14ac:dyDescent="0.25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O91" s="55"/>
      <c r="P91" s="3"/>
      <c r="R91" s="234"/>
      <c r="S91" s="63"/>
      <c r="U91" s="234"/>
      <c r="V91" s="63"/>
      <c r="W91" s="63"/>
    </row>
    <row r="93" spans="1:23" x14ac:dyDescent="0.25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O93" s="100"/>
      <c r="P93" s="3"/>
      <c r="R93" s="231"/>
      <c r="S93" s="63"/>
      <c r="U93" s="231"/>
      <c r="V93" s="63"/>
      <c r="W93" s="63"/>
    </row>
    <row r="94" spans="1:23" x14ac:dyDescent="0.25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O94" s="55"/>
      <c r="P94" s="3"/>
      <c r="R94" s="234"/>
      <c r="S94" s="63"/>
      <c r="U94" s="234"/>
      <c r="V94" s="63"/>
      <c r="W94" s="63"/>
    </row>
    <row r="95" spans="1:23" x14ac:dyDescent="0.25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O95" s="55"/>
      <c r="P95" s="3"/>
      <c r="R95" s="234"/>
      <c r="S95" s="63"/>
      <c r="U95" s="234"/>
      <c r="V95" s="63"/>
      <c r="W95" s="63"/>
    </row>
    <row r="96" spans="1:23" x14ac:dyDescent="0.25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O96" s="55"/>
      <c r="P96" s="3"/>
      <c r="R96" s="234"/>
      <c r="S96" s="63"/>
      <c r="U96" s="234"/>
      <c r="V96" s="63"/>
      <c r="W96" s="63"/>
    </row>
  </sheetData>
  <mergeCells count="4">
    <mergeCell ref="T7:V7"/>
    <mergeCell ref="L11:L12"/>
    <mergeCell ref="N7:P7"/>
    <mergeCell ref="Q7:S7"/>
  </mergeCells>
  <phoneticPr fontId="3" type="noConversion"/>
  <printOptions horizontalCentered="1" verticalCentered="1"/>
  <pageMargins left="0.25" right="0.25" top="0.75" bottom="0.75" header="0.3" footer="0.3"/>
  <pageSetup scale="45" orientation="landscape" r:id="rId1"/>
  <headerFooter alignWithMargins="0">
    <oddHeader xml:space="preserve">&amp;RUG-181053 NWN Compliance Filing
Advice 19-07 / Work Paper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2018-12-31T08:00:00+00:00</OpenedDate>
    <SignificantOrder xmlns="dc463f71-b30c-4ab2-9473-d307f9d35888">false</SignificantOrder>
    <Date1 xmlns="dc463f71-b30c-4ab2-9473-d307f9d35888">2019-10-28T07:00:00+00:00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ocketNumber xmlns="dc463f71-b30c-4ab2-9473-d307f9d35888">181053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AC0F86E6201B749BFF193A83EBAB7E2" ma:contentTypeVersion="76" ma:contentTypeDescription="" ma:contentTypeScope="" ma:versionID="a883e322bdab798471268fcb39c5349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3E751F-2153-4FB7-9A9A-8B529B6B1F21}"/>
</file>

<file path=customXml/itemProps2.xml><?xml version="1.0" encoding="utf-8"?>
<ds:datastoreItem xmlns:ds="http://schemas.openxmlformats.org/officeDocument/2006/customXml" ds:itemID="{5FF424F5-265D-4887-BCEF-AB11BBD86E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894FB1-5DAF-4D23-A5D1-721DDD182922}">
  <ds:schemaRefs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3DE92743-53C2-4040-B14A-188F6C9C3F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10</vt:i4>
      </vt:variant>
    </vt:vector>
  </HeadingPairs>
  <TitlesOfParts>
    <vt:vector size="17" baseType="lpstr">
      <vt:lpstr>Inputs</vt:lpstr>
      <vt:lpstr>Washington volumes</vt:lpstr>
      <vt:lpstr>Avg Bill by RS</vt:lpstr>
      <vt:lpstr>Rates in summary</vt:lpstr>
      <vt:lpstr>Rates in detail</vt:lpstr>
      <vt:lpstr>Rev Req Proof</vt:lpstr>
      <vt:lpstr>Allocation = % of margin</vt:lpstr>
      <vt:lpstr>'Allocation = % of margin'!Print_Area</vt:lpstr>
      <vt:lpstr>'Avg Bill by RS'!Print_Area</vt:lpstr>
      <vt:lpstr>Inputs!Print_Area</vt:lpstr>
      <vt:lpstr>'Rates in detail'!Print_Area</vt:lpstr>
      <vt:lpstr>'Rates in summary'!Print_Area</vt:lpstr>
      <vt:lpstr>'Rev Req Proof'!Print_Area</vt:lpstr>
      <vt:lpstr>'Washington volumes'!Print_Area</vt:lpstr>
      <vt:lpstr>'Allocation = % of margin'!Print_Titles</vt:lpstr>
      <vt:lpstr>'Avg Bill by RS'!Print_Titles</vt:lpstr>
      <vt:lpstr>revsens</vt:lpstr>
    </vt:vector>
  </TitlesOfParts>
  <Company>NW Natural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NCS</dc:creator>
  <cp:lastModifiedBy>Lee, Erica N</cp:lastModifiedBy>
  <cp:lastPrinted>2019-10-28T21:17:46Z</cp:lastPrinted>
  <dcterms:created xsi:type="dcterms:W3CDTF">2005-11-10T23:09:08Z</dcterms:created>
  <dcterms:modified xsi:type="dcterms:W3CDTF">2019-10-28T21:17:47Z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0x0101006E56B4D1795A2E4DB2F0B01679ED314A007AC0F86E6201B749BFF193A83EBAB7E2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