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s://projects.nwnatural.com/sites/operations/RateCase/2019WA/Compliance filing/Work Papers_Filed/"/>
    </mc:Choice>
  </mc:AlternateContent>
  <bookViews>
    <workbookView xWindow="0" yWindow="0" windowWidth="20160" windowHeight="8460" tabRatio="933" firstSheet="1" activeTab="8"/>
  </bookViews>
  <sheets>
    <sheet name="Index &amp; Documentation" sheetId="9" state="hidden" r:id="rId1"/>
    <sheet name="Inputs" sheetId="2" r:id="rId2"/>
    <sheet name="Washington volumes" sheetId="1" r:id="rId3"/>
    <sheet name="Avg Bill by RS" sheetId="12" r:id="rId4"/>
    <sheet name="Rates in summary" sheetId="11" r:id="rId5"/>
    <sheet name="Rates in detail" sheetId="3" r:id="rId6"/>
    <sheet name="Temporaries" sheetId="7" r:id="rId7"/>
    <sheet name="Allocation equal ¢ per therm" sheetId="5" r:id="rId8"/>
    <sheet name="Allocation = % of margin" sheetId="8" r:id="rId9"/>
    <sheet name="Inputs for FCST MGN" sheetId="52" state="hidden" r:id="rId10"/>
    <sheet name="Amortization" sheetId="44" state="hidden" r:id="rId11"/>
    <sheet name="Rates for MAS GS" sheetId="50" state="hidden" r:id="rId12"/>
  </sheets>
  <externalReferences>
    <externalReference r:id="rId13"/>
    <externalReference r:id="rId14"/>
    <externalReference r:id="rId15"/>
    <externalReference r:id="rId16"/>
  </externalReferences>
  <definedNames>
    <definedName name="calcsheet1" localSheetId="11">#N/A</definedName>
    <definedName name="calcsheet1">#N/A</definedName>
    <definedName name="calcsheet2" localSheetId="11">#N/A</definedName>
    <definedName name="calcsheet2">#N/A</definedName>
    <definedName name="calcsheet3" localSheetId="11">#N/A</definedName>
    <definedName name="calcsheet3">#N/A</definedName>
    <definedName name="CMonth">#REF!</definedName>
    <definedName name="CYTD">#REF!</definedName>
    <definedName name="Differences">#REF!</definedName>
    <definedName name="DivM">#REF!</definedName>
    <definedName name="DivY">#REF!</definedName>
    <definedName name="EFFDATE" localSheetId="9">[1]Inputs!$B$85</definedName>
    <definedName name="EFFDATE">Inputs!$B$56</definedName>
    <definedName name="EMonth">[2]Data!$G$4:$G$4,[2]Data!#REF!</definedName>
    <definedName name="ExpM">#REF!</definedName>
    <definedName name="ExpY">#REF!</definedName>
    <definedName name="EYTD">[2]Data!#REF!,[2]Data!#REF!</definedName>
    <definedName name="Line_Loss" localSheetId="9">'[3]General Inputs - Others'!$F$10</definedName>
    <definedName name="Month">#REF!</definedName>
    <definedName name="_xlnm.Print_Area" localSheetId="8">'Allocation = % of margin'!$A$1:$Y$76</definedName>
    <definedName name="_xlnm.Print_Area" localSheetId="7">'Allocation equal ¢ per therm'!$A$1:$N$74</definedName>
    <definedName name="_xlnm.Print_Area" localSheetId="10">Amortization!$A$1:$O$71</definedName>
    <definedName name="_xlnm.Print_Area" localSheetId="1">Inputs!$A$1:$G$54</definedName>
    <definedName name="_xlnm.Print_Area" localSheetId="9">'Inputs for FCST MGN'!$A$1:$P$84</definedName>
    <definedName name="_xlnm.Print_Area" localSheetId="11">'Rates for MAS GS'!$A$2:$O$90</definedName>
    <definedName name="_xlnm.Print_Area" localSheetId="5">'Rates in detail'!$A$1:$V$74</definedName>
    <definedName name="_xlnm.Print_Area" localSheetId="4">'Rates in summary'!$A$1:$Q$74</definedName>
    <definedName name="_xlnm.Print_Area" localSheetId="6">Temporaries!$A$1:$J$75</definedName>
    <definedName name="_xlnm.Print_Area" localSheetId="2">'Washington volumes'!$A$1:$M$72</definedName>
    <definedName name="_xlnm.Print_Titles" localSheetId="8">'Allocation = % of margin'!$A:$M</definedName>
    <definedName name="_xlnm.Print_Titles" localSheetId="7">'Allocation equal ¢ per therm'!$A:$E</definedName>
    <definedName name="_xlnm.Print_Titles" localSheetId="10">Amortization!$A:$C,Amortization!$1:$12</definedName>
    <definedName name="_xlnm.Print_Titles" localSheetId="3">'Avg Bill by RS'!$A:$I</definedName>
    <definedName name="_xlnm.Print_Titles" localSheetId="9">'Inputs for FCST MGN'!$A:$C,'Inputs for FCST MGN'!$6:$7</definedName>
    <definedName name="_xlnm.Print_Titles" localSheetId="6">Temporaries!$A:$C,Temporaries!$1:$12</definedName>
    <definedName name="print55" localSheetId="9">#REF!</definedName>
    <definedName name="print55">#REF!</definedName>
    <definedName name="RevM">#REF!</definedName>
    <definedName name="revsens" localSheetId="9">[1]Inputs!$B$30</definedName>
    <definedName name="revsens">Inputs!$B$30</definedName>
    <definedName name="RevY">#REF!</definedName>
    <definedName name="RptDate">#REF!</definedName>
    <definedName name="shitodear">#N/A</definedName>
    <definedName name="shitodear2">#N/A</definedName>
    <definedName name="shitodear3">#N/A</definedName>
    <definedName name="Version">#REF!</definedName>
    <definedName name="wa_revsens">'[4]General Inputs'!$E$10</definedName>
  </definedNames>
  <calcPr calcId="152511"/>
</workbook>
</file>

<file path=xl/calcChain.xml><?xml version="1.0" encoding="utf-8"?>
<calcChain xmlns="http://schemas.openxmlformats.org/spreadsheetml/2006/main">
  <c r="Q14" i="1" l="1"/>
  <c r="Q15" i="1" s="1"/>
  <c r="Q13" i="1"/>
  <c r="A46" i="2" l="1"/>
  <c r="A47" i="2" s="1"/>
  <c r="A48" i="2" s="1"/>
  <c r="A49" i="2" s="1"/>
  <c r="A50" i="2" s="1"/>
  <c r="A51" i="2" s="1"/>
  <c r="A52" i="2" s="1"/>
  <c r="A53" i="2" s="1"/>
  <c r="A54" i="2" s="1"/>
  <c r="A55" i="2" s="1"/>
  <c r="D22" i="2" l="1"/>
  <c r="D20" i="2"/>
  <c r="D18" i="2"/>
  <c r="AK67" i="7" l="1"/>
  <c r="B59" i="2" l="1"/>
  <c r="I71" i="1" l="1"/>
  <c r="H71" i="1"/>
  <c r="G71" i="1"/>
  <c r="F71" i="1"/>
  <c r="J71" i="1" l="1"/>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AI67" i="3" l="1"/>
  <c r="AF67" i="3"/>
  <c r="AC67" i="3"/>
  <c r="V8" i="12"/>
  <c r="R8" i="12" l="1"/>
  <c r="Q8" i="12"/>
  <c r="P8" i="12"/>
  <c r="W8" i="12"/>
  <c r="X8" i="12" s="1"/>
  <c r="L8" i="12"/>
  <c r="S8" i="12"/>
  <c r="M8" i="12"/>
  <c r="T8" i="12"/>
  <c r="N8" i="12"/>
  <c r="O8" i="12"/>
  <c r="K8" i="12"/>
  <c r="U8" i="12"/>
  <c r="J8" i="12"/>
  <c r="F18" i="3" l="1"/>
  <c r="F17" i="3"/>
  <c r="F16" i="3"/>
  <c r="F15" i="3"/>
  <c r="F14" i="3"/>
  <c r="E28" i="3"/>
  <c r="E27" i="3"/>
  <c r="E26" i="3"/>
  <c r="E25" i="3"/>
  <c r="E40" i="3"/>
  <c r="E39" i="3"/>
  <c r="E38" i="3"/>
  <c r="E37" i="3"/>
  <c r="E36" i="3"/>
  <c r="E35" i="3"/>
  <c r="E34" i="3"/>
  <c r="E33" i="3"/>
  <c r="E32" i="3"/>
  <c r="E31" i="3"/>
  <c r="E30" i="3"/>
  <c r="E29" i="3"/>
  <c r="E58" i="3"/>
  <c r="E57" i="3"/>
  <c r="E56" i="3"/>
  <c r="E55" i="3"/>
  <c r="E54" i="3"/>
  <c r="E53" i="3"/>
  <c r="E52" i="3"/>
  <c r="E51" i="3"/>
  <c r="E50" i="3"/>
  <c r="E49" i="3"/>
  <c r="E48" i="3"/>
  <c r="E47" i="3"/>
  <c r="E22" i="3"/>
  <c r="E21" i="3"/>
  <c r="E20" i="3"/>
  <c r="E19" i="3"/>
  <c r="E18" i="3"/>
  <c r="E17" i="3"/>
  <c r="E16" i="3"/>
  <c r="E15" i="3"/>
  <c r="E14" i="3"/>
  <c r="BE67" i="7" l="1"/>
  <c r="W75" i="7" l="1"/>
  <c r="AO67" i="7"/>
  <c r="X10" i="8"/>
  <c r="W8" i="8"/>
  <c r="W9" i="8" l="1"/>
  <c r="W10" i="8" s="1"/>
  <c r="X8" i="8"/>
  <c r="W120" i="52" l="1"/>
  <c r="L68" i="1" l="1"/>
  <c r="I67" i="44" l="1"/>
  <c r="H67" i="44"/>
  <c r="G67" i="44"/>
  <c r="F67" i="44"/>
  <c r="E67" i="44"/>
  <c r="V75" i="7" l="1"/>
  <c r="L75" i="7"/>
  <c r="K75" i="7"/>
  <c r="H75" i="7"/>
  <c r="G75" i="7"/>
  <c r="F75" i="7"/>
  <c r="J25" i="8"/>
  <c r="J21" i="8"/>
  <c r="J67" i="44" l="1"/>
  <c r="G84" i="52"/>
  <c r="AK67" i="3" l="1"/>
  <c r="AE60" i="3"/>
  <c r="AD60" i="3"/>
  <c r="AE59" i="3"/>
  <c r="AD59" i="3"/>
  <c r="AD58" i="3"/>
  <c r="AD57" i="3"/>
  <c r="AD56" i="3"/>
  <c r="AD55" i="3"/>
  <c r="AD54" i="3"/>
  <c r="AD53" i="3"/>
  <c r="AD52" i="3"/>
  <c r="AD51" i="3"/>
  <c r="AD50" i="3"/>
  <c r="AD49" i="3"/>
  <c r="AD48" i="3"/>
  <c r="AD47" i="3"/>
  <c r="AE46" i="3"/>
  <c r="AD46" i="3"/>
  <c r="AE45" i="3"/>
  <c r="AD45" i="3"/>
  <c r="AE44" i="3"/>
  <c r="AD44" i="3"/>
  <c r="AE43" i="3"/>
  <c r="AD43" i="3"/>
  <c r="AE42" i="3"/>
  <c r="AD42" i="3"/>
  <c r="AE41" i="3"/>
  <c r="AD41" i="3"/>
  <c r="AD40" i="3"/>
  <c r="AD39" i="3"/>
  <c r="AD38" i="3"/>
  <c r="AD37" i="3"/>
  <c r="AD36" i="3"/>
  <c r="AD35" i="3"/>
  <c r="AD34" i="3"/>
  <c r="AD33" i="3"/>
  <c r="AD32" i="3"/>
  <c r="AD31" i="3"/>
  <c r="AD30" i="3"/>
  <c r="AD29" i="3"/>
  <c r="AD28" i="3"/>
  <c r="AD27" i="3"/>
  <c r="AD26" i="3"/>
  <c r="AD25" i="3"/>
  <c r="AE24" i="3"/>
  <c r="AD24" i="3"/>
  <c r="AE23" i="3"/>
  <c r="AD23" i="3"/>
  <c r="AD22" i="3"/>
  <c r="AD21" i="3"/>
  <c r="AD20" i="3"/>
  <c r="AD19" i="3"/>
  <c r="J47" i="8"/>
  <c r="D67" i="44"/>
  <c r="AW67" i="7"/>
  <c r="AV67" i="7"/>
  <c r="AQ67" i="7"/>
  <c r="K10" i="7"/>
  <c r="U10" i="8"/>
  <c r="R10" i="8"/>
  <c r="T8" i="8"/>
  <c r="T7" i="8"/>
  <c r="V10" i="7" s="1"/>
  <c r="N8" i="8"/>
  <c r="N7" i="8"/>
  <c r="F52" i="11"/>
  <c r="D52" i="11"/>
  <c r="F51" i="11"/>
  <c r="D51" i="11"/>
  <c r="F50" i="11"/>
  <c r="D50" i="11"/>
  <c r="F49" i="11"/>
  <c r="D49" i="11"/>
  <c r="F48" i="11"/>
  <c r="D48" i="11"/>
  <c r="F47" i="11"/>
  <c r="D47" i="11"/>
  <c r="F22" i="11"/>
  <c r="D22" i="11"/>
  <c r="F21" i="11"/>
  <c r="D21" i="11"/>
  <c r="F26" i="11"/>
  <c r="D26" i="11"/>
  <c r="F25" i="11"/>
  <c r="D25" i="11"/>
  <c r="H52" i="3"/>
  <c r="H51" i="3"/>
  <c r="H50" i="3"/>
  <c r="H49" i="3"/>
  <c r="H48" i="3"/>
  <c r="H47" i="3"/>
  <c r="H22" i="3"/>
  <c r="H21" i="3"/>
  <c r="H26" i="3"/>
  <c r="H25" i="3"/>
  <c r="AX67" i="7" l="1"/>
  <c r="G52" i="8"/>
  <c r="F52" i="8"/>
  <c r="E52" i="8"/>
  <c r="G51" i="8"/>
  <c r="F51" i="8"/>
  <c r="E51" i="8"/>
  <c r="G50" i="8"/>
  <c r="F50" i="8"/>
  <c r="E50" i="8"/>
  <c r="G49" i="8"/>
  <c r="F49" i="8"/>
  <c r="E49" i="8"/>
  <c r="G48" i="8"/>
  <c r="F48" i="8"/>
  <c r="E48" i="8"/>
  <c r="K47" i="8"/>
  <c r="G47" i="8"/>
  <c r="F47" i="8"/>
  <c r="E47" i="8"/>
  <c r="G26" i="8"/>
  <c r="F26" i="8"/>
  <c r="E26" i="8"/>
  <c r="K25" i="8"/>
  <c r="G25" i="8"/>
  <c r="F25" i="8"/>
  <c r="E25" i="8"/>
  <c r="G22" i="8"/>
  <c r="F22" i="8"/>
  <c r="E22" i="8"/>
  <c r="K21" i="8"/>
  <c r="G21" i="8"/>
  <c r="F21" i="8"/>
  <c r="E21" i="8"/>
  <c r="H60" i="12"/>
  <c r="H59" i="12"/>
  <c r="H58" i="12"/>
  <c r="H57" i="12"/>
  <c r="H56" i="12"/>
  <c r="H55" i="12"/>
  <c r="H29" i="12"/>
  <c r="H28" i="12"/>
  <c r="H23" i="12"/>
  <c r="H22" i="12"/>
  <c r="L81" i="1"/>
  <c r="L80" i="1"/>
  <c r="L79" i="1"/>
  <c r="L78" i="1"/>
  <c r="M78" i="1" s="1"/>
  <c r="I81" i="1"/>
  <c r="H81" i="1"/>
  <c r="G81" i="1"/>
  <c r="G80" i="1"/>
  <c r="F80" i="1"/>
  <c r="H79" i="1"/>
  <c r="F79" i="1"/>
  <c r="I78" i="1"/>
  <c r="H78" i="1"/>
  <c r="G78" i="1"/>
  <c r="E80" i="1"/>
  <c r="E79" i="1"/>
  <c r="E78" i="1"/>
  <c r="H22" i="8" l="1"/>
  <c r="H47" i="8"/>
  <c r="H48" i="8"/>
  <c r="H50" i="8"/>
  <c r="H52" i="8"/>
  <c r="H26" i="8"/>
  <c r="H51" i="8"/>
  <c r="H49" i="8"/>
  <c r="H25" i="8"/>
  <c r="H21" i="8"/>
  <c r="L84" i="1"/>
  <c r="L83" i="1"/>
  <c r="L76" i="1"/>
  <c r="L82" i="1" s="1"/>
  <c r="L75" i="1"/>
  <c r="H84" i="1"/>
  <c r="G84" i="1"/>
  <c r="F84" i="1"/>
  <c r="I83" i="1"/>
  <c r="I75" i="1"/>
  <c r="H75" i="1"/>
  <c r="G75" i="1"/>
  <c r="F75" i="1"/>
  <c r="E83" i="1"/>
  <c r="E76" i="1"/>
  <c r="E84" i="1"/>
  <c r="D32" i="2"/>
  <c r="L85" i="1" l="1"/>
  <c r="E70" i="3"/>
  <c r="F70" i="3" s="1"/>
  <c r="G70" i="3" s="1"/>
  <c r="V7" i="3"/>
  <c r="Q8" i="11"/>
  <c r="D8" i="11"/>
  <c r="D8" i="3"/>
  <c r="D10" i="2" l="1"/>
  <c r="D12" i="2" s="1"/>
  <c r="D14" i="2" s="1"/>
  <c r="I8" i="5" l="1"/>
  <c r="L8" i="5"/>
  <c r="F8" i="5"/>
  <c r="Q8" i="8"/>
  <c r="I13" i="3"/>
  <c r="I53" i="3" s="1"/>
  <c r="J13" i="3"/>
  <c r="J15" i="3" s="1"/>
  <c r="AD15" i="3" s="1"/>
  <c r="F9" i="5"/>
  <c r="I9" i="5"/>
  <c r="L9" i="5"/>
  <c r="O9" i="5"/>
  <c r="O10" i="5" s="1"/>
  <c r="R9" i="5"/>
  <c r="R10" i="5" s="1"/>
  <c r="N9" i="8"/>
  <c r="N10" i="8" s="1"/>
  <c r="Q9" i="8"/>
  <c r="Z8" i="8"/>
  <c r="Z10" i="8" s="1"/>
  <c r="J23" i="1"/>
  <c r="D25" i="12" s="1"/>
  <c r="J24" i="1"/>
  <c r="D24" i="5" s="1"/>
  <c r="G24" i="5" s="1"/>
  <c r="J41" i="1"/>
  <c r="D41" i="5" s="1"/>
  <c r="J41" i="5" s="1"/>
  <c r="J42" i="1"/>
  <c r="D42" i="5" s="1"/>
  <c r="G42" i="5" s="1"/>
  <c r="J43" i="1"/>
  <c r="D43" i="5" s="1"/>
  <c r="J44" i="1"/>
  <c r="D44" i="5" s="1"/>
  <c r="J45" i="1"/>
  <c r="D45" i="5" s="1"/>
  <c r="J46" i="1"/>
  <c r="D46" i="5" s="1"/>
  <c r="J59" i="1"/>
  <c r="D59" i="5" s="1"/>
  <c r="J59" i="5" s="1"/>
  <c r="J60" i="1"/>
  <c r="D60" i="5" s="1"/>
  <c r="G60" i="5" s="1"/>
  <c r="J61" i="1"/>
  <c r="D61" i="5" s="1"/>
  <c r="J61" i="5" s="1"/>
  <c r="J62" i="1"/>
  <c r="D62" i="5" s="1"/>
  <c r="G62" i="5" s="1"/>
  <c r="J63" i="1"/>
  <c r="D63" i="5" s="1"/>
  <c r="J64" i="1"/>
  <c r="D64" i="5" s="1"/>
  <c r="J65" i="1"/>
  <c r="D65" i="5" s="1"/>
  <c r="J66" i="1"/>
  <c r="D66" i="5" s="1"/>
  <c r="K16" i="8"/>
  <c r="K13" i="8"/>
  <c r="K14" i="8"/>
  <c r="K15" i="8"/>
  <c r="K17" i="8"/>
  <c r="K18" i="8"/>
  <c r="K19" i="8"/>
  <c r="K23" i="8"/>
  <c r="K27" i="8"/>
  <c r="K29" i="8"/>
  <c r="K35" i="8"/>
  <c r="D42" i="8"/>
  <c r="K41" i="8"/>
  <c r="K53" i="8"/>
  <c r="K59" i="8"/>
  <c r="K65" i="8"/>
  <c r="K66" i="8"/>
  <c r="T9" i="8"/>
  <c r="E13" i="8"/>
  <c r="F13" i="8"/>
  <c r="E14" i="8"/>
  <c r="F14" i="8"/>
  <c r="E15" i="8"/>
  <c r="F15" i="8"/>
  <c r="E16" i="8"/>
  <c r="F16" i="8"/>
  <c r="E17" i="8"/>
  <c r="F17" i="8"/>
  <c r="E18" i="8"/>
  <c r="F18" i="8"/>
  <c r="E19" i="8"/>
  <c r="F19" i="8"/>
  <c r="E20" i="8"/>
  <c r="F20" i="8"/>
  <c r="E23" i="8"/>
  <c r="F23" i="8"/>
  <c r="E24" i="8"/>
  <c r="F24" i="8"/>
  <c r="E27" i="8"/>
  <c r="F27" i="8"/>
  <c r="E28" i="8"/>
  <c r="F28" i="8"/>
  <c r="E29" i="8"/>
  <c r="F29" i="8"/>
  <c r="E30" i="8"/>
  <c r="F30" i="8"/>
  <c r="E31" i="8"/>
  <c r="F31" i="8"/>
  <c r="E32" i="8"/>
  <c r="F32" i="8"/>
  <c r="E33" i="8"/>
  <c r="F33" i="8"/>
  <c r="E34" i="8"/>
  <c r="F34" i="8"/>
  <c r="E35" i="8"/>
  <c r="F35" i="8"/>
  <c r="E36" i="8"/>
  <c r="F36" i="8"/>
  <c r="E37" i="8"/>
  <c r="F37" i="8"/>
  <c r="E38" i="8"/>
  <c r="F38" i="8"/>
  <c r="E39" i="8"/>
  <c r="F39" i="8"/>
  <c r="E40" i="8"/>
  <c r="F40" i="8"/>
  <c r="E41" i="8"/>
  <c r="F41" i="8"/>
  <c r="E42" i="8"/>
  <c r="F42" i="8"/>
  <c r="E43" i="8"/>
  <c r="F43" i="8"/>
  <c r="E44" i="8"/>
  <c r="F44" i="8"/>
  <c r="E45" i="8"/>
  <c r="F45" i="8"/>
  <c r="E46" i="8"/>
  <c r="F46" i="8"/>
  <c r="E53" i="8"/>
  <c r="F53" i="8"/>
  <c r="E54" i="8"/>
  <c r="F54" i="8"/>
  <c r="E55" i="8"/>
  <c r="F55" i="8"/>
  <c r="E56" i="8"/>
  <c r="F56" i="8"/>
  <c r="E57" i="8"/>
  <c r="F57" i="8"/>
  <c r="E58" i="8"/>
  <c r="F58" i="8"/>
  <c r="E59" i="8"/>
  <c r="F59" i="8"/>
  <c r="E60" i="8"/>
  <c r="F60" i="8"/>
  <c r="E61" i="8"/>
  <c r="F61" i="8"/>
  <c r="E62" i="8"/>
  <c r="F62" i="8"/>
  <c r="E63" i="8"/>
  <c r="F63" i="8"/>
  <c r="E64" i="8"/>
  <c r="F64" i="8"/>
  <c r="E65" i="8"/>
  <c r="F65" i="8"/>
  <c r="E66" i="8"/>
  <c r="F66" i="8"/>
  <c r="AD67" i="3"/>
  <c r="AE67" i="3"/>
  <c r="AD66" i="3"/>
  <c r="AE66" i="3"/>
  <c r="AD65" i="3"/>
  <c r="AE65" i="3"/>
  <c r="AD64" i="3"/>
  <c r="AE64" i="3"/>
  <c r="AD63" i="3"/>
  <c r="AE63" i="3"/>
  <c r="AD62" i="3"/>
  <c r="AE62" i="3"/>
  <c r="AD61" i="3"/>
  <c r="AE61" i="3"/>
  <c r="G13" i="8"/>
  <c r="G14" i="8"/>
  <c r="G15" i="8"/>
  <c r="G16" i="8"/>
  <c r="G17" i="8"/>
  <c r="G18" i="8"/>
  <c r="G19" i="8"/>
  <c r="G20" i="8"/>
  <c r="G23" i="8"/>
  <c r="G24" i="8"/>
  <c r="G27" i="8"/>
  <c r="G28" i="8"/>
  <c r="G29" i="8"/>
  <c r="G30" i="8"/>
  <c r="G31" i="8"/>
  <c r="G32" i="8"/>
  <c r="G33" i="8"/>
  <c r="G34" i="8"/>
  <c r="G35" i="8"/>
  <c r="G36" i="8"/>
  <c r="G37" i="8"/>
  <c r="G38" i="8"/>
  <c r="G39" i="8"/>
  <c r="G40" i="8"/>
  <c r="G41" i="8"/>
  <c r="G42" i="8"/>
  <c r="G43" i="8"/>
  <c r="G44" i="8"/>
  <c r="G45" i="8"/>
  <c r="G46" i="8"/>
  <c r="G53" i="8"/>
  <c r="G54" i="8"/>
  <c r="G55" i="8"/>
  <c r="G56" i="8"/>
  <c r="G57" i="8"/>
  <c r="G58" i="8"/>
  <c r="G59" i="8"/>
  <c r="G60" i="8"/>
  <c r="G61" i="8"/>
  <c r="G62" i="8"/>
  <c r="G63" i="8"/>
  <c r="G64" i="8"/>
  <c r="G65" i="8"/>
  <c r="G66" i="8"/>
  <c r="AS67" i="7"/>
  <c r="AI67" i="7"/>
  <c r="AN67" i="7" s="1"/>
  <c r="AJ67" i="7"/>
  <c r="D15" i="11"/>
  <c r="H15" i="12" s="1"/>
  <c r="U8" i="8"/>
  <c r="R8" i="8"/>
  <c r="O8" i="8"/>
  <c r="AA8" i="8"/>
  <c r="Q7" i="8"/>
  <c r="L10" i="7" s="1"/>
  <c r="D66" i="11"/>
  <c r="H77" i="12" s="1"/>
  <c r="E66" i="11"/>
  <c r="F66" i="11"/>
  <c r="D65" i="11"/>
  <c r="H76" i="12" s="1"/>
  <c r="E65" i="11"/>
  <c r="F65" i="11"/>
  <c r="D64" i="11"/>
  <c r="H74" i="12" s="1"/>
  <c r="E64" i="11"/>
  <c r="F64" i="11"/>
  <c r="D63" i="11"/>
  <c r="H73" i="12" s="1"/>
  <c r="E63" i="11"/>
  <c r="F63" i="11"/>
  <c r="D62" i="11"/>
  <c r="H72" i="12" s="1"/>
  <c r="E62" i="11"/>
  <c r="F62" i="11"/>
  <c r="D61" i="11"/>
  <c r="E61" i="11"/>
  <c r="F61" i="11"/>
  <c r="D60" i="11"/>
  <c r="E60" i="11"/>
  <c r="F60" i="11"/>
  <c r="D59" i="11"/>
  <c r="H69" i="12" s="1"/>
  <c r="E59" i="11"/>
  <c r="F59" i="11"/>
  <c r="D58" i="11"/>
  <c r="H67" i="12" s="1"/>
  <c r="F58" i="11"/>
  <c r="D57" i="11"/>
  <c r="H66" i="12" s="1"/>
  <c r="F57" i="11"/>
  <c r="D56" i="11"/>
  <c r="H65" i="12" s="1"/>
  <c r="F56" i="11"/>
  <c r="D55" i="11"/>
  <c r="H64" i="12" s="1"/>
  <c r="F55" i="11"/>
  <c r="D54" i="11"/>
  <c r="H63" i="12" s="1"/>
  <c r="F54" i="11"/>
  <c r="D53" i="11"/>
  <c r="H62" i="12" s="1"/>
  <c r="F53" i="11"/>
  <c r="D46" i="11"/>
  <c r="H53" i="12" s="1"/>
  <c r="E46" i="11"/>
  <c r="F46" i="11"/>
  <c r="D45" i="11"/>
  <c r="E45" i="11"/>
  <c r="F45" i="11"/>
  <c r="D44" i="11"/>
  <c r="E44" i="11"/>
  <c r="F44" i="11"/>
  <c r="D43" i="11"/>
  <c r="H50" i="12" s="1"/>
  <c r="E43" i="11"/>
  <c r="F43" i="11"/>
  <c r="D42" i="11"/>
  <c r="H49" i="12" s="1"/>
  <c r="E42" i="11"/>
  <c r="F42" i="11"/>
  <c r="D41" i="11"/>
  <c r="H48" i="12" s="1"/>
  <c r="E41" i="11"/>
  <c r="F41" i="11"/>
  <c r="D40" i="11"/>
  <c r="H46" i="12" s="1"/>
  <c r="F40" i="11"/>
  <c r="D39" i="11"/>
  <c r="H45" i="12" s="1"/>
  <c r="F39" i="11"/>
  <c r="D38" i="11"/>
  <c r="H44" i="12" s="1"/>
  <c r="F38" i="11"/>
  <c r="D37" i="11"/>
  <c r="H43" i="12" s="1"/>
  <c r="F37" i="11"/>
  <c r="D36" i="11"/>
  <c r="H42" i="12" s="1"/>
  <c r="F36" i="11"/>
  <c r="D35" i="11"/>
  <c r="H41" i="12" s="1"/>
  <c r="F35" i="11"/>
  <c r="D34" i="11"/>
  <c r="H39" i="12" s="1"/>
  <c r="F34" i="11"/>
  <c r="D33" i="11"/>
  <c r="H38" i="12" s="1"/>
  <c r="F33" i="11"/>
  <c r="D32" i="11"/>
  <c r="H37" i="12" s="1"/>
  <c r="F32" i="11"/>
  <c r="D31" i="11"/>
  <c r="H36" i="12" s="1"/>
  <c r="F31" i="11"/>
  <c r="D30" i="11"/>
  <c r="H35" i="12" s="1"/>
  <c r="F30" i="11"/>
  <c r="D29" i="11"/>
  <c r="F29" i="11"/>
  <c r="D28" i="11"/>
  <c r="H32" i="12" s="1"/>
  <c r="F28" i="11"/>
  <c r="D27" i="11"/>
  <c r="H31" i="12" s="1"/>
  <c r="F27" i="11"/>
  <c r="D24" i="11"/>
  <c r="H26" i="12" s="1"/>
  <c r="E24" i="11"/>
  <c r="F24" i="11"/>
  <c r="D23" i="11"/>
  <c r="H25" i="12" s="1"/>
  <c r="E23" i="11"/>
  <c r="F23" i="11"/>
  <c r="D20" i="11"/>
  <c r="H20" i="12" s="1"/>
  <c r="F20" i="11"/>
  <c r="D19" i="11"/>
  <c r="H19" i="12" s="1"/>
  <c r="F19" i="11"/>
  <c r="D18" i="11"/>
  <c r="H18" i="12" s="1"/>
  <c r="D17" i="11"/>
  <c r="H17" i="12" s="1"/>
  <c r="D16" i="11"/>
  <c r="H16" i="12" s="1"/>
  <c r="D14" i="11"/>
  <c r="H14" i="12" s="1"/>
  <c r="D13" i="11"/>
  <c r="H13" i="12" s="1"/>
  <c r="O82" i="50"/>
  <c r="M40" i="50"/>
  <c r="O64" i="50"/>
  <c r="O73" i="50" s="1"/>
  <c r="O63" i="50"/>
  <c r="O72" i="50" s="1"/>
  <c r="O55" i="50"/>
  <c r="O54" i="50"/>
  <c r="O53" i="50"/>
  <c r="O52" i="50"/>
  <c r="O39" i="50"/>
  <c r="M11" i="50"/>
  <c r="O18" i="50"/>
  <c r="O14" i="50"/>
  <c r="O13" i="50"/>
  <c r="O10" i="50"/>
  <c r="M5" i="50"/>
  <c r="L5" i="50"/>
  <c r="O4" i="50"/>
  <c r="J66" i="8"/>
  <c r="J65" i="8"/>
  <c r="J53" i="8"/>
  <c r="J35" i="8"/>
  <c r="J29" i="8"/>
  <c r="J27" i="8"/>
  <c r="J19" i="8"/>
  <c r="J18" i="8"/>
  <c r="J17" i="8"/>
  <c r="J16" i="8"/>
  <c r="J15" i="8"/>
  <c r="J14" i="8"/>
  <c r="J13" i="8"/>
  <c r="H15" i="3"/>
  <c r="M1" i="50"/>
  <c r="H64" i="3"/>
  <c r="L64" i="3" s="1"/>
  <c r="H59" i="3"/>
  <c r="L59" i="3" s="1"/>
  <c r="H60" i="3"/>
  <c r="L60" i="3" s="1"/>
  <c r="H61" i="3"/>
  <c r="L61" i="3" s="1"/>
  <c r="H62" i="3"/>
  <c r="L62" i="3" s="1"/>
  <c r="H63" i="3"/>
  <c r="L63" i="3" s="1"/>
  <c r="H13" i="3"/>
  <c r="H14" i="3"/>
  <c r="H16" i="3"/>
  <c r="H17" i="3"/>
  <c r="H18" i="3"/>
  <c r="H19" i="3"/>
  <c r="H20" i="3"/>
  <c r="H23" i="3"/>
  <c r="L23" i="3" s="1"/>
  <c r="H24" i="3"/>
  <c r="L24" i="3" s="1"/>
  <c r="H27" i="3"/>
  <c r="H28" i="3"/>
  <c r="H29" i="3"/>
  <c r="H30" i="3"/>
  <c r="H31" i="3"/>
  <c r="H32" i="3"/>
  <c r="H33" i="3"/>
  <c r="H34" i="3"/>
  <c r="H35" i="3"/>
  <c r="H36" i="3"/>
  <c r="H37" i="3"/>
  <c r="H38" i="3"/>
  <c r="H39" i="3"/>
  <c r="H40" i="3"/>
  <c r="H41" i="3"/>
  <c r="L41" i="3" s="1"/>
  <c r="H42" i="3"/>
  <c r="L42" i="3" s="1"/>
  <c r="H43" i="3"/>
  <c r="L43" i="3" s="1"/>
  <c r="H44" i="3"/>
  <c r="L44" i="3" s="1"/>
  <c r="H45" i="3"/>
  <c r="L45" i="3" s="1"/>
  <c r="H46" i="3"/>
  <c r="L46" i="3" s="1"/>
  <c r="H53" i="3"/>
  <c r="H54" i="3"/>
  <c r="H55" i="3"/>
  <c r="H56" i="3"/>
  <c r="H57" i="3"/>
  <c r="H58" i="3"/>
  <c r="H65" i="3"/>
  <c r="L65" i="3" s="1"/>
  <c r="H66" i="3"/>
  <c r="L66" i="3" s="1"/>
  <c r="A8" i="3"/>
  <c r="A9" i="3" s="1"/>
  <c r="A10" i="3" s="1"/>
  <c r="A11" i="3" s="1"/>
  <c r="A12" i="3" s="1"/>
  <c r="A13" i="3" s="1"/>
  <c r="A14" i="3" s="1"/>
  <c r="A15" i="3" s="1"/>
  <c r="G25" i="12"/>
  <c r="Z7" i="8"/>
  <c r="A3" i="8"/>
  <c r="A2" i="8"/>
  <c r="A1" i="8"/>
  <c r="G69" i="12"/>
  <c r="H34" i="12"/>
  <c r="M27" i="1"/>
  <c r="F31" i="12" s="1"/>
  <c r="L77" i="1"/>
  <c r="E81" i="1"/>
  <c r="E82" i="1" s="1"/>
  <c r="E75" i="1"/>
  <c r="E68" i="1"/>
  <c r="M66" i="1"/>
  <c r="F77" i="12" s="1"/>
  <c r="M65" i="1"/>
  <c r="F76" i="12" s="1"/>
  <c r="B7" i="44"/>
  <c r="I8" i="12"/>
  <c r="A1" i="44"/>
  <c r="A2" i="44"/>
  <c r="A3" i="44"/>
  <c r="A8" i="44"/>
  <c r="A9" i="44" s="1"/>
  <c r="A10" i="44" s="1"/>
  <c r="A11" i="44" s="1"/>
  <c r="A12" i="44" s="1"/>
  <c r="A13" i="44" s="1"/>
  <c r="A14" i="44" s="1"/>
  <c r="A15" i="44" s="1"/>
  <c r="A16" i="44" s="1"/>
  <c r="A17" i="44" s="1"/>
  <c r="A8" i="8"/>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G48" i="12"/>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1" i="2"/>
  <c r="A2" i="2"/>
  <c r="A3"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1" i="5"/>
  <c r="A2" i="5"/>
  <c r="A3" i="5"/>
  <c r="F7" i="5"/>
  <c r="I7" i="5"/>
  <c r="L7" i="5"/>
  <c r="A8" i="5"/>
  <c r="A9" i="5" s="1"/>
  <c r="A10" i="5" s="1"/>
  <c r="A11" i="5" s="1"/>
  <c r="A12" i="5" s="1"/>
  <c r="A13" i="5" s="1"/>
  <c r="A14" i="5" s="1"/>
  <c r="A1" i="7"/>
  <c r="A2" i="7"/>
  <c r="A3" i="7"/>
  <c r="A8" i="7"/>
  <c r="A9" i="7" s="1"/>
  <c r="A10" i="7" s="1"/>
  <c r="A11" i="7" s="1"/>
  <c r="A12" i="7" s="1"/>
  <c r="A13" i="7" s="1"/>
  <c r="A14" i="7" s="1"/>
  <c r="A1" i="3"/>
  <c r="A2" i="3"/>
  <c r="A3" i="3"/>
  <c r="A1" i="11"/>
  <c r="A2" i="11"/>
  <c r="A3" i="11"/>
  <c r="A8" i="11"/>
  <c r="A9" i="11" s="1"/>
  <c r="A10" i="11" s="1"/>
  <c r="A11" i="11" s="1"/>
  <c r="A12" i="11" s="1"/>
  <c r="A13" i="11" s="1"/>
  <c r="A1" i="12"/>
  <c r="A2" i="12"/>
  <c r="A3" i="12"/>
  <c r="A8" i="12"/>
  <c r="A9" i="12" s="1"/>
  <c r="A10" i="12" s="1"/>
  <c r="A11" i="12" s="1"/>
  <c r="A1" i="9"/>
  <c r="A2" i="9"/>
  <c r="A3" i="9"/>
  <c r="M60" i="5" l="1"/>
  <c r="D26" i="12"/>
  <c r="AG67" i="3"/>
  <c r="AH67" i="3" s="1"/>
  <c r="O20" i="50"/>
  <c r="D74" i="12"/>
  <c r="D51" i="12"/>
  <c r="D49" i="12"/>
  <c r="D77" i="12"/>
  <c r="M59" i="5"/>
  <c r="J23" i="8"/>
  <c r="J41" i="8"/>
  <c r="J59" i="8"/>
  <c r="J42" i="5"/>
  <c r="AL67" i="7"/>
  <c r="BF67" i="7" s="1"/>
  <c r="J16" i="3"/>
  <c r="AD16" i="3" s="1"/>
  <c r="I16" i="3"/>
  <c r="AE16" i="3" s="1"/>
  <c r="I33" i="12"/>
  <c r="AE13" i="3"/>
  <c r="H63" i="8"/>
  <c r="H59" i="8"/>
  <c r="H55" i="8"/>
  <c r="H45" i="8"/>
  <c r="H41" i="8"/>
  <c r="H37" i="8"/>
  <c r="H33" i="8"/>
  <c r="H29" i="8"/>
  <c r="H23" i="8"/>
  <c r="M62" i="5"/>
  <c r="D72" i="12"/>
  <c r="D53" i="12"/>
  <c r="M23" i="1"/>
  <c r="F25" i="12" s="1"/>
  <c r="D59" i="8"/>
  <c r="M42" i="5"/>
  <c r="J62" i="5"/>
  <c r="I14" i="3"/>
  <c r="AE14" i="3" s="1"/>
  <c r="I30" i="3"/>
  <c r="L30" i="3" s="1"/>
  <c r="F13" i="11"/>
  <c r="J17" i="3"/>
  <c r="AD17" i="3" s="1"/>
  <c r="F16" i="11"/>
  <c r="AD13" i="3"/>
  <c r="I39" i="3"/>
  <c r="AE39" i="3" s="1"/>
  <c r="M24" i="5"/>
  <c r="D44" i="8"/>
  <c r="M61" i="5"/>
  <c r="M59" i="1"/>
  <c r="F69" i="12" s="1"/>
  <c r="I10" i="5"/>
  <c r="I20" i="3"/>
  <c r="E20" i="11" s="1"/>
  <c r="G20" i="11" s="1"/>
  <c r="I34" i="3"/>
  <c r="E34" i="11" s="1"/>
  <c r="G34" i="11" s="1"/>
  <c r="I57" i="3"/>
  <c r="AE57" i="3" s="1"/>
  <c r="I54" i="3"/>
  <c r="L54" i="3" s="1"/>
  <c r="E13" i="11"/>
  <c r="I28" i="3"/>
  <c r="L28" i="3" s="1"/>
  <c r="I37" i="3"/>
  <c r="AE37" i="3" s="1"/>
  <c r="I18" i="3"/>
  <c r="E18" i="11" s="1"/>
  <c r="I32" i="3"/>
  <c r="E32" i="11" s="1"/>
  <c r="G32" i="11" s="1"/>
  <c r="I55" i="3"/>
  <c r="AE55" i="3" s="1"/>
  <c r="I35" i="3"/>
  <c r="AE35" i="3" s="1"/>
  <c r="D41" i="8"/>
  <c r="D71" i="12"/>
  <c r="J24" i="5"/>
  <c r="J60" i="5"/>
  <c r="D70" i="12"/>
  <c r="M41" i="5"/>
  <c r="D73" i="12"/>
  <c r="D69" i="12"/>
  <c r="D24" i="8"/>
  <c r="H15" i="8"/>
  <c r="A75" i="8"/>
  <c r="A76" i="8" s="1"/>
  <c r="A73" i="8"/>
  <c r="A74" i="8" s="1"/>
  <c r="D45" i="8"/>
  <c r="S59" i="5"/>
  <c r="P41" i="5"/>
  <c r="S61" i="5"/>
  <c r="D43" i="8"/>
  <c r="G59" i="5"/>
  <c r="G41" i="5"/>
  <c r="G61" i="5"/>
  <c r="D76" i="12"/>
  <c r="D52" i="12"/>
  <c r="D50" i="12"/>
  <c r="D48" i="12"/>
  <c r="M41" i="1"/>
  <c r="F48" i="12" s="1"/>
  <c r="D63" i="8"/>
  <c r="G63" i="11"/>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5" i="12" s="1"/>
  <c r="A86" i="12" s="1"/>
  <c r="A87" i="12" s="1"/>
  <c r="A14" i="1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O75" i="50"/>
  <c r="G44" i="11"/>
  <c r="G46" i="11"/>
  <c r="G60" i="11"/>
  <c r="G65" i="11"/>
  <c r="F15" i="1"/>
  <c r="J15" i="1" s="1"/>
  <c r="F18" i="1"/>
  <c r="F81" i="1" s="1"/>
  <c r="F13" i="1"/>
  <c r="J13" i="1" s="1"/>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15" i="5"/>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16" i="3"/>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G43" i="11"/>
  <c r="G45" i="11"/>
  <c r="G59" i="11"/>
  <c r="G61" i="11"/>
  <c r="G64" i="11"/>
  <c r="G66" i="11"/>
  <c r="G33" i="1"/>
  <c r="J33" i="1" s="1"/>
  <c r="D33" i="5" s="1"/>
  <c r="G31" i="1"/>
  <c r="J31" i="1" s="1"/>
  <c r="D36" i="12" s="1"/>
  <c r="G29" i="1"/>
  <c r="J29" i="1" s="1"/>
  <c r="D29" i="5" s="1"/>
  <c r="G19" i="1"/>
  <c r="G14" i="1"/>
  <c r="J14" i="1" s="1"/>
  <c r="G34" i="1"/>
  <c r="J34" i="1" s="1"/>
  <c r="D34" i="8" s="1"/>
  <c r="G32" i="1"/>
  <c r="J32" i="1" s="1"/>
  <c r="D32" i="5" s="1"/>
  <c r="G30" i="1"/>
  <c r="J30" i="1" s="1"/>
  <c r="D30" i="8" s="1"/>
  <c r="G20" i="1"/>
  <c r="G16" i="1"/>
  <c r="J16" i="1" s="1"/>
  <c r="A18" i="44"/>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E53" i="11"/>
  <c r="AE53" i="3"/>
  <c r="L53" i="3"/>
  <c r="E16" i="11"/>
  <c r="I17" i="3"/>
  <c r="I19" i="3"/>
  <c r="I27" i="3"/>
  <c r="L27" i="3" s="1"/>
  <c r="I29" i="3"/>
  <c r="I31" i="3"/>
  <c r="L31" i="3" s="1"/>
  <c r="I33" i="3"/>
  <c r="I36" i="3"/>
  <c r="L36" i="3" s="1"/>
  <c r="I38" i="3"/>
  <c r="I40" i="3"/>
  <c r="L40" i="3" s="1"/>
  <c r="I56" i="3"/>
  <c r="I58" i="3"/>
  <c r="I15" i="3"/>
  <c r="AE15" i="3" s="1"/>
  <c r="I52" i="3"/>
  <c r="AE52" i="3" s="1"/>
  <c r="I50" i="3"/>
  <c r="AE50" i="3" s="1"/>
  <c r="I48" i="3"/>
  <c r="AE48" i="3" s="1"/>
  <c r="I22" i="3"/>
  <c r="AE22" i="3" s="1"/>
  <c r="I26" i="3"/>
  <c r="AE26" i="3" s="1"/>
  <c r="I51" i="3"/>
  <c r="AE51" i="3" s="1"/>
  <c r="I49" i="3"/>
  <c r="AE49" i="3" s="1"/>
  <c r="I47" i="3"/>
  <c r="AE47" i="3" s="1"/>
  <c r="I21" i="3"/>
  <c r="AE21" i="3" s="1"/>
  <c r="I25" i="3"/>
  <c r="AE25" i="3" s="1"/>
  <c r="L10" i="5"/>
  <c r="AM67" i="7"/>
  <c r="I76" i="12"/>
  <c r="H17" i="1"/>
  <c r="J17" i="1" s="1"/>
  <c r="H25" i="1"/>
  <c r="J25" i="1" s="1"/>
  <c r="H39" i="1"/>
  <c r="J39" i="1" s="1"/>
  <c r="D39" i="5" s="1"/>
  <c r="H37" i="1"/>
  <c r="J37" i="1" s="1"/>
  <c r="D43" i="12" s="1"/>
  <c r="H35" i="1"/>
  <c r="J35" i="1" s="1"/>
  <c r="D35" i="5" s="1"/>
  <c r="H26" i="1"/>
  <c r="J26" i="1" s="1"/>
  <c r="H40" i="1"/>
  <c r="J40" i="1" s="1"/>
  <c r="D46" i="12" s="1"/>
  <c r="H38" i="1"/>
  <c r="J38" i="1" s="1"/>
  <c r="D38" i="8" s="1"/>
  <c r="H36" i="1"/>
  <c r="J36" i="1" s="1"/>
  <c r="D42" i="12" s="1"/>
  <c r="I77" i="12"/>
  <c r="S41" i="5"/>
  <c r="P61" i="5"/>
  <c r="P59" i="5"/>
  <c r="D23" i="5"/>
  <c r="S23" i="5" s="1"/>
  <c r="J75" i="1"/>
  <c r="I22" i="1"/>
  <c r="J22" i="1" s="1"/>
  <c r="I28" i="1"/>
  <c r="J28" i="1" s="1"/>
  <c r="I52" i="1"/>
  <c r="J52" i="1" s="1"/>
  <c r="I50" i="1"/>
  <c r="J50" i="1" s="1"/>
  <c r="I48" i="1"/>
  <c r="J48" i="1" s="1"/>
  <c r="I58" i="1"/>
  <c r="J58" i="1" s="1"/>
  <c r="I56" i="1"/>
  <c r="J56" i="1" s="1"/>
  <c r="I54" i="1"/>
  <c r="J54" i="1" s="1"/>
  <c r="I21" i="1"/>
  <c r="I27" i="1"/>
  <c r="J27" i="1" s="1"/>
  <c r="I51" i="1"/>
  <c r="J51" i="1" s="1"/>
  <c r="I49" i="1"/>
  <c r="J49" i="1" s="1"/>
  <c r="I47" i="1"/>
  <c r="J47" i="1" s="1"/>
  <c r="I57" i="1"/>
  <c r="J57" i="1" s="1"/>
  <c r="I55" i="1"/>
  <c r="J55" i="1" s="1"/>
  <c r="I53" i="1"/>
  <c r="J53" i="1" s="1"/>
  <c r="S24" i="5"/>
  <c r="P24" i="5"/>
  <c r="S42" i="5"/>
  <c r="P42" i="5"/>
  <c r="S60" i="5"/>
  <c r="P60" i="5"/>
  <c r="S62" i="5"/>
  <c r="P62" i="5"/>
  <c r="H70" i="12"/>
  <c r="H52" i="12"/>
  <c r="O67" i="44"/>
  <c r="Q67" i="44" s="1"/>
  <c r="H71" i="12"/>
  <c r="H51" i="12"/>
  <c r="L13" i="3"/>
  <c r="G24" i="11"/>
  <c r="G41" i="11"/>
  <c r="G62" i="11"/>
  <c r="T10" i="8"/>
  <c r="H62" i="8"/>
  <c r="H60" i="8"/>
  <c r="H58" i="8"/>
  <c r="H56" i="8"/>
  <c r="H54" i="8"/>
  <c r="H46" i="8"/>
  <c r="H44" i="8"/>
  <c r="H42" i="8"/>
  <c r="H40" i="8"/>
  <c r="H38" i="8"/>
  <c r="H36" i="8"/>
  <c r="H34" i="8"/>
  <c r="H32" i="8"/>
  <c r="H30" i="8"/>
  <c r="H28" i="8"/>
  <c r="H24" i="8"/>
  <c r="H20" i="8"/>
  <c r="H18" i="8"/>
  <c r="H16" i="8"/>
  <c r="H14" i="8"/>
  <c r="J14" i="3"/>
  <c r="AD14" i="3" s="1"/>
  <c r="J18" i="3"/>
  <c r="AD18" i="3" s="1"/>
  <c r="Q10" i="8"/>
  <c r="F10" i="5"/>
  <c r="G42" i="11"/>
  <c r="G23" i="11"/>
  <c r="E85" i="1"/>
  <c r="P65" i="5"/>
  <c r="J65" i="5"/>
  <c r="G65" i="5"/>
  <c r="S65" i="5"/>
  <c r="M65" i="5"/>
  <c r="P63" i="5"/>
  <c r="J63" i="5"/>
  <c r="G63" i="5"/>
  <c r="M63" i="5"/>
  <c r="S63" i="5"/>
  <c r="P45" i="5"/>
  <c r="J45" i="5"/>
  <c r="G45" i="5"/>
  <c r="M45" i="5"/>
  <c r="S45" i="5"/>
  <c r="P43" i="5"/>
  <c r="J43" i="5"/>
  <c r="G43" i="5"/>
  <c r="M43" i="5"/>
  <c r="S43" i="5"/>
  <c r="G66" i="5"/>
  <c r="P66" i="5"/>
  <c r="S66" i="5"/>
  <c r="M66" i="5"/>
  <c r="J66" i="5"/>
  <c r="G64" i="5"/>
  <c r="P64" i="5"/>
  <c r="S64" i="5"/>
  <c r="M64" i="5"/>
  <c r="J64" i="5"/>
  <c r="G46" i="5"/>
  <c r="P46" i="5"/>
  <c r="S46" i="5"/>
  <c r="M46" i="5"/>
  <c r="J46" i="5"/>
  <c r="G44" i="5"/>
  <c r="P44" i="5"/>
  <c r="S44" i="5"/>
  <c r="M44" i="5"/>
  <c r="J44" i="5"/>
  <c r="D66" i="8"/>
  <c r="D65" i="8"/>
  <c r="D64" i="8"/>
  <c r="D61" i="8"/>
  <c r="D46" i="8"/>
  <c r="D23" i="8"/>
  <c r="E77" i="1"/>
  <c r="H64" i="8"/>
  <c r="H66" i="8"/>
  <c r="H65" i="8"/>
  <c r="H61" i="8"/>
  <c r="H57" i="8"/>
  <c r="H53" i="8"/>
  <c r="H43" i="8"/>
  <c r="H39" i="8"/>
  <c r="H35" i="8"/>
  <c r="H31" i="8"/>
  <c r="H27" i="8"/>
  <c r="H19" i="8"/>
  <c r="H17" i="8"/>
  <c r="H13" i="8"/>
  <c r="D62" i="8"/>
  <c r="D60" i="8"/>
  <c r="F15" i="11"/>
  <c r="I54" i="12" l="1"/>
  <c r="G53" i="11"/>
  <c r="I27" i="12"/>
  <c r="I66" i="8"/>
  <c r="L66" i="8" s="1"/>
  <c r="L16" i="3"/>
  <c r="I75" i="12"/>
  <c r="D38" i="12"/>
  <c r="D33" i="8"/>
  <c r="L20" i="3"/>
  <c r="E30" i="11"/>
  <c r="G30" i="11" s="1"/>
  <c r="AE30" i="3"/>
  <c r="AE28" i="3"/>
  <c r="L34" i="3"/>
  <c r="AE34" i="3"/>
  <c r="E28" i="11"/>
  <c r="G28" i="11" s="1"/>
  <c r="E14" i="11"/>
  <c r="D31" i="5"/>
  <c r="J31" i="5" s="1"/>
  <c r="D39" i="12"/>
  <c r="J18" i="1"/>
  <c r="J81" i="1" s="1"/>
  <c r="E39" i="11"/>
  <c r="G39" i="11" s="1"/>
  <c r="L17" i="3"/>
  <c r="F17" i="11"/>
  <c r="E35" i="11"/>
  <c r="G13" i="11"/>
  <c r="AE18" i="3"/>
  <c r="G16" i="11"/>
  <c r="AE20" i="3"/>
  <c r="E37" i="11"/>
  <c r="G37" i="11" s="1"/>
  <c r="L32" i="3"/>
  <c r="E15" i="11"/>
  <c r="AE54" i="3"/>
  <c r="L37" i="3"/>
  <c r="L39" i="3"/>
  <c r="L35" i="3"/>
  <c r="L15" i="3"/>
  <c r="D37" i="5"/>
  <c r="G37" i="5" s="1"/>
  <c r="D39" i="8"/>
  <c r="D40" i="8"/>
  <c r="D31" i="8"/>
  <c r="D34" i="5"/>
  <c r="J34" i="5" s="1"/>
  <c r="D37" i="8"/>
  <c r="E57" i="11"/>
  <c r="G57" i="11" s="1"/>
  <c r="AE32" i="3"/>
  <c r="E54" i="11"/>
  <c r="G54" i="11" s="1"/>
  <c r="L55" i="3"/>
  <c r="E55" i="11"/>
  <c r="G55" i="11" s="1"/>
  <c r="L57" i="3"/>
  <c r="H68" i="1"/>
  <c r="D34" i="12"/>
  <c r="D37" i="12"/>
  <c r="D30" i="5"/>
  <c r="P30" i="5" s="1"/>
  <c r="D29" i="8"/>
  <c r="D32" i="8"/>
  <c r="D17" i="8"/>
  <c r="I17" i="8" s="1"/>
  <c r="L17" i="8" s="1"/>
  <c r="D17" i="12"/>
  <c r="D17" i="5"/>
  <c r="J17" i="5" s="1"/>
  <c r="M29" i="1"/>
  <c r="F34" i="12" s="1"/>
  <c r="D41" i="12"/>
  <c r="D35" i="12"/>
  <c r="D36" i="5"/>
  <c r="J36" i="5" s="1"/>
  <c r="D35" i="8"/>
  <c r="L41" i="8"/>
  <c r="F78" i="1"/>
  <c r="A74" i="3"/>
  <c r="A75" i="3" s="1"/>
  <c r="A72" i="3"/>
  <c r="A73" i="3" s="1"/>
  <c r="A73" i="5"/>
  <c r="A74" i="5" s="1"/>
  <c r="I65" i="8"/>
  <c r="L65" i="8" s="1"/>
  <c r="G79" i="1"/>
  <c r="AE56" i="3"/>
  <c r="E56" i="11"/>
  <c r="G56" i="11" s="1"/>
  <c r="AE38" i="3"/>
  <c r="E38" i="11"/>
  <c r="G38" i="11" s="1"/>
  <c r="AE33" i="3"/>
  <c r="E33" i="11"/>
  <c r="G33" i="11" s="1"/>
  <c r="AE29" i="3"/>
  <c r="E29" i="11"/>
  <c r="AE19" i="3"/>
  <c r="E19" i="11"/>
  <c r="L56" i="3"/>
  <c r="AE58" i="3"/>
  <c r="E58" i="11"/>
  <c r="G58" i="11" s="1"/>
  <c r="AE40" i="3"/>
  <c r="E40" i="11"/>
  <c r="G40" i="11" s="1"/>
  <c r="AE36" i="3"/>
  <c r="E36" i="11"/>
  <c r="G36" i="11" s="1"/>
  <c r="AE31" i="3"/>
  <c r="E31" i="11"/>
  <c r="G31" i="11" s="1"/>
  <c r="AE27" i="3"/>
  <c r="E27" i="11"/>
  <c r="G27" i="11" s="1"/>
  <c r="AE17" i="3"/>
  <c r="E17" i="11"/>
  <c r="L38" i="3"/>
  <c r="L58" i="3"/>
  <c r="L19" i="3"/>
  <c r="L29" i="3"/>
  <c r="L33" i="3"/>
  <c r="D49" i="5"/>
  <c r="D49" i="8"/>
  <c r="D57" i="12"/>
  <c r="D50" i="5"/>
  <c r="D50" i="8"/>
  <c r="D58" i="12"/>
  <c r="L59" i="8"/>
  <c r="I80" i="1"/>
  <c r="H80" i="1"/>
  <c r="D47" i="5"/>
  <c r="D47" i="8"/>
  <c r="M47" i="1"/>
  <c r="F55" i="12" s="1"/>
  <c r="D55" i="12"/>
  <c r="D51" i="5"/>
  <c r="D51" i="8"/>
  <c r="D59" i="12"/>
  <c r="I79" i="1"/>
  <c r="J21" i="1"/>
  <c r="M21" i="1" s="1"/>
  <c r="F22" i="12" s="1"/>
  <c r="D48" i="5"/>
  <c r="D48" i="8"/>
  <c r="D56" i="12"/>
  <c r="D52" i="5"/>
  <c r="D52" i="8"/>
  <c r="D60" i="12"/>
  <c r="D22" i="5"/>
  <c r="D22" i="8"/>
  <c r="D23" i="12"/>
  <c r="D26" i="5"/>
  <c r="D26" i="8"/>
  <c r="D29" i="12"/>
  <c r="M25" i="1"/>
  <c r="F28" i="12" s="1"/>
  <c r="D25" i="5"/>
  <c r="D28" i="12"/>
  <c r="D25" i="8"/>
  <c r="I23" i="8"/>
  <c r="E25" i="11"/>
  <c r="G25" i="11" s="1"/>
  <c r="L25" i="3"/>
  <c r="E47" i="11"/>
  <c r="G47" i="11" s="1"/>
  <c r="L47" i="3"/>
  <c r="E51" i="11"/>
  <c r="G51" i="11" s="1"/>
  <c r="L51" i="3"/>
  <c r="E22" i="11"/>
  <c r="G22" i="11" s="1"/>
  <c r="L22" i="3"/>
  <c r="E50" i="11"/>
  <c r="G50" i="11" s="1"/>
  <c r="L50" i="3"/>
  <c r="E21" i="11"/>
  <c r="G21" i="11" s="1"/>
  <c r="L21" i="3"/>
  <c r="E49" i="11"/>
  <c r="G49" i="11" s="1"/>
  <c r="L49" i="3"/>
  <c r="E26" i="11"/>
  <c r="G26" i="11" s="1"/>
  <c r="L26" i="3"/>
  <c r="E48" i="11"/>
  <c r="G48" i="11" s="1"/>
  <c r="L48" i="3"/>
  <c r="E52" i="11"/>
  <c r="G52" i="11" s="1"/>
  <c r="L52" i="3"/>
  <c r="L23" i="8"/>
  <c r="I59" i="8"/>
  <c r="M35" i="1"/>
  <c r="F41" i="12" s="1"/>
  <c r="D45" i="12"/>
  <c r="D40" i="5"/>
  <c r="M40" i="5" s="1"/>
  <c r="D36" i="8"/>
  <c r="D14" i="8"/>
  <c r="I14" i="8" s="1"/>
  <c r="L14" i="8" s="1"/>
  <c r="J78" i="1"/>
  <c r="J80" i="1"/>
  <c r="M14" i="1"/>
  <c r="F14" i="12" s="1"/>
  <c r="D14" i="5"/>
  <c r="P14" i="5" s="1"/>
  <c r="D14" i="12"/>
  <c r="F83" i="1"/>
  <c r="F76" i="1"/>
  <c r="I84" i="1"/>
  <c r="I76" i="1"/>
  <c r="M23" i="5"/>
  <c r="J23" i="5"/>
  <c r="G23" i="5"/>
  <c r="P23" i="5"/>
  <c r="D38" i="5"/>
  <c r="D44" i="12"/>
  <c r="M17" i="1"/>
  <c r="F17" i="12" s="1"/>
  <c r="H83" i="1"/>
  <c r="H76" i="1"/>
  <c r="F18" i="11"/>
  <c r="G18" i="11" s="1"/>
  <c r="F14" i="11"/>
  <c r="L18" i="3"/>
  <c r="L14" i="3"/>
  <c r="I41" i="8"/>
  <c r="D16" i="5"/>
  <c r="D16" i="8"/>
  <c r="I16" i="8" s="1"/>
  <c r="L16" i="8" s="1"/>
  <c r="M16" i="1"/>
  <c r="F16" i="12" s="1"/>
  <c r="D16" i="12"/>
  <c r="D62" i="12"/>
  <c r="D53" i="8"/>
  <c r="M53" i="1"/>
  <c r="F62" i="12" s="1"/>
  <c r="D53" i="5"/>
  <c r="D64" i="12"/>
  <c r="D55" i="8"/>
  <c r="D55" i="5"/>
  <c r="D66" i="12"/>
  <c r="D57" i="8"/>
  <c r="D57" i="5"/>
  <c r="M15" i="1"/>
  <c r="F15" i="12" s="1"/>
  <c r="D15" i="12"/>
  <c r="D15" i="5"/>
  <c r="D15" i="8"/>
  <c r="I15" i="8" s="1"/>
  <c r="L15" i="8" s="1"/>
  <c r="D27" i="5"/>
  <c r="D31" i="12"/>
  <c r="D27" i="8"/>
  <c r="P29" i="5"/>
  <c r="J29" i="5"/>
  <c r="G29" i="5"/>
  <c r="S29" i="5"/>
  <c r="M29" i="5"/>
  <c r="P35" i="5"/>
  <c r="J35" i="5"/>
  <c r="G35" i="5"/>
  <c r="S35" i="5"/>
  <c r="M35" i="5"/>
  <c r="P39" i="5"/>
  <c r="J39" i="5"/>
  <c r="G39" i="5"/>
  <c r="S39" i="5"/>
  <c r="M39" i="5"/>
  <c r="M13" i="1"/>
  <c r="F13" i="12" s="1"/>
  <c r="D13" i="12"/>
  <c r="D13" i="8"/>
  <c r="D13" i="5"/>
  <c r="P32" i="5"/>
  <c r="S32" i="5"/>
  <c r="J32" i="5"/>
  <c r="M32" i="5"/>
  <c r="G32" i="5"/>
  <c r="I68" i="1"/>
  <c r="D28" i="5"/>
  <c r="D32" i="12"/>
  <c r="D28" i="8"/>
  <c r="D54" i="5"/>
  <c r="D63" i="12"/>
  <c r="D54" i="8"/>
  <c r="D56" i="5"/>
  <c r="D65" i="12"/>
  <c r="D56" i="8"/>
  <c r="D58" i="5"/>
  <c r="D67" i="12"/>
  <c r="D58" i="8"/>
  <c r="P33" i="5"/>
  <c r="J33" i="5"/>
  <c r="G33" i="5"/>
  <c r="S33" i="5"/>
  <c r="M33" i="5"/>
  <c r="F68" i="1"/>
  <c r="P37" i="5" l="1"/>
  <c r="G35" i="11"/>
  <c r="G15" i="11"/>
  <c r="M37" i="5"/>
  <c r="S37" i="5"/>
  <c r="P34" i="5"/>
  <c r="G34" i="5"/>
  <c r="J37" i="5"/>
  <c r="I14" i="12"/>
  <c r="G30" i="5"/>
  <c r="D18" i="12"/>
  <c r="G14" i="11"/>
  <c r="M34" i="5"/>
  <c r="S34" i="5"/>
  <c r="M31" i="5"/>
  <c r="G14" i="5"/>
  <c r="G31" i="5"/>
  <c r="D18" i="8"/>
  <c r="I18" i="8" s="1"/>
  <c r="L18" i="8" s="1"/>
  <c r="I47" i="12"/>
  <c r="I24" i="12"/>
  <c r="S31" i="5"/>
  <c r="I40" i="12"/>
  <c r="M18" i="1"/>
  <c r="F18" i="12" s="1"/>
  <c r="I68" i="12"/>
  <c r="I61" i="12"/>
  <c r="P31" i="5"/>
  <c r="I30" i="12"/>
  <c r="D18" i="5"/>
  <c r="J18" i="5" s="1"/>
  <c r="G17" i="11"/>
  <c r="I35" i="8"/>
  <c r="S14" i="5"/>
  <c r="S18" i="5"/>
  <c r="M14" i="5"/>
  <c r="P17" i="5"/>
  <c r="M17" i="5"/>
  <c r="M30" i="5"/>
  <c r="J14" i="5"/>
  <c r="S17" i="5"/>
  <c r="G17" i="5"/>
  <c r="L29" i="8"/>
  <c r="L35" i="8"/>
  <c r="S30" i="5"/>
  <c r="J30" i="5"/>
  <c r="I29" i="8"/>
  <c r="S36" i="5"/>
  <c r="P36" i="5"/>
  <c r="M36" i="5"/>
  <c r="G36" i="5"/>
  <c r="J84" i="1"/>
  <c r="F77" i="1"/>
  <c r="I17" i="12"/>
  <c r="I85" i="1"/>
  <c r="G19" i="11"/>
  <c r="G29" i="11"/>
  <c r="I25" i="8"/>
  <c r="L25" i="8"/>
  <c r="M25" i="5"/>
  <c r="G25" i="5"/>
  <c r="S25" i="5"/>
  <c r="J25" i="5"/>
  <c r="P25" i="5"/>
  <c r="M26" i="5"/>
  <c r="G26" i="5"/>
  <c r="S26" i="5"/>
  <c r="J26" i="5"/>
  <c r="P26" i="5"/>
  <c r="M52" i="5"/>
  <c r="G52" i="5"/>
  <c r="S52" i="5"/>
  <c r="J52" i="5"/>
  <c r="P52" i="5"/>
  <c r="D21" i="5"/>
  <c r="D22" i="12"/>
  <c r="D21" i="8"/>
  <c r="M51" i="5"/>
  <c r="G51" i="5"/>
  <c r="S51" i="5"/>
  <c r="J51" i="5"/>
  <c r="P51" i="5"/>
  <c r="M47" i="5"/>
  <c r="G47" i="5"/>
  <c r="S47" i="5"/>
  <c r="J47" i="5"/>
  <c r="P47" i="5"/>
  <c r="M49" i="5"/>
  <c r="G49" i="5"/>
  <c r="S49" i="5"/>
  <c r="J49" i="5"/>
  <c r="P49" i="5"/>
  <c r="M22" i="5"/>
  <c r="G22" i="5"/>
  <c r="S22" i="5"/>
  <c r="J22" i="5"/>
  <c r="P22" i="5"/>
  <c r="M48" i="5"/>
  <c r="G48" i="5"/>
  <c r="S48" i="5"/>
  <c r="J48" i="5"/>
  <c r="P48" i="5"/>
  <c r="I47" i="8"/>
  <c r="L47" i="8"/>
  <c r="M50" i="5"/>
  <c r="G50" i="5"/>
  <c r="S50" i="5"/>
  <c r="J50" i="5"/>
  <c r="P50" i="5"/>
  <c r="S40" i="5"/>
  <c r="P40" i="5"/>
  <c r="G40" i="5"/>
  <c r="F85" i="1"/>
  <c r="F82" i="1"/>
  <c r="H77" i="1"/>
  <c r="H82" i="1"/>
  <c r="S38" i="5"/>
  <c r="M38" i="5"/>
  <c r="P38" i="5"/>
  <c r="J38" i="5"/>
  <c r="G38" i="5"/>
  <c r="I77" i="1"/>
  <c r="I82" i="1"/>
  <c r="H85" i="1"/>
  <c r="I16" i="12"/>
  <c r="J16" i="5"/>
  <c r="G16" i="5"/>
  <c r="S16" i="5"/>
  <c r="M16" i="5"/>
  <c r="P16" i="5"/>
  <c r="J56" i="5"/>
  <c r="M56" i="5"/>
  <c r="G56" i="5"/>
  <c r="P56" i="5"/>
  <c r="S56" i="5"/>
  <c r="J28" i="5"/>
  <c r="M28" i="5"/>
  <c r="G28" i="5"/>
  <c r="P28" i="5"/>
  <c r="S28" i="5"/>
  <c r="J13" i="5"/>
  <c r="M13" i="5"/>
  <c r="G13" i="5"/>
  <c r="P13" i="5"/>
  <c r="S13" i="5"/>
  <c r="I13" i="12"/>
  <c r="S27" i="5"/>
  <c r="M27" i="5"/>
  <c r="P27" i="5"/>
  <c r="J27" i="5"/>
  <c r="G27" i="5"/>
  <c r="P15" i="5"/>
  <c r="J15" i="5"/>
  <c r="G15" i="5"/>
  <c r="S15" i="5"/>
  <c r="M15" i="5"/>
  <c r="I15" i="12"/>
  <c r="S55" i="5"/>
  <c r="M55" i="5"/>
  <c r="J55" i="5"/>
  <c r="P55" i="5"/>
  <c r="G55" i="5"/>
  <c r="P58" i="5"/>
  <c r="S58" i="5"/>
  <c r="J58" i="5"/>
  <c r="M58" i="5"/>
  <c r="G58" i="5"/>
  <c r="P54" i="5"/>
  <c r="S54" i="5"/>
  <c r="J54" i="5"/>
  <c r="M54" i="5"/>
  <c r="G54" i="5"/>
  <c r="I13" i="8"/>
  <c r="I27" i="8"/>
  <c r="L27" i="8"/>
  <c r="P57" i="5"/>
  <c r="J57" i="5"/>
  <c r="G57" i="5"/>
  <c r="S57" i="5"/>
  <c r="M57" i="5"/>
  <c r="P53" i="5"/>
  <c r="J53" i="5"/>
  <c r="G53" i="5"/>
  <c r="M53" i="5"/>
  <c r="S53" i="5"/>
  <c r="I53" i="8"/>
  <c r="L53" i="8"/>
  <c r="I18" i="12" l="1"/>
  <c r="P18" i="5"/>
  <c r="M18" i="5"/>
  <c r="G18" i="5"/>
  <c r="L21" i="8"/>
  <c r="I21" i="8"/>
  <c r="M21" i="5"/>
  <c r="G21" i="5"/>
  <c r="S21" i="5"/>
  <c r="J21" i="5"/>
  <c r="P21" i="5"/>
  <c r="L13" i="8"/>
  <c r="J20" i="1" l="1"/>
  <c r="D20" i="8" s="1"/>
  <c r="G68" i="1"/>
  <c r="G83" i="1"/>
  <c r="G76" i="1"/>
  <c r="J19" i="1"/>
  <c r="D19" i="5" l="1"/>
  <c r="S19" i="5" s="1"/>
  <c r="J79" i="1"/>
  <c r="G77" i="1"/>
  <c r="G82" i="1"/>
  <c r="D19" i="12"/>
  <c r="J68" i="1"/>
  <c r="J76" i="1"/>
  <c r="J83" i="1"/>
  <c r="D19" i="8"/>
  <c r="M19" i="1"/>
  <c r="F19" i="12" s="1"/>
  <c r="G85" i="1"/>
  <c r="D20" i="12"/>
  <c r="D20" i="5"/>
  <c r="I21" i="12" l="1"/>
  <c r="M19" i="5"/>
  <c r="D69" i="5"/>
  <c r="D70" i="5" s="1"/>
  <c r="P19" i="5"/>
  <c r="G19" i="5"/>
  <c r="J19" i="5"/>
  <c r="J77" i="1"/>
  <c r="J82" i="1"/>
  <c r="J85" i="1"/>
  <c r="J20" i="5"/>
  <c r="M20" i="5"/>
  <c r="S20" i="5"/>
  <c r="S69" i="5" s="1"/>
  <c r="T69" i="5" s="1"/>
  <c r="P20" i="5"/>
  <c r="G20" i="5"/>
  <c r="I19" i="8"/>
  <c r="I69" i="8" s="1"/>
  <c r="D69" i="8"/>
  <c r="L19" i="8"/>
  <c r="W69" i="8" l="1"/>
  <c r="M69" i="5"/>
  <c r="N69" i="5" s="1"/>
  <c r="N25" i="5" s="1"/>
  <c r="H25" i="7" s="1"/>
  <c r="F21" i="44" s="1"/>
  <c r="J69" i="5"/>
  <c r="K69" i="5" s="1"/>
  <c r="K26" i="5" s="1"/>
  <c r="G26" i="7" s="1"/>
  <c r="E22" i="44" s="1"/>
  <c r="P69" i="5"/>
  <c r="Q69" i="5" s="1"/>
  <c r="G69" i="5"/>
  <c r="H69" i="5" s="1"/>
  <c r="H26" i="5" s="1"/>
  <c r="F26" i="7" s="1"/>
  <c r="Z69" i="8"/>
  <c r="Q69" i="8"/>
  <c r="R19" i="8" s="1"/>
  <c r="N69" i="8"/>
  <c r="T69" i="8"/>
  <c r="L69" i="8"/>
  <c r="D22" i="44" l="1"/>
  <c r="X66" i="8"/>
  <c r="Y66" i="8" s="1"/>
  <c r="W66" i="7" s="1"/>
  <c r="P77" i="12" s="1"/>
  <c r="Q77" i="12" s="1"/>
  <c r="R77" i="12" s="1"/>
  <c r="X65" i="8"/>
  <c r="Y65" i="8" s="1"/>
  <c r="W65" i="7" s="1"/>
  <c r="P76" i="12" s="1"/>
  <c r="Q76" i="12" s="1"/>
  <c r="R76" i="12" s="1"/>
  <c r="X17" i="8"/>
  <c r="Y17" i="8" s="1"/>
  <c r="W17" i="7" s="1"/>
  <c r="P17" i="12" s="1"/>
  <c r="Q17" i="12" s="1"/>
  <c r="R17" i="12" s="1"/>
  <c r="X16" i="8"/>
  <c r="Y16" i="8" s="1"/>
  <c r="W16" i="7" s="1"/>
  <c r="P16" i="12" s="1"/>
  <c r="Q16" i="12" s="1"/>
  <c r="R16" i="12" s="1"/>
  <c r="X23" i="8"/>
  <c r="X41" i="8"/>
  <c r="X14" i="8"/>
  <c r="Y14" i="8" s="1"/>
  <c r="W14" i="7" s="1"/>
  <c r="P14" i="12" s="1"/>
  <c r="Q14" i="12" s="1"/>
  <c r="R14" i="12" s="1"/>
  <c r="X59" i="8"/>
  <c r="X18" i="8"/>
  <c r="Y18" i="8" s="1"/>
  <c r="W18" i="7" s="1"/>
  <c r="P18" i="12" s="1"/>
  <c r="Q18" i="12" s="1"/>
  <c r="R18" i="12" s="1"/>
  <c r="X15" i="8"/>
  <c r="Y15" i="8" s="1"/>
  <c r="W15" i="7" s="1"/>
  <c r="P15" i="12" s="1"/>
  <c r="Q15" i="12" s="1"/>
  <c r="R15" i="12" s="1"/>
  <c r="X47" i="8"/>
  <c r="X53" i="8"/>
  <c r="X25" i="8"/>
  <c r="X29" i="8"/>
  <c r="X27" i="8"/>
  <c r="X35" i="8"/>
  <c r="X13" i="8"/>
  <c r="X21" i="8"/>
  <c r="X19" i="8"/>
  <c r="U17" i="8"/>
  <c r="V17" i="8" s="1"/>
  <c r="V17" i="7" s="1"/>
  <c r="I17" i="44" s="1"/>
  <c r="U16" i="8"/>
  <c r="V16" i="8" s="1"/>
  <c r="V16" i="7" s="1"/>
  <c r="I16" i="44" s="1"/>
  <c r="U23" i="8"/>
  <c r="U18" i="8"/>
  <c r="V18" i="8" s="1"/>
  <c r="V18" i="7" s="1"/>
  <c r="I18" i="44" s="1"/>
  <c r="U59" i="8"/>
  <c r="U41" i="8"/>
  <c r="U14" i="8"/>
  <c r="V14" i="8" s="1"/>
  <c r="V14" i="7" s="1"/>
  <c r="I14" i="44" s="1"/>
  <c r="U15" i="8"/>
  <c r="V15" i="8" s="1"/>
  <c r="V15" i="7" s="1"/>
  <c r="I15" i="44" s="1"/>
  <c r="U47" i="8"/>
  <c r="U53" i="8"/>
  <c r="U25" i="8"/>
  <c r="U29" i="8"/>
  <c r="U27" i="8"/>
  <c r="U35" i="8"/>
  <c r="U13" i="8"/>
  <c r="V13" i="8" s="1"/>
  <c r="U21" i="8"/>
  <c r="U19" i="8"/>
  <c r="K24" i="5"/>
  <c r="G24" i="7" s="1"/>
  <c r="E24" i="44" s="1"/>
  <c r="N42" i="5"/>
  <c r="H42" i="7" s="1"/>
  <c r="F42" i="44" s="1"/>
  <c r="N23" i="5"/>
  <c r="H23" i="7" s="1"/>
  <c r="F23" i="44" s="1"/>
  <c r="N58" i="5"/>
  <c r="H58" i="7" s="1"/>
  <c r="F58" i="44" s="1"/>
  <c r="N26" i="5"/>
  <c r="H26" i="7" s="1"/>
  <c r="F22" i="44" s="1"/>
  <c r="N18" i="5"/>
  <c r="H18" i="7" s="1"/>
  <c r="F18" i="44" s="1"/>
  <c r="N49" i="5"/>
  <c r="H49" i="7" s="1"/>
  <c r="F49" i="44" s="1"/>
  <c r="N21" i="5"/>
  <c r="H21" i="7" s="1"/>
  <c r="F25" i="44" s="1"/>
  <c r="N13" i="5"/>
  <c r="H13" i="7" s="1"/>
  <c r="F13" i="44" s="1"/>
  <c r="N20" i="5"/>
  <c r="H20" i="7" s="1"/>
  <c r="F20" i="44" s="1"/>
  <c r="K33" i="5"/>
  <c r="G33" i="7" s="1"/>
  <c r="E33" i="44" s="1"/>
  <c r="K66" i="5"/>
  <c r="G66" i="7" s="1"/>
  <c r="E66" i="44" s="1"/>
  <c r="K36" i="5"/>
  <c r="G36" i="7" s="1"/>
  <c r="E36" i="44" s="1"/>
  <c r="K56" i="5"/>
  <c r="G56" i="7" s="1"/>
  <c r="E56" i="44" s="1"/>
  <c r="K37" i="5"/>
  <c r="G37" i="7" s="1"/>
  <c r="E37" i="44" s="1"/>
  <c r="K17" i="5"/>
  <c r="G17" i="7" s="1"/>
  <c r="E17" i="44" s="1"/>
  <c r="K19" i="5"/>
  <c r="G19" i="7" s="1"/>
  <c r="E19" i="44" s="1"/>
  <c r="K16" i="5"/>
  <c r="G16" i="7" s="1"/>
  <c r="E16" i="44" s="1"/>
  <c r="K51" i="5"/>
  <c r="G51" i="7" s="1"/>
  <c r="E51" i="44" s="1"/>
  <c r="N16" i="5"/>
  <c r="H16" i="7" s="1"/>
  <c r="F16" i="44" s="1"/>
  <c r="N57" i="5"/>
  <c r="H57" i="7" s="1"/>
  <c r="F57" i="44" s="1"/>
  <c r="K15" i="5"/>
  <c r="G15" i="7" s="1"/>
  <c r="K43" i="5"/>
  <c r="G43" i="7" s="1"/>
  <c r="E43" i="44" s="1"/>
  <c r="K59" i="5"/>
  <c r="G59" i="7" s="1"/>
  <c r="E59" i="44" s="1"/>
  <c r="K20" i="5"/>
  <c r="G20" i="7" s="1"/>
  <c r="E20" i="44" s="1"/>
  <c r="K21" i="5"/>
  <c r="G21" i="7" s="1"/>
  <c r="E25" i="44" s="1"/>
  <c r="K53" i="5"/>
  <c r="G53" i="7" s="1"/>
  <c r="E53" i="44" s="1"/>
  <c r="K60" i="5"/>
  <c r="G60" i="7" s="1"/>
  <c r="E60" i="44" s="1"/>
  <c r="K31" i="5"/>
  <c r="G31" i="7" s="1"/>
  <c r="E31" i="44" s="1"/>
  <c r="K42" i="5"/>
  <c r="G42" i="7" s="1"/>
  <c r="E42" i="44" s="1"/>
  <c r="K49" i="5"/>
  <c r="G49" i="7" s="1"/>
  <c r="E49" i="44" s="1"/>
  <c r="N34" i="5"/>
  <c r="H34" i="7" s="1"/>
  <c r="F34" i="44" s="1"/>
  <c r="N35" i="5"/>
  <c r="H35" i="7" s="1"/>
  <c r="F35" i="44" s="1"/>
  <c r="N66" i="5"/>
  <c r="H66" i="7" s="1"/>
  <c r="F66" i="44" s="1"/>
  <c r="N61" i="5"/>
  <c r="H61" i="7" s="1"/>
  <c r="F61" i="44" s="1"/>
  <c r="N65" i="5"/>
  <c r="H65" i="7" s="1"/>
  <c r="F65" i="44" s="1"/>
  <c r="N41" i="5"/>
  <c r="H41" i="7" s="1"/>
  <c r="F41" i="44" s="1"/>
  <c r="N37" i="5"/>
  <c r="H37" i="7" s="1"/>
  <c r="F37" i="44" s="1"/>
  <c r="N19" i="5"/>
  <c r="H19" i="7" s="1"/>
  <c r="F19" i="44" s="1"/>
  <c r="N17" i="5"/>
  <c r="H17" i="7" s="1"/>
  <c r="F17" i="44" s="1"/>
  <c r="N32" i="5"/>
  <c r="H32" i="7" s="1"/>
  <c r="F32" i="44" s="1"/>
  <c r="N59" i="5"/>
  <c r="H59" i="7" s="1"/>
  <c r="F59" i="44" s="1"/>
  <c r="N55" i="5"/>
  <c r="H55" i="7" s="1"/>
  <c r="F55" i="44" s="1"/>
  <c r="N45" i="5"/>
  <c r="H45" i="7" s="1"/>
  <c r="F45" i="44" s="1"/>
  <c r="N31" i="5"/>
  <c r="H31" i="7" s="1"/>
  <c r="F31" i="44" s="1"/>
  <c r="N50" i="5"/>
  <c r="H50" i="7" s="1"/>
  <c r="F50" i="44" s="1"/>
  <c r="N22" i="5"/>
  <c r="H22" i="7" s="1"/>
  <c r="F26" i="44" s="1"/>
  <c r="N15" i="5"/>
  <c r="H15" i="7" s="1"/>
  <c r="F15" i="44" s="1"/>
  <c r="N64" i="5"/>
  <c r="H64" i="7" s="1"/>
  <c r="F64" i="44" s="1"/>
  <c r="N24" i="5"/>
  <c r="H24" i="7" s="1"/>
  <c r="F24" i="44" s="1"/>
  <c r="N29" i="5"/>
  <c r="H29" i="7" s="1"/>
  <c r="F29" i="44" s="1"/>
  <c r="N43" i="5"/>
  <c r="H43" i="7" s="1"/>
  <c r="F43" i="44" s="1"/>
  <c r="N28" i="5"/>
  <c r="H28" i="7" s="1"/>
  <c r="F28" i="44" s="1"/>
  <c r="N63" i="5"/>
  <c r="H63" i="7" s="1"/>
  <c r="F63" i="44" s="1"/>
  <c r="N36" i="5"/>
  <c r="H36" i="7" s="1"/>
  <c r="F36" i="44" s="1"/>
  <c r="N54" i="5"/>
  <c r="H54" i="7" s="1"/>
  <c r="F54" i="44" s="1"/>
  <c r="N33" i="5"/>
  <c r="H33" i="7" s="1"/>
  <c r="F33" i="44" s="1"/>
  <c r="N53" i="5"/>
  <c r="H53" i="7" s="1"/>
  <c r="F53" i="44" s="1"/>
  <c r="N52" i="5"/>
  <c r="H52" i="7" s="1"/>
  <c r="F52" i="44" s="1"/>
  <c r="N40" i="5"/>
  <c r="H40" i="7" s="1"/>
  <c r="F40" i="44" s="1"/>
  <c r="N27" i="5"/>
  <c r="H27" i="7" s="1"/>
  <c r="F27" i="44" s="1"/>
  <c r="N30" i="5"/>
  <c r="H30" i="7" s="1"/>
  <c r="F30" i="44" s="1"/>
  <c r="N46" i="5"/>
  <c r="H46" i="7" s="1"/>
  <c r="F46" i="44" s="1"/>
  <c r="N62" i="5"/>
  <c r="H62" i="7" s="1"/>
  <c r="F62" i="44" s="1"/>
  <c r="N44" i="5"/>
  <c r="H44" i="7" s="1"/>
  <c r="F44" i="44" s="1"/>
  <c r="N14" i="5"/>
  <c r="H14" i="7" s="1"/>
  <c r="F14" i="44" s="1"/>
  <c r="N38" i="5"/>
  <c r="H38" i="7" s="1"/>
  <c r="F38" i="44" s="1"/>
  <c r="N56" i="5"/>
  <c r="H56" i="7" s="1"/>
  <c r="F56" i="44" s="1"/>
  <c r="N39" i="5"/>
  <c r="H39" i="7" s="1"/>
  <c r="F39" i="44" s="1"/>
  <c r="N60" i="5"/>
  <c r="H60" i="7" s="1"/>
  <c r="F60" i="44" s="1"/>
  <c r="N48" i="5"/>
  <c r="H48" i="7" s="1"/>
  <c r="F48" i="44" s="1"/>
  <c r="H47" i="5"/>
  <c r="F47" i="7" s="1"/>
  <c r="K32" i="5"/>
  <c r="G32" i="7" s="1"/>
  <c r="E32" i="44" s="1"/>
  <c r="K23" i="5"/>
  <c r="G23" i="7" s="1"/>
  <c r="E23" i="44" s="1"/>
  <c r="K38" i="5"/>
  <c r="G38" i="7" s="1"/>
  <c r="E38" i="44" s="1"/>
  <c r="K34" i="5"/>
  <c r="G34" i="7" s="1"/>
  <c r="E34" i="44" s="1"/>
  <c r="K61" i="5"/>
  <c r="G61" i="7" s="1"/>
  <c r="E61" i="44" s="1"/>
  <c r="K47" i="5"/>
  <c r="G47" i="7" s="1"/>
  <c r="E47" i="44" s="1"/>
  <c r="K25" i="5"/>
  <c r="G25" i="7" s="1"/>
  <c r="E21" i="44" s="1"/>
  <c r="K62" i="5"/>
  <c r="G62" i="7" s="1"/>
  <c r="E62" i="44" s="1"/>
  <c r="K63" i="5"/>
  <c r="G63" i="7" s="1"/>
  <c r="E63" i="44" s="1"/>
  <c r="K58" i="5"/>
  <c r="G58" i="7" s="1"/>
  <c r="E58" i="44" s="1"/>
  <c r="K28" i="5"/>
  <c r="G28" i="7" s="1"/>
  <c r="E28" i="44" s="1"/>
  <c r="K46" i="5"/>
  <c r="G46" i="7" s="1"/>
  <c r="E46" i="44" s="1"/>
  <c r="K65" i="5"/>
  <c r="G65" i="7" s="1"/>
  <c r="E65" i="44" s="1"/>
  <c r="K30" i="5"/>
  <c r="G30" i="7" s="1"/>
  <c r="E30" i="44" s="1"/>
  <c r="K57" i="5"/>
  <c r="G57" i="7" s="1"/>
  <c r="E57" i="44" s="1"/>
  <c r="K27" i="5"/>
  <c r="G27" i="7" s="1"/>
  <c r="E27" i="44" s="1"/>
  <c r="K41" i="5"/>
  <c r="G41" i="7" s="1"/>
  <c r="E41" i="44" s="1"/>
  <c r="K39" i="5"/>
  <c r="G39" i="7" s="1"/>
  <c r="E39" i="44" s="1"/>
  <c r="H28" i="5"/>
  <c r="F28" i="7" s="1"/>
  <c r="K50" i="5"/>
  <c r="G50" i="7" s="1"/>
  <c r="E50" i="44" s="1"/>
  <c r="K22" i="5"/>
  <c r="G22" i="7" s="1"/>
  <c r="E26" i="44" s="1"/>
  <c r="K40" i="5"/>
  <c r="G40" i="7" s="1"/>
  <c r="E40" i="44" s="1"/>
  <c r="K14" i="5"/>
  <c r="G14" i="7" s="1"/>
  <c r="E14" i="44" s="1"/>
  <c r="K18" i="5"/>
  <c r="G18" i="7" s="1"/>
  <c r="E18" i="44" s="1"/>
  <c r="K64" i="5"/>
  <c r="G64" i="7" s="1"/>
  <c r="E64" i="44" s="1"/>
  <c r="K44" i="5"/>
  <c r="G44" i="7" s="1"/>
  <c r="E44" i="44" s="1"/>
  <c r="K29" i="5"/>
  <c r="G29" i="7" s="1"/>
  <c r="E29" i="44" s="1"/>
  <c r="K45" i="5"/>
  <c r="G45" i="7" s="1"/>
  <c r="E45" i="44" s="1"/>
  <c r="K54" i="5"/>
  <c r="G54" i="7" s="1"/>
  <c r="E54" i="44" s="1"/>
  <c r="K35" i="5"/>
  <c r="G35" i="7" s="1"/>
  <c r="E35" i="44" s="1"/>
  <c r="K55" i="5"/>
  <c r="G55" i="7" s="1"/>
  <c r="E55" i="44" s="1"/>
  <c r="K13" i="5"/>
  <c r="G13" i="7" s="1"/>
  <c r="E13" i="44" s="1"/>
  <c r="K48" i="5"/>
  <c r="G48" i="7" s="1"/>
  <c r="E48" i="44" s="1"/>
  <c r="K52" i="5"/>
  <c r="G52" i="7" s="1"/>
  <c r="E52" i="44" s="1"/>
  <c r="H59" i="5"/>
  <c r="F59" i="7" s="1"/>
  <c r="H56" i="5"/>
  <c r="F56" i="7" s="1"/>
  <c r="H29" i="5"/>
  <c r="F29" i="7" s="1"/>
  <c r="H14" i="5"/>
  <c r="F14" i="7" s="1"/>
  <c r="H60" i="5"/>
  <c r="F60" i="7" s="1"/>
  <c r="H18" i="5"/>
  <c r="F18" i="7" s="1"/>
  <c r="H41" i="5"/>
  <c r="F41" i="7" s="1"/>
  <c r="I41" i="7" s="1"/>
  <c r="H19" i="5"/>
  <c r="F19" i="7" s="1"/>
  <c r="H62" i="5"/>
  <c r="F62" i="7" s="1"/>
  <c r="H58" i="5"/>
  <c r="F58" i="7" s="1"/>
  <c r="H17" i="5"/>
  <c r="F17" i="7" s="1"/>
  <c r="H43" i="5"/>
  <c r="F43" i="7" s="1"/>
  <c r="H54" i="5"/>
  <c r="F54" i="7" s="1"/>
  <c r="H49" i="5"/>
  <c r="F49" i="7" s="1"/>
  <c r="H30" i="5"/>
  <c r="F30" i="7" s="1"/>
  <c r="H44" i="5"/>
  <c r="F44" i="7" s="1"/>
  <c r="H34" i="5"/>
  <c r="F34" i="7" s="1"/>
  <c r="H61" i="5"/>
  <c r="F61" i="7" s="1"/>
  <c r="H36" i="5"/>
  <c r="F36" i="7" s="1"/>
  <c r="H23" i="5"/>
  <c r="F23" i="7" s="1"/>
  <c r="H42" i="5"/>
  <c r="F42" i="7" s="1"/>
  <c r="N47" i="5"/>
  <c r="H47" i="7" s="1"/>
  <c r="F47" i="44" s="1"/>
  <c r="N51" i="5"/>
  <c r="H51" i="7" s="1"/>
  <c r="F51" i="44" s="1"/>
  <c r="H53" i="5"/>
  <c r="F53" i="7" s="1"/>
  <c r="H46" i="5"/>
  <c r="F46" i="7" s="1"/>
  <c r="H20" i="5"/>
  <c r="F20" i="7" s="1"/>
  <c r="H40" i="5"/>
  <c r="F40" i="7" s="1"/>
  <c r="H32" i="5"/>
  <c r="F32" i="7" s="1"/>
  <c r="H37" i="5"/>
  <c r="F37" i="7" s="1"/>
  <c r="H24" i="5"/>
  <c r="F24" i="7" s="1"/>
  <c r="H57" i="5"/>
  <c r="F57" i="7" s="1"/>
  <c r="H63" i="5"/>
  <c r="F63" i="7" s="1"/>
  <c r="H35" i="5"/>
  <c r="F35" i="7" s="1"/>
  <c r="H66" i="5"/>
  <c r="F66" i="7" s="1"/>
  <c r="H31" i="5"/>
  <c r="F31" i="7" s="1"/>
  <c r="I31" i="7" s="1"/>
  <c r="H51" i="5"/>
  <c r="F51" i="7" s="1"/>
  <c r="H15" i="5"/>
  <c r="F15" i="7" s="1"/>
  <c r="H38" i="5"/>
  <c r="F38" i="7" s="1"/>
  <c r="H13" i="5"/>
  <c r="F13" i="7" s="1"/>
  <c r="H45" i="5"/>
  <c r="F45" i="7" s="1"/>
  <c r="H64" i="5"/>
  <c r="F64" i="7" s="1"/>
  <c r="H33" i="5"/>
  <c r="F33" i="7" s="1"/>
  <c r="H55" i="5"/>
  <c r="F55" i="7" s="1"/>
  <c r="H16" i="5"/>
  <c r="F16" i="7" s="1"/>
  <c r="H65" i="5"/>
  <c r="F65" i="7" s="1"/>
  <c r="H39" i="5"/>
  <c r="F39" i="7" s="1"/>
  <c r="H27" i="5"/>
  <c r="F27" i="7" s="1"/>
  <c r="H21" i="5"/>
  <c r="F21" i="7" s="1"/>
  <c r="H25" i="5"/>
  <c r="F25" i="7" s="1"/>
  <c r="I25" i="7" s="1"/>
  <c r="H48" i="5"/>
  <c r="F48" i="7" s="1"/>
  <c r="H50" i="5"/>
  <c r="F50" i="7" s="1"/>
  <c r="H52" i="5"/>
  <c r="F52" i="7" s="1"/>
  <c r="H22" i="5"/>
  <c r="F22" i="7" s="1"/>
  <c r="S20" i="8"/>
  <c r="L20" i="7" s="1"/>
  <c r="S19" i="8"/>
  <c r="L19" i="7" s="1"/>
  <c r="AI26" i="7"/>
  <c r="O47" i="8"/>
  <c r="O25" i="8"/>
  <c r="O21" i="8"/>
  <c r="AA47" i="8"/>
  <c r="AA25" i="8"/>
  <c r="AA21" i="8"/>
  <c r="R25" i="8"/>
  <c r="R47" i="8"/>
  <c r="R21" i="8"/>
  <c r="U65" i="8"/>
  <c r="V65" i="8" s="1"/>
  <c r="V65" i="7" s="1"/>
  <c r="I65" i="44" s="1"/>
  <c r="U66" i="8"/>
  <c r="V66" i="8" s="1"/>
  <c r="V66" i="7" s="1"/>
  <c r="I66" i="44" s="1"/>
  <c r="O14" i="8"/>
  <c r="P14" i="8" s="1"/>
  <c r="O15" i="8"/>
  <c r="P15" i="8" s="1"/>
  <c r="O27" i="8"/>
  <c r="O23" i="8"/>
  <c r="O35" i="8"/>
  <c r="O65" i="8"/>
  <c r="P65" i="8" s="1"/>
  <c r="O66" i="8"/>
  <c r="P66" i="8" s="1"/>
  <c r="O29" i="8"/>
  <c r="O17" i="8"/>
  <c r="P17" i="8" s="1"/>
  <c r="O16" i="8"/>
  <c r="P16" i="8" s="1"/>
  <c r="O41" i="8"/>
  <c r="O18" i="8"/>
  <c r="P18" i="8" s="1"/>
  <c r="O13" i="8"/>
  <c r="P13" i="8" s="1"/>
  <c r="O53" i="8"/>
  <c r="O59" i="8"/>
  <c r="AA65" i="8"/>
  <c r="AA17" i="8"/>
  <c r="AA13" i="8"/>
  <c r="AB13" i="8" s="1"/>
  <c r="U13" i="3" s="1"/>
  <c r="AA14" i="8"/>
  <c r="AA15" i="8"/>
  <c r="AA18" i="8"/>
  <c r="AA41" i="8"/>
  <c r="AA35" i="8"/>
  <c r="AA29" i="8"/>
  <c r="AA59" i="8"/>
  <c r="AA66" i="8"/>
  <c r="AA23" i="8"/>
  <c r="AA27" i="8"/>
  <c r="AA16" i="8"/>
  <c r="AA53" i="8"/>
  <c r="R17" i="8"/>
  <c r="S17" i="8" s="1"/>
  <c r="R14" i="8"/>
  <c r="S14" i="8" s="1"/>
  <c r="R66" i="8"/>
  <c r="S66" i="8" s="1"/>
  <c r="R59" i="8"/>
  <c r="R13" i="8"/>
  <c r="S13" i="8" s="1"/>
  <c r="R15" i="8"/>
  <c r="S15" i="8" s="1"/>
  <c r="R16" i="8"/>
  <c r="S16" i="8" s="1"/>
  <c r="R27" i="8"/>
  <c r="R65" i="8"/>
  <c r="S65" i="8" s="1"/>
  <c r="R41" i="8"/>
  <c r="R29" i="8"/>
  <c r="R35" i="8"/>
  <c r="R18" i="8"/>
  <c r="S18" i="8" s="1"/>
  <c r="R23" i="8"/>
  <c r="R53" i="8"/>
  <c r="AA19" i="8"/>
  <c r="O19" i="8"/>
  <c r="I37" i="7" l="1"/>
  <c r="I42" i="7"/>
  <c r="J42" i="7" s="1"/>
  <c r="I36" i="7"/>
  <c r="J36" i="7" s="1"/>
  <c r="I66" i="7"/>
  <c r="J66" i="7" s="1"/>
  <c r="I18" i="7"/>
  <c r="J18" i="7" s="1"/>
  <c r="I24" i="7"/>
  <c r="J24" i="7" s="1"/>
  <c r="I20" i="7"/>
  <c r="J20" i="7" s="1"/>
  <c r="I22" i="7"/>
  <c r="J22" i="7" s="1"/>
  <c r="I64" i="7"/>
  <c r="J64" i="7" s="1"/>
  <c r="I35" i="7"/>
  <c r="J35" i="7" s="1"/>
  <c r="I28" i="7"/>
  <c r="J28" i="7" s="1"/>
  <c r="I63" i="7"/>
  <c r="I52" i="7"/>
  <c r="J52" i="7" s="1"/>
  <c r="I32" i="7"/>
  <c r="J32" i="7" s="1"/>
  <c r="I23" i="7"/>
  <c r="J23" i="7" s="1"/>
  <c r="I44" i="7"/>
  <c r="J44" i="7" s="1"/>
  <c r="I19" i="7"/>
  <c r="J19" i="7" s="1"/>
  <c r="I48" i="7"/>
  <c r="J48" i="7" s="1"/>
  <c r="I61" i="7"/>
  <c r="J61" i="7" s="1"/>
  <c r="I53" i="7"/>
  <c r="J53" i="7" s="1"/>
  <c r="I55" i="7"/>
  <c r="J55" i="7" s="1"/>
  <c r="I57" i="7"/>
  <c r="J57" i="7" s="1"/>
  <c r="I30" i="7"/>
  <c r="J30" i="7" s="1"/>
  <c r="I29" i="7"/>
  <c r="J29" i="7" s="1"/>
  <c r="I14" i="7"/>
  <c r="J14" i="7" s="1"/>
  <c r="I39" i="7"/>
  <c r="J39" i="7" s="1"/>
  <c r="I33" i="7"/>
  <c r="J33" i="7" s="1"/>
  <c r="I38" i="7"/>
  <c r="J38" i="7" s="1"/>
  <c r="I49" i="7"/>
  <c r="J49" i="7" s="1"/>
  <c r="I58" i="7"/>
  <c r="J58" i="7" s="1"/>
  <c r="I56" i="7"/>
  <c r="J56" i="7" s="1"/>
  <c r="I21" i="7"/>
  <c r="I16" i="7"/>
  <c r="I45" i="7"/>
  <c r="I51" i="7"/>
  <c r="J63" i="7"/>
  <c r="I43" i="7"/>
  <c r="I47" i="7"/>
  <c r="I50" i="7"/>
  <c r="I27" i="7"/>
  <c r="I13" i="7"/>
  <c r="J31" i="7"/>
  <c r="I40" i="7"/>
  <c r="I17" i="7"/>
  <c r="J41" i="7"/>
  <c r="P13" i="11"/>
  <c r="J25" i="7"/>
  <c r="I65" i="7"/>
  <c r="I15" i="7"/>
  <c r="J37" i="7"/>
  <c r="I46" i="7"/>
  <c r="I34" i="7"/>
  <c r="I54" i="7"/>
  <c r="I62" i="7"/>
  <c r="I60" i="7"/>
  <c r="I59" i="7"/>
  <c r="I26" i="7"/>
  <c r="AJ36" i="7"/>
  <c r="E15" i="44"/>
  <c r="H19" i="44"/>
  <c r="H20" i="44"/>
  <c r="AI27" i="7"/>
  <c r="D13" i="44"/>
  <c r="D57" i="44"/>
  <c r="D46" i="44"/>
  <c r="D44" i="44"/>
  <c r="AI41" i="7"/>
  <c r="AI29" i="7"/>
  <c r="D59" i="44"/>
  <c r="D28" i="44"/>
  <c r="D47" i="44"/>
  <c r="D48" i="44"/>
  <c r="D39" i="44"/>
  <c r="D38" i="44"/>
  <c r="D66" i="44"/>
  <c r="D32" i="44"/>
  <c r="D53" i="44"/>
  <c r="D36" i="44"/>
  <c r="AI49" i="7"/>
  <c r="D18" i="44"/>
  <c r="D26" i="44"/>
  <c r="D21" i="44"/>
  <c r="D65" i="44"/>
  <c r="D64" i="44"/>
  <c r="D15" i="44"/>
  <c r="D35" i="44"/>
  <c r="D40" i="44"/>
  <c r="D61" i="44"/>
  <c r="D54" i="44"/>
  <c r="D62" i="44"/>
  <c r="D60" i="44"/>
  <c r="D50" i="44"/>
  <c r="D55" i="44"/>
  <c r="D31" i="44"/>
  <c r="AI37" i="7"/>
  <c r="D23" i="44"/>
  <c r="D17" i="44"/>
  <c r="D33" i="44"/>
  <c r="D30" i="44"/>
  <c r="D58" i="44"/>
  <c r="D52" i="44"/>
  <c r="D25" i="44"/>
  <c r="D16" i="44"/>
  <c r="D45" i="44"/>
  <c r="AI51" i="7"/>
  <c r="D63" i="44"/>
  <c r="D24" i="44"/>
  <c r="D20" i="44"/>
  <c r="D42" i="44"/>
  <c r="D34" i="44"/>
  <c r="D43" i="44"/>
  <c r="D14" i="44"/>
  <c r="D56" i="44"/>
  <c r="Y52" i="8"/>
  <c r="W52" i="7" s="1"/>
  <c r="P60" i="12" s="1"/>
  <c r="Y50" i="8"/>
  <c r="W50" i="7" s="1"/>
  <c r="P58" i="12" s="1"/>
  <c r="Y47" i="8"/>
  <c r="W47" i="7" s="1"/>
  <c r="P55" i="12" s="1"/>
  <c r="Y49" i="8"/>
  <c r="W49" i="7" s="1"/>
  <c r="P57" i="12" s="1"/>
  <c r="Y51" i="8"/>
  <c r="W51" i="7" s="1"/>
  <c r="P59" i="12" s="1"/>
  <c r="Y48" i="8"/>
  <c r="W48" i="7" s="1"/>
  <c r="P56" i="12" s="1"/>
  <c r="AO17" i="7"/>
  <c r="J17" i="44"/>
  <c r="Y22" i="8"/>
  <c r="W22" i="7" s="1"/>
  <c r="P23" i="12" s="1"/>
  <c r="Y21" i="8"/>
  <c r="W21" i="7" s="1"/>
  <c r="P22" i="12" s="1"/>
  <c r="Q24" i="12" s="1"/>
  <c r="R24" i="12" s="1"/>
  <c r="Y31" i="8"/>
  <c r="W31" i="7" s="1"/>
  <c r="P36" i="12" s="1"/>
  <c r="Y32" i="8"/>
  <c r="W32" i="7" s="1"/>
  <c r="P37" i="12" s="1"/>
  <c r="Y30" i="8"/>
  <c r="W30" i="7" s="1"/>
  <c r="P35" i="12" s="1"/>
  <c r="Y29" i="8"/>
  <c r="W29" i="7" s="1"/>
  <c r="P34" i="12" s="1"/>
  <c r="Q40" i="12" s="1"/>
  <c r="R40" i="12" s="1"/>
  <c r="Y34" i="8"/>
  <c r="W34" i="7" s="1"/>
  <c r="P39" i="12" s="1"/>
  <c r="Y33" i="8"/>
  <c r="W33" i="7" s="1"/>
  <c r="P38" i="12" s="1"/>
  <c r="AO65" i="7"/>
  <c r="J65" i="44"/>
  <c r="Y38" i="8"/>
  <c r="W38" i="7" s="1"/>
  <c r="P44" i="12" s="1"/>
  <c r="Y36" i="8"/>
  <c r="W36" i="7" s="1"/>
  <c r="P42" i="12" s="1"/>
  <c r="Y35" i="8"/>
  <c r="W35" i="7" s="1"/>
  <c r="P41" i="12" s="1"/>
  <c r="Y40" i="8"/>
  <c r="W40" i="7" s="1"/>
  <c r="P46" i="12" s="1"/>
  <c r="Y39" i="8"/>
  <c r="W39" i="7" s="1"/>
  <c r="P45" i="12" s="1"/>
  <c r="Y37" i="8"/>
  <c r="W37" i="7" s="1"/>
  <c r="P43" i="12" s="1"/>
  <c r="Y55" i="8"/>
  <c r="W55" i="7" s="1"/>
  <c r="P64" i="12" s="1"/>
  <c r="Y53" i="8"/>
  <c r="W53" i="7" s="1"/>
  <c r="P62" i="12" s="1"/>
  <c r="Q68" i="12" s="1"/>
  <c r="R68" i="12" s="1"/>
  <c r="Y56" i="8"/>
  <c r="W56" i="7" s="1"/>
  <c r="P65" i="12" s="1"/>
  <c r="Y57" i="8"/>
  <c r="W57" i="7" s="1"/>
  <c r="P66" i="12" s="1"/>
  <c r="Y54" i="8"/>
  <c r="W54" i="7" s="1"/>
  <c r="P63" i="12" s="1"/>
  <c r="Y58" i="8"/>
  <c r="W58" i="7" s="1"/>
  <c r="P67" i="12" s="1"/>
  <c r="Y62" i="8"/>
  <c r="W62" i="7" s="1"/>
  <c r="P72" i="12" s="1"/>
  <c r="Y61" i="8"/>
  <c r="W61" i="7" s="1"/>
  <c r="P71" i="12" s="1"/>
  <c r="Y64" i="8"/>
  <c r="W64" i="7" s="1"/>
  <c r="P74" i="12" s="1"/>
  <c r="Y63" i="8"/>
  <c r="W63" i="7" s="1"/>
  <c r="P73" i="12" s="1"/>
  <c r="Y60" i="8"/>
  <c r="W60" i="7" s="1"/>
  <c r="P70" i="12" s="1"/>
  <c r="Y59" i="8"/>
  <c r="W59" i="7" s="1"/>
  <c r="P69" i="12" s="1"/>
  <c r="AO16" i="7"/>
  <c r="J16" i="44"/>
  <c r="Y20" i="8"/>
  <c r="W20" i="7" s="1"/>
  <c r="P20" i="12" s="1"/>
  <c r="Y19" i="8"/>
  <c r="W19" i="7" s="1"/>
  <c r="P19" i="12" s="1"/>
  <c r="Y28" i="8"/>
  <c r="W28" i="7" s="1"/>
  <c r="P32" i="12" s="1"/>
  <c r="Y27" i="8"/>
  <c r="W27" i="7" s="1"/>
  <c r="P31" i="12" s="1"/>
  <c r="Q33" i="12" s="1"/>
  <c r="R33" i="12" s="1"/>
  <c r="AO14" i="7"/>
  <c r="J14" i="44"/>
  <c r="AO15" i="7"/>
  <c r="J15" i="44"/>
  <c r="Y44" i="8"/>
  <c r="W44" i="7" s="1"/>
  <c r="P51" i="12" s="1"/>
  <c r="Y45" i="8"/>
  <c r="W45" i="7" s="1"/>
  <c r="P52" i="12" s="1"/>
  <c r="Y41" i="8"/>
  <c r="W41" i="7" s="1"/>
  <c r="P48" i="12" s="1"/>
  <c r="Y42" i="8"/>
  <c r="W42" i="7" s="1"/>
  <c r="P49" i="12" s="1"/>
  <c r="Y46" i="8"/>
  <c r="W46" i="7" s="1"/>
  <c r="P53" i="12" s="1"/>
  <c r="Y43" i="8"/>
  <c r="W43" i="7" s="1"/>
  <c r="P50" i="12" s="1"/>
  <c r="Y13" i="8"/>
  <c r="W13" i="7" s="1"/>
  <c r="P13" i="12" s="1"/>
  <c r="Q13" i="12" s="1"/>
  <c r="R13" i="12" s="1"/>
  <c r="X69" i="8"/>
  <c r="Y26" i="8"/>
  <c r="W26" i="7" s="1"/>
  <c r="P29" i="12" s="1"/>
  <c r="Y25" i="8"/>
  <c r="W25" i="7" s="1"/>
  <c r="P28" i="12" s="1"/>
  <c r="AO18" i="7"/>
  <c r="J18" i="44"/>
  <c r="Y23" i="8"/>
  <c r="W23" i="7" s="1"/>
  <c r="P25" i="12" s="1"/>
  <c r="Y24" i="8"/>
  <c r="W24" i="7" s="1"/>
  <c r="P26" i="12" s="1"/>
  <c r="AO66" i="7"/>
  <c r="J66" i="44"/>
  <c r="AJ26" i="7"/>
  <c r="AN26" i="7" s="1"/>
  <c r="AJ21" i="7"/>
  <c r="AJ13" i="7"/>
  <c r="AJ49" i="7"/>
  <c r="AN49" i="7" s="1"/>
  <c r="AJ53" i="7"/>
  <c r="AJ66" i="7"/>
  <c r="AB17" i="8"/>
  <c r="AA89" i="8"/>
  <c r="AB14" i="8"/>
  <c r="AA88" i="8"/>
  <c r="AA81" i="8"/>
  <c r="AA90" i="8"/>
  <c r="AJ20" i="7"/>
  <c r="AI60" i="7"/>
  <c r="AJ19" i="7"/>
  <c r="AJ37" i="7"/>
  <c r="AN37" i="7" s="1"/>
  <c r="AI34" i="7"/>
  <c r="AJ18" i="7"/>
  <c r="AJ16" i="7"/>
  <c r="AJ15" i="7"/>
  <c r="AI40" i="7"/>
  <c r="AI24" i="7"/>
  <c r="AJ42" i="7"/>
  <c r="AJ17" i="7"/>
  <c r="AI63" i="7"/>
  <c r="AJ62" i="7"/>
  <c r="AJ61" i="7"/>
  <c r="AJ27" i="7"/>
  <c r="AI43" i="7"/>
  <c r="AI54" i="7"/>
  <c r="AJ34" i="7"/>
  <c r="AJ33" i="7"/>
  <c r="AJ58" i="7"/>
  <c r="AJ23" i="7"/>
  <c r="AJ48" i="7"/>
  <c r="AJ31" i="7"/>
  <c r="AJ64" i="7"/>
  <c r="AJ41" i="7"/>
  <c r="AJ46" i="7"/>
  <c r="AJ57" i="7"/>
  <c r="AJ44" i="7"/>
  <c r="AJ52" i="7"/>
  <c r="AJ29" i="7"/>
  <c r="AJ35" i="7"/>
  <c r="AI47" i="7"/>
  <c r="H126" i="52"/>
  <c r="H131" i="52" s="1"/>
  <c r="AI62" i="7"/>
  <c r="AI25" i="7"/>
  <c r="AI35" i="7"/>
  <c r="AJ65" i="7"/>
  <c r="AJ63" i="7"/>
  <c r="AI65" i="7"/>
  <c r="AJ56" i="7"/>
  <c r="AI22" i="7"/>
  <c r="AJ43" i="7"/>
  <c r="AJ32" i="7"/>
  <c r="H85" i="52"/>
  <c r="H115" i="52" s="1"/>
  <c r="AI15" i="7"/>
  <c r="AJ59" i="7"/>
  <c r="AJ60" i="7"/>
  <c r="AI31" i="7"/>
  <c r="AJ45" i="7"/>
  <c r="AJ50" i="7"/>
  <c r="AJ24" i="7"/>
  <c r="AI59" i="7"/>
  <c r="AI13" i="7"/>
  <c r="D29" i="44"/>
  <c r="AI55" i="7"/>
  <c r="AJ25" i="7"/>
  <c r="D41" i="44"/>
  <c r="D37" i="44"/>
  <c r="AI61" i="7"/>
  <c r="AJ54" i="7"/>
  <c r="AI64" i="7"/>
  <c r="AJ47" i="7"/>
  <c r="AI23" i="7"/>
  <c r="AI30" i="7"/>
  <c r="AJ40" i="7"/>
  <c r="AJ22" i="7"/>
  <c r="D27" i="44"/>
  <c r="AI33" i="7"/>
  <c r="AJ38" i="7"/>
  <c r="AI57" i="7"/>
  <c r="AI44" i="7"/>
  <c r="AI50" i="7"/>
  <c r="AI46" i="7"/>
  <c r="AJ55" i="7"/>
  <c r="AI36" i="7"/>
  <c r="AJ39" i="7"/>
  <c r="AI28" i="7"/>
  <c r="AJ14" i="7"/>
  <c r="AI66" i="7"/>
  <c r="AI17" i="7"/>
  <c r="D49" i="44"/>
  <c r="AJ30" i="7"/>
  <c r="AJ28" i="7"/>
  <c r="AI48" i="7"/>
  <c r="AI18" i="7"/>
  <c r="AI14" i="7"/>
  <c r="AI20" i="7"/>
  <c r="D51" i="44"/>
  <c r="AI42" i="7"/>
  <c r="AI53" i="7"/>
  <c r="D19" i="44"/>
  <c r="AI56" i="7"/>
  <c r="AI39" i="7"/>
  <c r="AI32" i="7"/>
  <c r="AI45" i="7"/>
  <c r="AI38" i="7"/>
  <c r="AI58" i="7"/>
  <c r="AI19" i="7"/>
  <c r="AI16" i="7"/>
  <c r="AI21" i="7"/>
  <c r="AJ51" i="7"/>
  <c r="AI52" i="7"/>
  <c r="AB20" i="8"/>
  <c r="AB19" i="8"/>
  <c r="AB58" i="8"/>
  <c r="U58" i="3" s="1"/>
  <c r="AB56" i="8"/>
  <c r="U56" i="3" s="1"/>
  <c r="AB54" i="8"/>
  <c r="U54" i="3" s="1"/>
  <c r="AB57" i="8"/>
  <c r="U57" i="3" s="1"/>
  <c r="AB55" i="8"/>
  <c r="U55" i="3" s="1"/>
  <c r="AB53" i="8"/>
  <c r="AB66" i="8"/>
  <c r="U66" i="3" s="1"/>
  <c r="AB26" i="8"/>
  <c r="U26" i="3" s="1"/>
  <c r="AB25" i="8"/>
  <c r="AB28" i="8"/>
  <c r="AB27" i="8"/>
  <c r="AB34" i="8"/>
  <c r="AB32" i="8"/>
  <c r="AB30" i="8"/>
  <c r="AB33" i="8"/>
  <c r="AB31" i="8"/>
  <c r="AB29" i="8"/>
  <c r="AB46" i="8"/>
  <c r="AB44" i="8"/>
  <c r="AB42" i="8"/>
  <c r="AB45" i="8"/>
  <c r="AB43" i="8"/>
  <c r="AB41" i="8"/>
  <c r="AB15" i="8"/>
  <c r="U15" i="3" s="1"/>
  <c r="AB65" i="8"/>
  <c r="U65" i="3" s="1"/>
  <c r="AB16" i="8"/>
  <c r="U16" i="3" s="1"/>
  <c r="AB23" i="8"/>
  <c r="AB24" i="8"/>
  <c r="AB64" i="8"/>
  <c r="U64" i="3" s="1"/>
  <c r="AB62" i="8"/>
  <c r="U62" i="3" s="1"/>
  <c r="AB60" i="8"/>
  <c r="U60" i="3" s="1"/>
  <c r="AB63" i="8"/>
  <c r="U63" i="3" s="1"/>
  <c r="AB61" i="8"/>
  <c r="U61" i="3" s="1"/>
  <c r="AB59" i="8"/>
  <c r="U59" i="3" s="1"/>
  <c r="AB40" i="8"/>
  <c r="AB38" i="8"/>
  <c r="AB36" i="8"/>
  <c r="AB39" i="8"/>
  <c r="AB37" i="8"/>
  <c r="AB35" i="8"/>
  <c r="AA83" i="8"/>
  <c r="AB18" i="8"/>
  <c r="AB22" i="8"/>
  <c r="U22" i="3" s="1"/>
  <c r="AB21" i="8"/>
  <c r="AB52" i="8"/>
  <c r="U52" i="3" s="1"/>
  <c r="AB50" i="8"/>
  <c r="U50" i="3" s="1"/>
  <c r="AB48" i="8"/>
  <c r="U48" i="3" s="1"/>
  <c r="AB51" i="8"/>
  <c r="AB49" i="8"/>
  <c r="U49" i="3" s="1"/>
  <c r="AB47" i="8"/>
  <c r="U47" i="3" s="1"/>
  <c r="AA80" i="8"/>
  <c r="AA87" i="8" s="1"/>
  <c r="AA82" i="8"/>
  <c r="V20" i="8"/>
  <c r="V20" i="7" s="1"/>
  <c r="I20" i="44" s="1"/>
  <c r="V19" i="8"/>
  <c r="V19" i="7" s="1"/>
  <c r="I19" i="44" s="1"/>
  <c r="S40" i="8"/>
  <c r="L40" i="7" s="1"/>
  <c r="S38" i="8"/>
  <c r="L38" i="7" s="1"/>
  <c r="S36" i="8"/>
  <c r="L36" i="7" s="1"/>
  <c r="S39" i="8"/>
  <c r="L39" i="7" s="1"/>
  <c r="S37" i="8"/>
  <c r="L37" i="7" s="1"/>
  <c r="S35" i="8"/>
  <c r="L35" i="7" s="1"/>
  <c r="S64" i="8"/>
  <c r="L64" i="7" s="1"/>
  <c r="S62" i="8"/>
  <c r="L62" i="7" s="1"/>
  <c r="S60" i="8"/>
  <c r="L60" i="7" s="1"/>
  <c r="S63" i="8"/>
  <c r="L63" i="7" s="1"/>
  <c r="S61" i="8"/>
  <c r="L61" i="7" s="1"/>
  <c r="S59" i="8"/>
  <c r="L59" i="7" s="1"/>
  <c r="P24" i="8"/>
  <c r="P23" i="8"/>
  <c r="V58" i="8"/>
  <c r="V58" i="7" s="1"/>
  <c r="I58" i="44" s="1"/>
  <c r="V56" i="8"/>
  <c r="V56" i="7" s="1"/>
  <c r="I56" i="44" s="1"/>
  <c r="V54" i="8"/>
  <c r="V54" i="7" s="1"/>
  <c r="I54" i="44" s="1"/>
  <c r="V57" i="8"/>
  <c r="V57" i="7" s="1"/>
  <c r="I57" i="44" s="1"/>
  <c r="V53" i="8"/>
  <c r="V53" i="7" s="1"/>
  <c r="I53" i="44" s="1"/>
  <c r="V55" i="8"/>
  <c r="V55" i="7" s="1"/>
  <c r="I55" i="44" s="1"/>
  <c r="V46" i="8"/>
  <c r="V46" i="7" s="1"/>
  <c r="I46" i="44" s="1"/>
  <c r="V44" i="8"/>
  <c r="V44" i="7" s="1"/>
  <c r="I44" i="44" s="1"/>
  <c r="V42" i="8"/>
  <c r="V42" i="7" s="1"/>
  <c r="I42" i="44" s="1"/>
  <c r="V45" i="8"/>
  <c r="V45" i="7" s="1"/>
  <c r="I45" i="44" s="1"/>
  <c r="V41" i="8"/>
  <c r="V41" i="7" s="1"/>
  <c r="I41" i="44" s="1"/>
  <c r="V43" i="8"/>
  <c r="V43" i="7" s="1"/>
  <c r="I43" i="44" s="1"/>
  <c r="V24" i="8"/>
  <c r="V24" i="7" s="1"/>
  <c r="I24" i="44" s="1"/>
  <c r="V23" i="8"/>
  <c r="V23" i="7" s="1"/>
  <c r="I23" i="44" s="1"/>
  <c r="V64" i="8"/>
  <c r="V64" i="7" s="1"/>
  <c r="I64" i="44" s="1"/>
  <c r="V62" i="8"/>
  <c r="V62" i="7" s="1"/>
  <c r="I62" i="44" s="1"/>
  <c r="V60" i="8"/>
  <c r="V60" i="7" s="1"/>
  <c r="I60" i="44" s="1"/>
  <c r="V61" i="8"/>
  <c r="V61" i="7" s="1"/>
  <c r="I61" i="44" s="1"/>
  <c r="V63" i="8"/>
  <c r="V63" i="7" s="1"/>
  <c r="I63" i="44" s="1"/>
  <c r="V59" i="8"/>
  <c r="V59" i="7" s="1"/>
  <c r="I59" i="44" s="1"/>
  <c r="V28" i="8"/>
  <c r="V28" i="7" s="1"/>
  <c r="I28" i="44" s="1"/>
  <c r="V27" i="8"/>
  <c r="V27" i="7" s="1"/>
  <c r="I27" i="44" s="1"/>
  <c r="S52" i="8"/>
  <c r="S50" i="8"/>
  <c r="L50" i="7" s="1"/>
  <c r="S48" i="8"/>
  <c r="L48" i="7" s="1"/>
  <c r="S51" i="8"/>
  <c r="L51" i="7" s="1"/>
  <c r="S49" i="8"/>
  <c r="L49" i="7" s="1"/>
  <c r="S47" i="8"/>
  <c r="L47" i="7" s="1"/>
  <c r="V22" i="8"/>
  <c r="V22" i="7" s="1"/>
  <c r="I26" i="44" s="1"/>
  <c r="V21" i="8"/>
  <c r="V21" i="7" s="1"/>
  <c r="I25" i="44" s="1"/>
  <c r="V26" i="8"/>
  <c r="V26" i="7" s="1"/>
  <c r="I22" i="44" s="1"/>
  <c r="V25" i="8"/>
  <c r="V25" i="7" s="1"/>
  <c r="I21" i="44" s="1"/>
  <c r="P22" i="8"/>
  <c r="K22" i="7" s="1"/>
  <c r="P21" i="8"/>
  <c r="K21" i="7" s="1"/>
  <c r="S24" i="8"/>
  <c r="L24" i="7" s="1"/>
  <c r="S23" i="8"/>
  <c r="L23" i="7" s="1"/>
  <c r="S46" i="8"/>
  <c r="L46" i="7" s="1"/>
  <c r="S44" i="8"/>
  <c r="L44" i="7" s="1"/>
  <c r="S42" i="8"/>
  <c r="L42" i="7" s="1"/>
  <c r="S45" i="8"/>
  <c r="L45" i="7" s="1"/>
  <c r="S43" i="8"/>
  <c r="L43" i="7" s="1"/>
  <c r="S41" i="8"/>
  <c r="L41" i="7" s="1"/>
  <c r="S28" i="8"/>
  <c r="L28" i="7" s="1"/>
  <c r="S27" i="8"/>
  <c r="L27" i="7" s="1"/>
  <c r="P20" i="8"/>
  <c r="P19" i="8"/>
  <c r="S58" i="8"/>
  <c r="L58" i="7" s="1"/>
  <c r="S56" i="8"/>
  <c r="L56" i="7" s="1"/>
  <c r="S54" i="8"/>
  <c r="L54" i="7" s="1"/>
  <c r="S57" i="8"/>
  <c r="L57" i="7" s="1"/>
  <c r="S55" i="8"/>
  <c r="L55" i="7" s="1"/>
  <c r="S53" i="8"/>
  <c r="L53" i="7" s="1"/>
  <c r="S34" i="8"/>
  <c r="L34" i="7" s="1"/>
  <c r="S32" i="8"/>
  <c r="L32" i="7" s="1"/>
  <c r="S30" i="8"/>
  <c r="L30" i="7" s="1"/>
  <c r="S33" i="8"/>
  <c r="L33" i="7" s="1"/>
  <c r="S31" i="8"/>
  <c r="L31" i="7" s="1"/>
  <c r="S29" i="8"/>
  <c r="L29" i="7" s="1"/>
  <c r="P28" i="8"/>
  <c r="P27" i="8"/>
  <c r="V34" i="8"/>
  <c r="V34" i="7" s="1"/>
  <c r="I34" i="44" s="1"/>
  <c r="V32" i="8"/>
  <c r="V32" i="7" s="1"/>
  <c r="I32" i="44" s="1"/>
  <c r="V30" i="8"/>
  <c r="V30" i="7" s="1"/>
  <c r="I30" i="44" s="1"/>
  <c r="V33" i="8"/>
  <c r="V33" i="7" s="1"/>
  <c r="I33" i="44" s="1"/>
  <c r="V31" i="8"/>
  <c r="V31" i="7" s="1"/>
  <c r="I31" i="44" s="1"/>
  <c r="V29" i="8"/>
  <c r="V29" i="7" s="1"/>
  <c r="I29" i="44" s="1"/>
  <c r="V40" i="8"/>
  <c r="V40" i="7" s="1"/>
  <c r="I40" i="44" s="1"/>
  <c r="V38" i="8"/>
  <c r="V38" i="7" s="1"/>
  <c r="I38" i="44" s="1"/>
  <c r="V36" i="8"/>
  <c r="V36" i="7" s="1"/>
  <c r="I36" i="44" s="1"/>
  <c r="V37" i="8"/>
  <c r="V37" i="7" s="1"/>
  <c r="I37" i="44" s="1"/>
  <c r="V39" i="8"/>
  <c r="V39" i="7" s="1"/>
  <c r="I39" i="44" s="1"/>
  <c r="V35" i="8"/>
  <c r="V35" i="7" s="1"/>
  <c r="I35" i="44" s="1"/>
  <c r="S22" i="8"/>
  <c r="L22" i="7" s="1"/>
  <c r="M23" i="12" s="1"/>
  <c r="S21" i="8"/>
  <c r="L21" i="7" s="1"/>
  <c r="S26" i="8"/>
  <c r="L26" i="7" s="1"/>
  <c r="S25" i="8"/>
  <c r="V52" i="8"/>
  <c r="V52" i="7" s="1"/>
  <c r="I52" i="44" s="1"/>
  <c r="V50" i="8"/>
  <c r="V50" i="7" s="1"/>
  <c r="I50" i="44" s="1"/>
  <c r="V48" i="8"/>
  <c r="V48" i="7" s="1"/>
  <c r="I48" i="44" s="1"/>
  <c r="V49" i="8"/>
  <c r="V49" i="7" s="1"/>
  <c r="I49" i="44" s="1"/>
  <c r="V51" i="8"/>
  <c r="V51" i="7" s="1"/>
  <c r="I51" i="44" s="1"/>
  <c r="V47" i="8"/>
  <c r="V47" i="7" s="1"/>
  <c r="I47" i="44" s="1"/>
  <c r="P26" i="8"/>
  <c r="K26" i="7" s="1"/>
  <c r="P25" i="8"/>
  <c r="K25" i="7" s="1"/>
  <c r="P64" i="8"/>
  <c r="P62" i="8"/>
  <c r="P60" i="8"/>
  <c r="P63" i="8"/>
  <c r="P61" i="8"/>
  <c r="P59" i="8"/>
  <c r="P46" i="8"/>
  <c r="P44" i="8"/>
  <c r="P42" i="8"/>
  <c r="P45" i="8"/>
  <c r="P43" i="8"/>
  <c r="P41" i="8"/>
  <c r="P40" i="8"/>
  <c r="P38" i="8"/>
  <c r="P36" i="8"/>
  <c r="P39" i="8"/>
  <c r="P37" i="8"/>
  <c r="P35" i="8"/>
  <c r="U83" i="8"/>
  <c r="P52" i="8"/>
  <c r="K52" i="7" s="1"/>
  <c r="P50" i="8"/>
  <c r="P48" i="8"/>
  <c r="K48" i="7" s="1"/>
  <c r="P51" i="8"/>
  <c r="K51" i="7" s="1"/>
  <c r="P49" i="8"/>
  <c r="K49" i="7" s="1"/>
  <c r="P47" i="8"/>
  <c r="K47" i="7" s="1"/>
  <c r="P58" i="8"/>
  <c r="P56" i="8"/>
  <c r="P54" i="8"/>
  <c r="P57" i="8"/>
  <c r="P55" i="8"/>
  <c r="P53" i="8"/>
  <c r="P34" i="8"/>
  <c r="P32" i="8"/>
  <c r="P30" i="8"/>
  <c r="P33" i="8"/>
  <c r="P31" i="8"/>
  <c r="P29" i="8"/>
  <c r="R83" i="8"/>
  <c r="L65" i="7"/>
  <c r="AH65" i="7" s="1"/>
  <c r="L16" i="7"/>
  <c r="AH16" i="7" s="1"/>
  <c r="L15" i="7"/>
  <c r="AH15" i="7" s="1"/>
  <c r="L66" i="7"/>
  <c r="AH66" i="7" s="1"/>
  <c r="R81" i="8"/>
  <c r="K16" i="7"/>
  <c r="AD16" i="7" s="1"/>
  <c r="K65" i="7"/>
  <c r="K15" i="7"/>
  <c r="AV20" i="7"/>
  <c r="AV19" i="7"/>
  <c r="K66" i="7"/>
  <c r="R80" i="8"/>
  <c r="R82" i="8"/>
  <c r="O80" i="8"/>
  <c r="O82" i="8"/>
  <c r="O81" i="8"/>
  <c r="U80" i="8"/>
  <c r="U81" i="8"/>
  <c r="U82" i="8"/>
  <c r="L14" i="7"/>
  <c r="AH14" i="7" s="1"/>
  <c r="AA69" i="8"/>
  <c r="O83" i="8"/>
  <c r="L18" i="7"/>
  <c r="AH18" i="7" s="1"/>
  <c r="R69" i="8"/>
  <c r="L13" i="7"/>
  <c r="L17" i="7"/>
  <c r="AH17" i="7" s="1"/>
  <c r="O69" i="8"/>
  <c r="K13" i="7"/>
  <c r="U69" i="8"/>
  <c r="V13" i="7"/>
  <c r="I13" i="44" s="1"/>
  <c r="AN54" i="7" l="1"/>
  <c r="Q47" i="12"/>
  <c r="R47" i="12" s="1"/>
  <c r="Q27" i="12"/>
  <c r="R27" i="12" s="1"/>
  <c r="Q61" i="12"/>
  <c r="R61" i="12" s="1"/>
  <c r="AD15" i="7"/>
  <c r="N15" i="3" s="1"/>
  <c r="Q54" i="12"/>
  <c r="R54" i="12" s="1"/>
  <c r="AD26" i="7"/>
  <c r="AG26" i="7" s="1"/>
  <c r="Q30" i="12"/>
  <c r="R30" i="12" s="1"/>
  <c r="Q21" i="12"/>
  <c r="R21" i="12" s="1"/>
  <c r="Q75" i="12"/>
  <c r="R75" i="12" s="1"/>
  <c r="AD13" i="7"/>
  <c r="AD48" i="7"/>
  <c r="N48" i="3" s="1"/>
  <c r="V48" i="3" s="1"/>
  <c r="AD65" i="7"/>
  <c r="AD49" i="7"/>
  <c r="N49" i="3" s="1"/>
  <c r="V49" i="3" s="1"/>
  <c r="AD51" i="7"/>
  <c r="N51" i="3" s="1"/>
  <c r="AH20" i="7"/>
  <c r="AH34" i="7"/>
  <c r="AH31" i="7"/>
  <c r="AD21" i="7"/>
  <c r="N21" i="3" s="1"/>
  <c r="AD66" i="7"/>
  <c r="AD22" i="7"/>
  <c r="N22" i="3" s="1"/>
  <c r="AD47" i="7"/>
  <c r="N47" i="3" s="1"/>
  <c r="V47" i="3" s="1"/>
  <c r="AH24" i="7"/>
  <c r="AH19" i="7"/>
  <c r="AH61" i="7"/>
  <c r="AH37" i="7"/>
  <c r="AH36" i="7"/>
  <c r="AH32" i="7"/>
  <c r="AH43" i="7"/>
  <c r="AH59" i="7"/>
  <c r="AH57" i="7"/>
  <c r="AH49" i="7"/>
  <c r="AH23" i="7"/>
  <c r="AH46" i="7"/>
  <c r="AH62" i="7"/>
  <c r="AH39" i="7"/>
  <c r="AH47" i="7"/>
  <c r="AH42" i="7"/>
  <c r="AH27" i="7"/>
  <c r="AH63" i="7"/>
  <c r="AH53" i="7"/>
  <c r="AH40" i="7"/>
  <c r="AH29" i="7"/>
  <c r="AH21" i="7"/>
  <c r="AH48" i="7"/>
  <c r="AH50" i="7"/>
  <c r="AH45" i="7"/>
  <c r="AH33" i="7"/>
  <c r="AH26" i="7"/>
  <c r="AH44" i="7"/>
  <c r="AH60" i="7"/>
  <c r="AH56" i="7"/>
  <c r="AH38" i="7"/>
  <c r="AH13" i="7"/>
  <c r="AH41" i="7"/>
  <c r="AH28" i="7"/>
  <c r="AH64" i="7"/>
  <c r="AH54" i="7"/>
  <c r="AH55" i="7"/>
  <c r="AH35" i="7"/>
  <c r="AH30" i="7"/>
  <c r="AH22" i="7"/>
  <c r="AH51" i="7"/>
  <c r="P57" i="11"/>
  <c r="S66" i="12" s="1"/>
  <c r="J59" i="7"/>
  <c r="P49" i="11"/>
  <c r="S57" i="12" s="1"/>
  <c r="P52" i="11"/>
  <c r="S60" i="12" s="1"/>
  <c r="P61" i="11"/>
  <c r="S71" i="12" s="1"/>
  <c r="P64" i="11"/>
  <c r="S74" i="12" s="1"/>
  <c r="P65" i="11"/>
  <c r="P55" i="11"/>
  <c r="S64" i="12" s="1"/>
  <c r="P58" i="11"/>
  <c r="S67" i="12" s="1"/>
  <c r="J54" i="7"/>
  <c r="J46" i="7"/>
  <c r="J65" i="7"/>
  <c r="J47" i="7"/>
  <c r="N16" i="3"/>
  <c r="J16" i="7"/>
  <c r="P63" i="11"/>
  <c r="S73" i="12" s="1"/>
  <c r="P26" i="11"/>
  <c r="J34" i="7"/>
  <c r="J15" i="7"/>
  <c r="J17" i="7"/>
  <c r="J21" i="7"/>
  <c r="P48" i="11"/>
  <c r="S56" i="12" s="1"/>
  <c r="P22" i="11"/>
  <c r="S23" i="12" s="1"/>
  <c r="P60" i="11"/>
  <c r="P66" i="11"/>
  <c r="P54" i="11"/>
  <c r="J26" i="7"/>
  <c r="J60" i="7"/>
  <c r="J40" i="7"/>
  <c r="J27" i="7"/>
  <c r="J51" i="7"/>
  <c r="P15" i="11"/>
  <c r="P47" i="11"/>
  <c r="P50" i="11"/>
  <c r="P59" i="11"/>
  <c r="P62" i="11"/>
  <c r="P16" i="11"/>
  <c r="P56" i="11"/>
  <c r="S65" i="12" s="1"/>
  <c r="J62" i="7"/>
  <c r="J13" i="7"/>
  <c r="S13" i="12" s="1"/>
  <c r="T13" i="12" s="1"/>
  <c r="U13" i="12" s="1"/>
  <c r="J50" i="7"/>
  <c r="J43" i="7"/>
  <c r="J45" i="7"/>
  <c r="AN51" i="7"/>
  <c r="AN30" i="7"/>
  <c r="AN22" i="7"/>
  <c r="AN24" i="7"/>
  <c r="AN60" i="7"/>
  <c r="AN33" i="7"/>
  <c r="AN15" i="7"/>
  <c r="AN27" i="7"/>
  <c r="AN17" i="7"/>
  <c r="AN28" i="7"/>
  <c r="AN56" i="7"/>
  <c r="AN64" i="7"/>
  <c r="AN58" i="7"/>
  <c r="AN53" i="7"/>
  <c r="AN14" i="7"/>
  <c r="AN32" i="7"/>
  <c r="AN57" i="7"/>
  <c r="H123" i="52"/>
  <c r="AN38" i="7"/>
  <c r="AN40" i="7"/>
  <c r="AN50" i="7"/>
  <c r="AN59" i="7"/>
  <c r="AN43" i="7"/>
  <c r="AN63" i="7"/>
  <c r="AN29" i="7"/>
  <c r="AN46" i="7"/>
  <c r="AN48" i="7"/>
  <c r="AN34" i="7"/>
  <c r="AN61" i="7"/>
  <c r="AN42" i="7"/>
  <c r="AN16" i="7"/>
  <c r="AN19" i="7"/>
  <c r="AN13" i="7"/>
  <c r="AN44" i="7"/>
  <c r="AN20" i="7"/>
  <c r="AN55" i="7"/>
  <c r="AN47" i="7"/>
  <c r="AN35" i="7"/>
  <c r="AN31" i="7"/>
  <c r="AN39" i="7"/>
  <c r="AN25" i="7"/>
  <c r="AN45" i="7"/>
  <c r="AN65" i="7"/>
  <c r="AN52" i="7"/>
  <c r="AN41" i="7"/>
  <c r="AN23" i="7"/>
  <c r="AN62" i="7"/>
  <c r="AN18" i="7"/>
  <c r="AN66" i="7"/>
  <c r="AN21" i="7"/>
  <c r="AN36" i="7"/>
  <c r="M20" i="12"/>
  <c r="J29" i="12"/>
  <c r="AK26" i="7"/>
  <c r="AK15" i="7"/>
  <c r="AK21" i="7"/>
  <c r="J77" i="12"/>
  <c r="K77" i="12" s="1"/>
  <c r="L77" i="12" s="1"/>
  <c r="AK66" i="7"/>
  <c r="J76" i="12"/>
  <c r="K76" i="12" s="1"/>
  <c r="L76" i="12" s="1"/>
  <c r="AK65" i="7"/>
  <c r="J55" i="12"/>
  <c r="AK47" i="7"/>
  <c r="J23" i="12"/>
  <c r="AK22" i="7"/>
  <c r="J59" i="12"/>
  <c r="AK51" i="7"/>
  <c r="AK13" i="7"/>
  <c r="J56" i="12"/>
  <c r="AK48" i="7"/>
  <c r="J16" i="12"/>
  <c r="K16" i="12" s="1"/>
  <c r="AK16" i="7"/>
  <c r="J57" i="12"/>
  <c r="AK49" i="7"/>
  <c r="J60" i="12"/>
  <c r="J28" i="12"/>
  <c r="H14" i="44"/>
  <c r="M14" i="12"/>
  <c r="N14" i="12" s="1"/>
  <c r="H66" i="44"/>
  <c r="M77" i="12"/>
  <c r="N77" i="12" s="1"/>
  <c r="H25" i="44"/>
  <c r="M22" i="12"/>
  <c r="N24" i="12" s="1"/>
  <c r="H29" i="44"/>
  <c r="M34" i="12"/>
  <c r="H41" i="44"/>
  <c r="M48" i="12"/>
  <c r="H51" i="44"/>
  <c r="M59" i="12"/>
  <c r="H59" i="44"/>
  <c r="M69" i="12"/>
  <c r="H39" i="44"/>
  <c r="M45" i="12"/>
  <c r="H15" i="44"/>
  <c r="M15" i="12"/>
  <c r="N15" i="12" s="1"/>
  <c r="H31" i="44"/>
  <c r="M36" i="12"/>
  <c r="H34" i="44"/>
  <c r="M39" i="12"/>
  <c r="H54" i="44"/>
  <c r="M63" i="12"/>
  <c r="H43" i="44"/>
  <c r="M50" i="12"/>
  <c r="H46" i="44"/>
  <c r="M53" i="12"/>
  <c r="H48" i="44"/>
  <c r="M56" i="12"/>
  <c r="H61" i="44"/>
  <c r="M71" i="12"/>
  <c r="H64" i="44"/>
  <c r="M74" i="12"/>
  <c r="H36" i="44"/>
  <c r="M42" i="12"/>
  <c r="H32" i="44"/>
  <c r="M37" i="12"/>
  <c r="H62" i="44"/>
  <c r="M72" i="12"/>
  <c r="H17" i="44"/>
  <c r="M17" i="12"/>
  <c r="N17" i="12" s="1"/>
  <c r="H33" i="44"/>
  <c r="M38" i="12"/>
  <c r="H53" i="44"/>
  <c r="M62" i="12"/>
  <c r="H56" i="44"/>
  <c r="M65" i="12"/>
  <c r="H27" i="44"/>
  <c r="M31" i="12"/>
  <c r="N33" i="12" s="1"/>
  <c r="H45" i="44"/>
  <c r="M52" i="12"/>
  <c r="H23" i="44"/>
  <c r="M25" i="12"/>
  <c r="H47" i="44"/>
  <c r="M55" i="12"/>
  <c r="H50" i="44"/>
  <c r="M58" i="12"/>
  <c r="H63" i="44"/>
  <c r="M73" i="12"/>
  <c r="H35" i="44"/>
  <c r="M41" i="12"/>
  <c r="H38" i="44"/>
  <c r="M44" i="12"/>
  <c r="M19" i="12"/>
  <c r="H57" i="44"/>
  <c r="M66" i="12"/>
  <c r="H44" i="44"/>
  <c r="M51" i="12"/>
  <c r="H18" i="44"/>
  <c r="M18" i="12"/>
  <c r="N18" i="12" s="1"/>
  <c r="H16" i="44"/>
  <c r="M16" i="12"/>
  <c r="N16" i="12" s="1"/>
  <c r="H13" i="44"/>
  <c r="M13" i="12"/>
  <c r="N13" i="12" s="1"/>
  <c r="H65" i="44"/>
  <c r="M76" i="12"/>
  <c r="N76" i="12" s="1"/>
  <c r="H22" i="44"/>
  <c r="M29" i="12"/>
  <c r="H30" i="44"/>
  <c r="M35" i="12"/>
  <c r="H55" i="44"/>
  <c r="M64" i="12"/>
  <c r="H58" i="44"/>
  <c r="M67" i="12"/>
  <c r="H28" i="44"/>
  <c r="M32" i="12"/>
  <c r="H42" i="44"/>
  <c r="M49" i="12"/>
  <c r="H24" i="44"/>
  <c r="M26" i="12"/>
  <c r="H49" i="44"/>
  <c r="M57" i="12"/>
  <c r="H60" i="44"/>
  <c r="M70" i="12"/>
  <c r="H37" i="44"/>
  <c r="M43" i="12"/>
  <c r="H40" i="44"/>
  <c r="M46" i="12"/>
  <c r="J22" i="12"/>
  <c r="K24" i="12" s="1"/>
  <c r="L24" i="12" s="1"/>
  <c r="J13" i="12"/>
  <c r="K13" i="12" s="1"/>
  <c r="L13" i="12" s="1"/>
  <c r="J15" i="12"/>
  <c r="K15" i="12" s="1"/>
  <c r="L15" i="12" s="1"/>
  <c r="U39" i="3"/>
  <c r="P39" i="11" s="1"/>
  <c r="S45" i="12" s="1"/>
  <c r="U43" i="3"/>
  <c r="P43" i="11" s="1"/>
  <c r="U30" i="3"/>
  <c r="P30" i="11" s="1"/>
  <c r="S35" i="12" s="1"/>
  <c r="U53" i="3"/>
  <c r="P53" i="11" s="1"/>
  <c r="S62" i="12" s="1"/>
  <c r="U36" i="3"/>
  <c r="P36" i="11" s="1"/>
  <c r="S42" i="12" s="1"/>
  <c r="U29" i="3"/>
  <c r="P29" i="11" s="1"/>
  <c r="S34" i="12" s="1"/>
  <c r="U25" i="3"/>
  <c r="P25" i="11" s="1"/>
  <c r="S28" i="12" s="1"/>
  <c r="U51" i="3"/>
  <c r="P51" i="11" s="1"/>
  <c r="U21" i="3"/>
  <c r="P21" i="11" s="1"/>
  <c r="U35" i="3"/>
  <c r="P35" i="11" s="1"/>
  <c r="S41" i="12" s="1"/>
  <c r="U38" i="3"/>
  <c r="P38" i="11" s="1"/>
  <c r="S44" i="12" s="1"/>
  <c r="U24" i="3"/>
  <c r="P24" i="11" s="1"/>
  <c r="S26" i="12" s="1"/>
  <c r="U42" i="3"/>
  <c r="P42" i="11" s="1"/>
  <c r="S49" i="12" s="1"/>
  <c r="U31" i="3"/>
  <c r="P31" i="11" s="1"/>
  <c r="S36" i="12" s="1"/>
  <c r="U34" i="3"/>
  <c r="P34" i="11" s="1"/>
  <c r="U19" i="3"/>
  <c r="P19" i="11" s="1"/>
  <c r="S19" i="12" s="1"/>
  <c r="U18" i="3"/>
  <c r="P18" i="11" s="1"/>
  <c r="S18" i="12" s="1"/>
  <c r="U46" i="3"/>
  <c r="P46" i="11" s="1"/>
  <c r="U28" i="3"/>
  <c r="P28" i="11" s="1"/>
  <c r="S32" i="12" s="1"/>
  <c r="U45" i="3"/>
  <c r="P45" i="11" s="1"/>
  <c r="U32" i="3"/>
  <c r="P32" i="11" s="1"/>
  <c r="S37" i="12" s="1"/>
  <c r="U17" i="3"/>
  <c r="P17" i="11" s="1"/>
  <c r="U37" i="3"/>
  <c r="P37" i="11" s="1"/>
  <c r="S43" i="12" s="1"/>
  <c r="U40" i="3"/>
  <c r="P40" i="11" s="1"/>
  <c r="U23" i="3"/>
  <c r="P23" i="11" s="1"/>
  <c r="S25" i="12" s="1"/>
  <c r="U41" i="3"/>
  <c r="P41" i="11" s="1"/>
  <c r="S48" i="12" s="1"/>
  <c r="U44" i="3"/>
  <c r="P44" i="11" s="1"/>
  <c r="S51" i="12" s="1"/>
  <c r="U33" i="3"/>
  <c r="P33" i="11" s="1"/>
  <c r="S38" i="12" s="1"/>
  <c r="U27" i="3"/>
  <c r="P27" i="11" s="1"/>
  <c r="U20" i="3"/>
  <c r="P20" i="11" s="1"/>
  <c r="S20" i="12" s="1"/>
  <c r="U14" i="3"/>
  <c r="P14" i="11" s="1"/>
  <c r="S14" i="12" s="1"/>
  <c r="AH58" i="7"/>
  <c r="AO26" i="7"/>
  <c r="J26" i="44"/>
  <c r="AO44" i="7"/>
  <c r="J44" i="44"/>
  <c r="AO60" i="7"/>
  <c r="J60" i="44"/>
  <c r="AO56" i="7"/>
  <c r="J56" i="44"/>
  <c r="AO38" i="7"/>
  <c r="J38" i="44"/>
  <c r="AO31" i="7"/>
  <c r="J31" i="44"/>
  <c r="AO47" i="7"/>
  <c r="J47" i="44"/>
  <c r="AO42" i="7"/>
  <c r="J42" i="44"/>
  <c r="AO27" i="7"/>
  <c r="J27" i="44"/>
  <c r="AO63" i="7"/>
  <c r="J63" i="44"/>
  <c r="AO53" i="7"/>
  <c r="J53" i="44"/>
  <c r="AO21" i="7"/>
  <c r="J21" i="44"/>
  <c r="AO50" i="7"/>
  <c r="J50" i="44"/>
  <c r="AO24" i="7"/>
  <c r="J24" i="44"/>
  <c r="AO25" i="7"/>
  <c r="J25" i="44"/>
  <c r="AO43" i="7"/>
  <c r="J43" i="44"/>
  <c r="AO45" i="7"/>
  <c r="J45" i="44"/>
  <c r="AO19" i="7"/>
  <c r="J19" i="44"/>
  <c r="AO59" i="7"/>
  <c r="J59" i="44"/>
  <c r="AO61" i="7"/>
  <c r="J61" i="44"/>
  <c r="AO57" i="7"/>
  <c r="J57" i="44"/>
  <c r="AO37" i="7"/>
  <c r="J37" i="44"/>
  <c r="AO36" i="7"/>
  <c r="J36" i="44"/>
  <c r="AO33" i="7"/>
  <c r="J33" i="44"/>
  <c r="AO32" i="7"/>
  <c r="J32" i="44"/>
  <c r="AO49" i="7"/>
  <c r="J49" i="44"/>
  <c r="AO23" i="7"/>
  <c r="J23" i="44"/>
  <c r="AO46" i="7"/>
  <c r="J46" i="44"/>
  <c r="AO20" i="7"/>
  <c r="J20" i="44"/>
  <c r="AO62" i="7"/>
  <c r="J62" i="44"/>
  <c r="AO39" i="7"/>
  <c r="J39" i="44"/>
  <c r="AO34" i="7"/>
  <c r="J34" i="44"/>
  <c r="AO58" i="7"/>
  <c r="J58" i="44"/>
  <c r="AO40" i="7"/>
  <c r="J40" i="44"/>
  <c r="AO29" i="7"/>
  <c r="J29" i="44"/>
  <c r="AO48" i="7"/>
  <c r="J48" i="44"/>
  <c r="AO13" i="7"/>
  <c r="J13" i="44"/>
  <c r="AO41" i="7"/>
  <c r="J41" i="44"/>
  <c r="AO28" i="7"/>
  <c r="J28" i="44"/>
  <c r="AO64" i="7"/>
  <c r="J64" i="44"/>
  <c r="AO54" i="7"/>
  <c r="J54" i="44"/>
  <c r="AO55" i="7"/>
  <c r="J55" i="44"/>
  <c r="AO35" i="7"/>
  <c r="J35" i="44"/>
  <c r="AO30" i="7"/>
  <c r="J30" i="44"/>
  <c r="AO22" i="7"/>
  <c r="J22" i="44"/>
  <c r="AO51" i="7"/>
  <c r="J51" i="44"/>
  <c r="AO52" i="7"/>
  <c r="J52" i="44"/>
  <c r="H120" i="52"/>
  <c r="H94" i="52"/>
  <c r="G66" i="44"/>
  <c r="G65" i="44"/>
  <c r="G49" i="44"/>
  <c r="G21" i="44"/>
  <c r="G51" i="44"/>
  <c r="G22" i="44"/>
  <c r="G47" i="44"/>
  <c r="G26" i="44"/>
  <c r="G52" i="44"/>
  <c r="G13" i="44"/>
  <c r="G15" i="44"/>
  <c r="G48" i="44"/>
  <c r="G25" i="44"/>
  <c r="H95" i="52"/>
  <c r="H106" i="52"/>
  <c r="H114" i="52"/>
  <c r="H119" i="52"/>
  <c r="H132" i="52"/>
  <c r="H127" i="52"/>
  <c r="H133" i="52"/>
  <c r="H101" i="52"/>
  <c r="H100" i="52"/>
  <c r="H86" i="52"/>
  <c r="H103" i="52"/>
  <c r="H122" i="52"/>
  <c r="H102" i="52"/>
  <c r="H121" i="52"/>
  <c r="H134" i="52"/>
  <c r="H135" i="52"/>
  <c r="H99" i="52"/>
  <c r="H118" i="52"/>
  <c r="H98" i="52"/>
  <c r="H130" i="52"/>
  <c r="G16" i="44"/>
  <c r="AV22" i="7"/>
  <c r="H26" i="44"/>
  <c r="AS66" i="7"/>
  <c r="AS65" i="7"/>
  <c r="AS16" i="7"/>
  <c r="AS15" i="7"/>
  <c r="AA84" i="8"/>
  <c r="AA85" i="8" s="1"/>
  <c r="AS49" i="7"/>
  <c r="AS48" i="7"/>
  <c r="AS26" i="7"/>
  <c r="AS47" i="7"/>
  <c r="AS52" i="7"/>
  <c r="AS22" i="7"/>
  <c r="AS50" i="7"/>
  <c r="O84" i="8"/>
  <c r="O85" i="8" s="1"/>
  <c r="AV66" i="7"/>
  <c r="AV16" i="7"/>
  <c r="AV21" i="7"/>
  <c r="AV15" i="7"/>
  <c r="AV65" i="7"/>
  <c r="K35" i="7"/>
  <c r="AD35" i="7" s="1"/>
  <c r="AW13" i="7"/>
  <c r="K14" i="7"/>
  <c r="AD14" i="7" s="1"/>
  <c r="K27" i="7"/>
  <c r="K38" i="7"/>
  <c r="AD38" i="7" s="1"/>
  <c r="K37" i="7"/>
  <c r="AD37" i="7" s="1"/>
  <c r="K40" i="7"/>
  <c r="AD40" i="7" s="1"/>
  <c r="K17" i="7"/>
  <c r="AD17" i="7" s="1"/>
  <c r="K46" i="7"/>
  <c r="AD46" i="7" s="1"/>
  <c r="K45" i="7"/>
  <c r="AD45" i="7" s="1"/>
  <c r="K41" i="7"/>
  <c r="AD41" i="7" s="1"/>
  <c r="AQ13" i="7"/>
  <c r="K63" i="7"/>
  <c r="AD63" i="7" s="1"/>
  <c r="K62" i="7"/>
  <c r="AD62" i="7" s="1"/>
  <c r="K59" i="7"/>
  <c r="AD59" i="7" s="1"/>
  <c r="AV13" i="7"/>
  <c r="AV32" i="7"/>
  <c r="AV30" i="7"/>
  <c r="AV29" i="7"/>
  <c r="AV54" i="7"/>
  <c r="AV55" i="7"/>
  <c r="AV58" i="7"/>
  <c r="K19" i="7"/>
  <c r="AD19" i="7" s="1"/>
  <c r="K23" i="7"/>
  <c r="AD23" i="7" s="1"/>
  <c r="K32" i="7"/>
  <c r="AD32" i="7" s="1"/>
  <c r="K34" i="7"/>
  <c r="AD34" i="7" s="1"/>
  <c r="K29" i="7"/>
  <c r="AD29" i="7" s="1"/>
  <c r="K53" i="7"/>
  <c r="AD53" i="7" s="1"/>
  <c r="K58" i="7"/>
  <c r="AD58" i="7" s="1"/>
  <c r="K56" i="7"/>
  <c r="AD56" i="7" s="1"/>
  <c r="AV60" i="7"/>
  <c r="AV64" i="7"/>
  <c r="AV59" i="7"/>
  <c r="AV28" i="7"/>
  <c r="AV44" i="7"/>
  <c r="AV41" i="7"/>
  <c r="AV42" i="7"/>
  <c r="AV35" i="7"/>
  <c r="AV40" i="7"/>
  <c r="AV39" i="7"/>
  <c r="AV24" i="7"/>
  <c r="AV26" i="7"/>
  <c r="AV51" i="7"/>
  <c r="L52" i="7"/>
  <c r="AK52" i="7" s="1"/>
  <c r="AV49" i="7"/>
  <c r="AW25" i="7"/>
  <c r="AW26" i="7"/>
  <c r="AW66" i="7"/>
  <c r="AW51" i="7"/>
  <c r="AW47" i="7"/>
  <c r="AW22" i="7"/>
  <c r="AW52" i="7"/>
  <c r="AW48" i="7"/>
  <c r="AW15" i="7"/>
  <c r="AW65" i="7"/>
  <c r="AW16" i="7"/>
  <c r="AW49" i="7"/>
  <c r="AW21" i="7"/>
  <c r="R84" i="8"/>
  <c r="R85" i="8" s="1"/>
  <c r="K28" i="7"/>
  <c r="AD28" i="7" s="1"/>
  <c r="K36" i="7"/>
  <c r="AD36" i="7" s="1"/>
  <c r="K39" i="7"/>
  <c r="AD39" i="7" s="1"/>
  <c r="K42" i="7"/>
  <c r="AD42" i="7" s="1"/>
  <c r="K44" i="7"/>
  <c r="AD44" i="7" s="1"/>
  <c r="K43" i="7"/>
  <c r="AD43" i="7" s="1"/>
  <c r="K64" i="7"/>
  <c r="AD64" i="7" s="1"/>
  <c r="K61" i="7"/>
  <c r="AD61" i="7" s="1"/>
  <c r="K60" i="7"/>
  <c r="AD60" i="7" s="1"/>
  <c r="AV17" i="7"/>
  <c r="AV31" i="7"/>
  <c r="AV34" i="7"/>
  <c r="AV33" i="7"/>
  <c r="AV18" i="7"/>
  <c r="AV56" i="7"/>
  <c r="AV53" i="7"/>
  <c r="AV57" i="7"/>
  <c r="K20" i="7"/>
  <c r="AD20" i="7" s="1"/>
  <c r="K24" i="7"/>
  <c r="AD24" i="7" s="1"/>
  <c r="K30" i="7"/>
  <c r="AD30" i="7" s="1"/>
  <c r="K31" i="7"/>
  <c r="AD31" i="7" s="1"/>
  <c r="K33" i="7"/>
  <c r="AD33" i="7" s="1"/>
  <c r="K18" i="7"/>
  <c r="AD18" i="7" s="1"/>
  <c r="K57" i="7"/>
  <c r="AD57" i="7" s="1"/>
  <c r="K55" i="7"/>
  <c r="AD55" i="7" s="1"/>
  <c r="K54" i="7"/>
  <c r="AD54" i="7" s="1"/>
  <c r="AV14" i="7"/>
  <c r="AV63" i="7"/>
  <c r="AV62" i="7"/>
  <c r="AV61" i="7"/>
  <c r="AV27" i="7"/>
  <c r="AV46" i="7"/>
  <c r="AV43" i="7"/>
  <c r="AV45" i="7"/>
  <c r="AV38" i="7"/>
  <c r="AV37" i="7"/>
  <c r="AV36" i="7"/>
  <c r="AV23" i="7"/>
  <c r="L25" i="7"/>
  <c r="AK25" i="7" s="1"/>
  <c r="AV48" i="7"/>
  <c r="AV47" i="7"/>
  <c r="AV50" i="7"/>
  <c r="K50" i="7"/>
  <c r="AD50" i="7" s="1"/>
  <c r="AQ25" i="7"/>
  <c r="AQ26" i="7"/>
  <c r="AQ66" i="7"/>
  <c r="AQ51" i="7"/>
  <c r="AQ47" i="7"/>
  <c r="AQ22" i="7"/>
  <c r="AQ52" i="7"/>
  <c r="AQ48" i="7"/>
  <c r="AQ15" i="7"/>
  <c r="AQ65" i="7"/>
  <c r="AQ16" i="7"/>
  <c r="AQ49" i="7"/>
  <c r="AQ21" i="7"/>
  <c r="U84" i="8"/>
  <c r="U85" i="8" s="1"/>
  <c r="AS63" i="7"/>
  <c r="AS64" i="7"/>
  <c r="AS59" i="7"/>
  <c r="AS56" i="7"/>
  <c r="AS55" i="7"/>
  <c r="AS58" i="7"/>
  <c r="AS61" i="7"/>
  <c r="AS62" i="7"/>
  <c r="AS60" i="7"/>
  <c r="AS13" i="7"/>
  <c r="AS57" i="7"/>
  <c r="AS54" i="7"/>
  <c r="N68" i="12" l="1"/>
  <c r="N75" i="12"/>
  <c r="S29" i="12"/>
  <c r="S50" i="12"/>
  <c r="S39" i="12"/>
  <c r="S53" i="12"/>
  <c r="AK27" i="7"/>
  <c r="AD27" i="7"/>
  <c r="AG27" i="7" s="1"/>
  <c r="S72" i="12"/>
  <c r="S59" i="12"/>
  <c r="S70" i="12"/>
  <c r="S16" i="12"/>
  <c r="T16" i="12" s="1"/>
  <c r="U16" i="12" s="1"/>
  <c r="S76" i="12"/>
  <c r="T76" i="12" s="1"/>
  <c r="U76" i="12" s="1"/>
  <c r="S58" i="12"/>
  <c r="S17" i="12"/>
  <c r="T17" i="12" s="1"/>
  <c r="U17" i="12" s="1"/>
  <c r="AD25" i="7"/>
  <c r="AD52" i="7"/>
  <c r="N52" i="3" s="1"/>
  <c r="AH52" i="7"/>
  <c r="S22" i="12"/>
  <c r="T24" i="12" s="1"/>
  <c r="U24" i="12" s="1"/>
  <c r="S77" i="12"/>
  <c r="T77" i="12" s="1"/>
  <c r="U77" i="12" s="1"/>
  <c r="S31" i="12"/>
  <c r="T33" i="12" s="1"/>
  <c r="U33" i="12" s="1"/>
  <c r="S55" i="12"/>
  <c r="T61" i="12" s="1"/>
  <c r="U61" i="12" s="1"/>
  <c r="S52" i="12"/>
  <c r="S46" i="12"/>
  <c r="S15" i="12"/>
  <c r="T15" i="12" s="1"/>
  <c r="U15" i="12" s="1"/>
  <c r="S63" i="12"/>
  <c r="T68" i="12" s="1"/>
  <c r="U68" i="12" s="1"/>
  <c r="S69" i="12"/>
  <c r="AH25" i="7"/>
  <c r="AK18" i="7"/>
  <c r="N18" i="3"/>
  <c r="AK14" i="7"/>
  <c r="N14" i="3"/>
  <c r="AK53" i="7"/>
  <c r="AG53" i="7"/>
  <c r="N21" i="12"/>
  <c r="O21" i="12" s="1"/>
  <c r="N61" i="12"/>
  <c r="O61" i="12" s="1"/>
  <c r="N40" i="12"/>
  <c r="O40" i="12" s="1"/>
  <c r="J36" i="12"/>
  <c r="AK31" i="7"/>
  <c r="J70" i="12"/>
  <c r="AK60" i="7"/>
  <c r="J32" i="12"/>
  <c r="AK28" i="7"/>
  <c r="J25" i="12"/>
  <c r="AK23" i="7"/>
  <c r="J17" i="12"/>
  <c r="K17" i="12" s="1"/>
  <c r="L17" i="12" s="1"/>
  <c r="AK17" i="7"/>
  <c r="N66" i="3"/>
  <c r="V66" i="3" s="1"/>
  <c r="AG66" i="7"/>
  <c r="J66" i="12"/>
  <c r="AK57" i="7"/>
  <c r="J35" i="12"/>
  <c r="AK30" i="7"/>
  <c r="J71" i="12"/>
  <c r="AK61" i="7"/>
  <c r="J49" i="12"/>
  <c r="AK42" i="7"/>
  <c r="J34" i="12"/>
  <c r="AK29" i="7"/>
  <c r="J19" i="12"/>
  <c r="AK19" i="7"/>
  <c r="J69" i="12"/>
  <c r="AK59" i="7"/>
  <c r="J48" i="12"/>
  <c r="AK41" i="7"/>
  <c r="J46" i="12"/>
  <c r="AK40" i="7"/>
  <c r="J64" i="12"/>
  <c r="AK55" i="7"/>
  <c r="J51" i="12"/>
  <c r="AK44" i="7"/>
  <c r="J58" i="12"/>
  <c r="K61" i="12" s="1"/>
  <c r="L61" i="12" s="1"/>
  <c r="AK50" i="7"/>
  <c r="J26" i="12"/>
  <c r="AK24" i="7"/>
  <c r="J74" i="12"/>
  <c r="AK64" i="7"/>
  <c r="J45" i="12"/>
  <c r="AK39" i="7"/>
  <c r="J65" i="12"/>
  <c r="AK56" i="7"/>
  <c r="J39" i="12"/>
  <c r="AK34" i="7"/>
  <c r="J72" i="12"/>
  <c r="AK62" i="7"/>
  <c r="J52" i="12"/>
  <c r="AK45" i="7"/>
  <c r="J43" i="12"/>
  <c r="AK37" i="7"/>
  <c r="J63" i="12"/>
  <c r="AK54" i="7"/>
  <c r="J38" i="12"/>
  <c r="AK33" i="7"/>
  <c r="J20" i="12"/>
  <c r="AK20" i="7"/>
  <c r="J50" i="12"/>
  <c r="AK43" i="7"/>
  <c r="J42" i="12"/>
  <c r="AK36" i="7"/>
  <c r="J67" i="12"/>
  <c r="AK58" i="7"/>
  <c r="J37" i="12"/>
  <c r="AK32" i="7"/>
  <c r="J73" i="12"/>
  <c r="AK63" i="7"/>
  <c r="J53" i="12"/>
  <c r="AK46" i="7"/>
  <c r="J44" i="12"/>
  <c r="AK38" i="7"/>
  <c r="J41" i="12"/>
  <c r="K47" i="12" s="1"/>
  <c r="L47" i="12" s="1"/>
  <c r="AK35" i="7"/>
  <c r="N65" i="3"/>
  <c r="V65" i="3" s="1"/>
  <c r="AG65" i="7"/>
  <c r="O77" i="12"/>
  <c r="O13" i="12"/>
  <c r="O18" i="12"/>
  <c r="N27" i="12"/>
  <c r="O33" i="12"/>
  <c r="O68" i="12"/>
  <c r="O17" i="12"/>
  <c r="O15" i="12"/>
  <c r="O24" i="12"/>
  <c r="O14" i="12"/>
  <c r="O76" i="12"/>
  <c r="O16" i="12"/>
  <c r="M60" i="12"/>
  <c r="N47" i="12"/>
  <c r="N54" i="12"/>
  <c r="M28" i="12"/>
  <c r="N30" i="12" s="1"/>
  <c r="J31" i="12"/>
  <c r="K33" i="12" s="1"/>
  <c r="L33" i="12" s="1"/>
  <c r="J14" i="12"/>
  <c r="K14" i="12" s="1"/>
  <c r="L14" i="12" s="1"/>
  <c r="J62" i="12"/>
  <c r="K68" i="12" s="1"/>
  <c r="L68" i="12" s="1"/>
  <c r="J18" i="12"/>
  <c r="K18" i="12" s="1"/>
  <c r="L18" i="12" s="1"/>
  <c r="L16" i="12"/>
  <c r="AS53" i="7"/>
  <c r="K30" i="12"/>
  <c r="L30" i="12" s="1"/>
  <c r="AS44" i="7"/>
  <c r="AS28" i="7"/>
  <c r="AS34" i="7"/>
  <c r="AS25" i="7"/>
  <c r="T30" i="12"/>
  <c r="U30" i="12" s="1"/>
  <c r="AS20" i="7"/>
  <c r="AS17" i="7"/>
  <c r="AS46" i="7"/>
  <c r="AS35" i="7"/>
  <c r="AS30" i="7"/>
  <c r="AS27" i="7"/>
  <c r="AS23" i="7"/>
  <c r="AS32" i="7"/>
  <c r="AS18" i="7"/>
  <c r="T18" i="12"/>
  <c r="U18" i="12" s="1"/>
  <c r="AS42" i="7"/>
  <c r="AS21" i="7"/>
  <c r="AS36" i="7"/>
  <c r="AS43" i="7"/>
  <c r="AS14" i="7"/>
  <c r="AS37" i="7"/>
  <c r="AS38" i="7"/>
  <c r="AS41" i="7"/>
  <c r="AS31" i="7"/>
  <c r="AS29" i="7"/>
  <c r="AS33" i="7"/>
  <c r="AS40" i="7"/>
  <c r="AS45" i="7"/>
  <c r="AS19" i="7"/>
  <c r="AS24" i="7"/>
  <c r="AS51" i="7"/>
  <c r="AS39" i="7"/>
  <c r="V51" i="3"/>
  <c r="AF21" i="3"/>
  <c r="V21" i="3"/>
  <c r="V16" i="3"/>
  <c r="V15" i="3"/>
  <c r="V22" i="3"/>
  <c r="BE22" i="7"/>
  <c r="BE47" i="7"/>
  <c r="BE48" i="7"/>
  <c r="BE51" i="7"/>
  <c r="BE21" i="7"/>
  <c r="BE16" i="7"/>
  <c r="BE49" i="7"/>
  <c r="AG54" i="7"/>
  <c r="N20" i="3"/>
  <c r="AG36" i="7"/>
  <c r="AG58" i="7"/>
  <c r="AG63" i="7"/>
  <c r="AG35" i="7"/>
  <c r="AG55" i="7"/>
  <c r="AG28" i="7"/>
  <c r="AG57" i="7"/>
  <c r="N30" i="3"/>
  <c r="AG61" i="7"/>
  <c r="N29" i="3"/>
  <c r="N19" i="3"/>
  <c r="AG59" i="7"/>
  <c r="N33" i="3"/>
  <c r="AG43" i="7"/>
  <c r="N32" i="3"/>
  <c r="AG38" i="7"/>
  <c r="N31" i="3"/>
  <c r="AG44" i="7"/>
  <c r="AG23" i="7"/>
  <c r="N17" i="3"/>
  <c r="AG24" i="7"/>
  <c r="AG64" i="7"/>
  <c r="AG39" i="7"/>
  <c r="AG56" i="7"/>
  <c r="N34" i="3"/>
  <c r="AG62" i="7"/>
  <c r="AG45" i="7"/>
  <c r="AG37" i="7"/>
  <c r="AG13" i="7"/>
  <c r="N13" i="3"/>
  <c r="AE26" i="7"/>
  <c r="N26" i="3"/>
  <c r="AF47" i="3"/>
  <c r="AF51" i="3"/>
  <c r="AF48" i="3"/>
  <c r="AF16" i="3"/>
  <c r="AF49" i="3"/>
  <c r="AF15" i="3"/>
  <c r="AF22" i="3"/>
  <c r="I115" i="52"/>
  <c r="BE26" i="7"/>
  <c r="AL66" i="7"/>
  <c r="BF66" i="7" s="1"/>
  <c r="BE66" i="7"/>
  <c r="AL13" i="7"/>
  <c r="BF13" i="7" s="1"/>
  <c r="BE13" i="7"/>
  <c r="I85" i="52"/>
  <c r="BE15" i="7"/>
  <c r="AL65" i="7"/>
  <c r="BF65" i="7" s="1"/>
  <c r="BE65" i="7"/>
  <c r="AX22" i="7"/>
  <c r="AM22" i="7" s="1"/>
  <c r="AE16" i="7"/>
  <c r="AG16" i="7"/>
  <c r="AG15" i="7"/>
  <c r="AG48" i="7"/>
  <c r="H49" i="11"/>
  <c r="Q49" i="11" s="1"/>
  <c r="AG49" i="7"/>
  <c r="AE51" i="7"/>
  <c r="AG51" i="7"/>
  <c r="AG21" i="7"/>
  <c r="AG22" i="7"/>
  <c r="AE47" i="7"/>
  <c r="AG47" i="7"/>
  <c r="G50" i="44"/>
  <c r="G43" i="44"/>
  <c r="O43" i="44" s="1"/>
  <c r="AX65" i="7"/>
  <c r="AM65" i="7" s="1"/>
  <c r="G23" i="44"/>
  <c r="AX13" i="7"/>
  <c r="AM13" i="7" s="1"/>
  <c r="AX21" i="7"/>
  <c r="AM21" i="7" s="1"/>
  <c r="AX15" i="7"/>
  <c r="AM15" i="7" s="1"/>
  <c r="AX66" i="7"/>
  <c r="AM66" i="7" s="1"/>
  <c r="AE21" i="7"/>
  <c r="G54" i="44"/>
  <c r="O54" i="44" s="1"/>
  <c r="G33" i="44"/>
  <c r="O33" i="44" s="1"/>
  <c r="G20" i="44"/>
  <c r="G36" i="44"/>
  <c r="O36" i="44" s="1"/>
  <c r="G56" i="44"/>
  <c r="G34" i="44"/>
  <c r="O34" i="44" s="1"/>
  <c r="G62" i="44"/>
  <c r="G45" i="44"/>
  <c r="G37" i="44"/>
  <c r="G55" i="44"/>
  <c r="G31" i="44"/>
  <c r="O31" i="44" s="1"/>
  <c r="G60" i="44"/>
  <c r="O60" i="44" s="1"/>
  <c r="G44" i="44"/>
  <c r="O44" i="44" s="1"/>
  <c r="G28" i="44"/>
  <c r="G58" i="44"/>
  <c r="G32" i="44"/>
  <c r="G63" i="44"/>
  <c r="G46" i="44"/>
  <c r="G38" i="44"/>
  <c r="G35" i="44"/>
  <c r="G57" i="44"/>
  <c r="O57" i="44" s="1"/>
  <c r="G30" i="44"/>
  <c r="O30" i="44" s="1"/>
  <c r="G61" i="44"/>
  <c r="O61" i="44" s="1"/>
  <c r="G42" i="44"/>
  <c r="O42" i="44" s="1"/>
  <c r="H52" i="44"/>
  <c r="O52" i="44" s="1"/>
  <c r="G53" i="44"/>
  <c r="G17" i="44"/>
  <c r="O17" i="44" s="1"/>
  <c r="G27" i="44"/>
  <c r="H21" i="44"/>
  <c r="O21" i="44" s="1"/>
  <c r="G18" i="44"/>
  <c r="O18" i="44" s="1"/>
  <c r="G24" i="44"/>
  <c r="G64" i="44"/>
  <c r="O64" i="44" s="1"/>
  <c r="G39" i="44"/>
  <c r="G29" i="44"/>
  <c r="G19" i="44"/>
  <c r="G59" i="44"/>
  <c r="G41" i="44"/>
  <c r="G40" i="44"/>
  <c r="O40" i="44" s="1"/>
  <c r="G14" i="44"/>
  <c r="AE22" i="7"/>
  <c r="O15" i="44"/>
  <c r="Q15" i="44" s="1"/>
  <c r="O22" i="44"/>
  <c r="Q22" i="44" s="1"/>
  <c r="AE48" i="7"/>
  <c r="N57" i="50"/>
  <c r="AX16" i="7"/>
  <c r="AM16" i="7" s="1"/>
  <c r="O13" i="44"/>
  <c r="Q13" i="44" s="1"/>
  <c r="H51" i="11"/>
  <c r="N58" i="50"/>
  <c r="AL16" i="7"/>
  <c r="BF16" i="7" s="1"/>
  <c r="I86" i="52"/>
  <c r="O16" i="44"/>
  <c r="Q16" i="44" s="1"/>
  <c r="O65" i="44"/>
  <c r="Q65" i="44" s="1"/>
  <c r="O66" i="44"/>
  <c r="Q66" i="44" s="1"/>
  <c r="AE15" i="7"/>
  <c r="O47" i="44"/>
  <c r="Q47" i="44" s="1"/>
  <c r="N5" i="50"/>
  <c r="N61" i="50"/>
  <c r="AE49" i="7"/>
  <c r="O49" i="44"/>
  <c r="Q49" i="44" s="1"/>
  <c r="O51" i="44"/>
  <c r="Q51" i="44" s="1"/>
  <c r="O26" i="44"/>
  <c r="Q26" i="44" s="1"/>
  <c r="AX47" i="7"/>
  <c r="AM47" i="7" s="1"/>
  <c r="AX48" i="7"/>
  <c r="AM48" i="7" s="1"/>
  <c r="N59" i="50"/>
  <c r="AE65" i="7"/>
  <c r="O48" i="44"/>
  <c r="Q48" i="44" s="1"/>
  <c r="AL21" i="7"/>
  <c r="BF21" i="7" s="1"/>
  <c r="AL15" i="7"/>
  <c r="BF15" i="7" s="1"/>
  <c r="AL48" i="7"/>
  <c r="BF48" i="7" s="1"/>
  <c r="AL22" i="7"/>
  <c r="BF22" i="7" s="1"/>
  <c r="AL47" i="7"/>
  <c r="BF47" i="7" s="1"/>
  <c r="AE66" i="7"/>
  <c r="AL26" i="7"/>
  <c r="BF26" i="7" s="1"/>
  <c r="AW50" i="7"/>
  <c r="AW54" i="7"/>
  <c r="AW55" i="7"/>
  <c r="AW57" i="7"/>
  <c r="AW18" i="7"/>
  <c r="AW33" i="7"/>
  <c r="AW31" i="7"/>
  <c r="AW30" i="7"/>
  <c r="AW24" i="7"/>
  <c r="AX24" i="7" s="1"/>
  <c r="AW20" i="7"/>
  <c r="AW60" i="7"/>
  <c r="AX60" i="7" s="1"/>
  <c r="AW61" i="7"/>
  <c r="AX61" i="7" s="1"/>
  <c r="AW64" i="7"/>
  <c r="AX64" i="7" s="1"/>
  <c r="AW43" i="7"/>
  <c r="AX43" i="7" s="1"/>
  <c r="AW44" i="7"/>
  <c r="AX44" i="7" s="1"/>
  <c r="AW42" i="7"/>
  <c r="AX42" i="7" s="1"/>
  <c r="AW39" i="7"/>
  <c r="AW36" i="7"/>
  <c r="AW28" i="7"/>
  <c r="AW56" i="7"/>
  <c r="AW58" i="7"/>
  <c r="AW53" i="7"/>
  <c r="AW29" i="7"/>
  <c r="AW34" i="7"/>
  <c r="AW32" i="7"/>
  <c r="AW23" i="7"/>
  <c r="AX23" i="7" s="1"/>
  <c r="AW19" i="7"/>
  <c r="AW59" i="7"/>
  <c r="AX59" i="7" s="1"/>
  <c r="AW62" i="7"/>
  <c r="AX62" i="7" s="1"/>
  <c r="AW63" i="7"/>
  <c r="AX63" i="7" s="1"/>
  <c r="AW41" i="7"/>
  <c r="AX41" i="7" s="1"/>
  <c r="AW45" i="7"/>
  <c r="AX45" i="7" s="1"/>
  <c r="AW46" i="7"/>
  <c r="AX46" i="7" s="1"/>
  <c r="AW17" i="7"/>
  <c r="AW40" i="7"/>
  <c r="AW37" i="7"/>
  <c r="AW38" i="7"/>
  <c r="AW27" i="7"/>
  <c r="AW14" i="7"/>
  <c r="AW35" i="7"/>
  <c r="AL49" i="7"/>
  <c r="BF49" i="7" s="1"/>
  <c r="AL51" i="7"/>
  <c r="BF51" i="7" s="1"/>
  <c r="AQ50" i="7"/>
  <c r="O25" i="44"/>
  <c r="Q25" i="44" s="1"/>
  <c r="AV25" i="7"/>
  <c r="AQ54" i="7"/>
  <c r="AQ55" i="7"/>
  <c r="AQ57" i="7"/>
  <c r="AQ18" i="7"/>
  <c r="AQ33" i="7"/>
  <c r="AQ31" i="7"/>
  <c r="AQ30" i="7"/>
  <c r="AQ24" i="7"/>
  <c r="AQ20" i="7"/>
  <c r="AQ60" i="7"/>
  <c r="AQ61" i="7"/>
  <c r="AQ64" i="7"/>
  <c r="AQ43" i="7"/>
  <c r="AQ44" i="7"/>
  <c r="AQ42" i="7"/>
  <c r="AQ39" i="7"/>
  <c r="AQ36" i="7"/>
  <c r="AQ28" i="7"/>
  <c r="AV52" i="7"/>
  <c r="AQ56" i="7"/>
  <c r="AQ58" i="7"/>
  <c r="AQ53" i="7"/>
  <c r="AQ29" i="7"/>
  <c r="AQ34" i="7"/>
  <c r="AQ32" i="7"/>
  <c r="AQ23" i="7"/>
  <c r="AQ19" i="7"/>
  <c r="AQ59" i="7"/>
  <c r="AQ62" i="7"/>
  <c r="AQ63" i="7"/>
  <c r="AQ41" i="7"/>
  <c r="AQ45" i="7"/>
  <c r="AQ46" i="7"/>
  <c r="AQ17" i="7"/>
  <c r="AQ40" i="7"/>
  <c r="AQ37" i="7"/>
  <c r="AQ38" i="7"/>
  <c r="AQ27" i="7"/>
  <c r="AQ14" i="7"/>
  <c r="AQ35" i="7"/>
  <c r="AX49" i="7"/>
  <c r="AM49" i="7" s="1"/>
  <c r="AX51" i="7"/>
  <c r="AM51" i="7" s="1"/>
  <c r="AX26" i="7"/>
  <c r="AM26" i="7" s="1"/>
  <c r="AE13" i="7"/>
  <c r="T75" i="12" l="1"/>
  <c r="U75" i="12" s="1"/>
  <c r="K54" i="12"/>
  <c r="L54" i="12" s="1"/>
  <c r="K75" i="12"/>
  <c r="L75" i="12" s="1"/>
  <c r="AF66" i="3"/>
  <c r="K21" i="12"/>
  <c r="L21" i="12" s="1"/>
  <c r="K27" i="12"/>
  <c r="L27" i="12" s="1"/>
  <c r="K40" i="12"/>
  <c r="L40" i="12" s="1"/>
  <c r="H65" i="11"/>
  <c r="Q65" i="11" s="1"/>
  <c r="V76" i="12" s="1"/>
  <c r="W76" i="12" s="1"/>
  <c r="AF65" i="3"/>
  <c r="N41" i="3"/>
  <c r="V41" i="3" s="1"/>
  <c r="AG41" i="7"/>
  <c r="N42" i="3"/>
  <c r="H42" i="11" s="1"/>
  <c r="Q42" i="11" s="1"/>
  <c r="AG42" i="7"/>
  <c r="N25" i="3"/>
  <c r="AF25" i="3" s="1"/>
  <c r="AG25" i="7"/>
  <c r="N46" i="3"/>
  <c r="AF46" i="3" s="1"/>
  <c r="AG46" i="7"/>
  <c r="N60" i="3"/>
  <c r="AF60" i="3" s="1"/>
  <c r="AG60" i="7"/>
  <c r="N40" i="3"/>
  <c r="AF40" i="3" s="1"/>
  <c r="AG40" i="7"/>
  <c r="T14" i="12"/>
  <c r="U14" i="12" s="1"/>
  <c r="T47" i="12"/>
  <c r="U47" i="12" s="1"/>
  <c r="T21" i="12"/>
  <c r="U21" i="12" s="1"/>
  <c r="T40" i="12"/>
  <c r="U40" i="12" s="1"/>
  <c r="T54" i="12"/>
  <c r="U54" i="12" s="1"/>
  <c r="T27" i="12"/>
  <c r="U27" i="12" s="1"/>
  <c r="O30" i="12"/>
  <c r="O47" i="12"/>
  <c r="O27" i="12"/>
  <c r="O54" i="12"/>
  <c r="O75" i="12"/>
  <c r="Q51" i="11"/>
  <c r="V59" i="12" s="1"/>
  <c r="AF34" i="3"/>
  <c r="V34" i="3"/>
  <c r="AF14" i="3"/>
  <c r="V14" i="3"/>
  <c r="AF19" i="3"/>
  <c r="V19" i="3"/>
  <c r="AF17" i="3"/>
  <c r="V17" i="3"/>
  <c r="AF33" i="3"/>
  <c r="V33" i="3"/>
  <c r="AF52" i="3"/>
  <c r="V52" i="3"/>
  <c r="AF29" i="3"/>
  <c r="V29" i="3"/>
  <c r="AF20" i="3"/>
  <c r="V20" i="3"/>
  <c r="AF30" i="3"/>
  <c r="V30" i="3"/>
  <c r="AF32" i="3"/>
  <c r="V32" i="3"/>
  <c r="AF13" i="3"/>
  <c r="V13" i="3"/>
  <c r="AF31" i="3"/>
  <c r="V31" i="3"/>
  <c r="V26" i="3"/>
  <c r="AF18" i="3"/>
  <c r="V18" i="3"/>
  <c r="AX14" i="7"/>
  <c r="AM14" i="7" s="1"/>
  <c r="AX40" i="7"/>
  <c r="AM40" i="7" s="1"/>
  <c r="AX19" i="7"/>
  <c r="AM19" i="7" s="1"/>
  <c r="AX28" i="7"/>
  <c r="AM28" i="7" s="1"/>
  <c r="AX31" i="7"/>
  <c r="AM31" i="7" s="1"/>
  <c r="AX55" i="7"/>
  <c r="AM55" i="7" s="1"/>
  <c r="AX27" i="7"/>
  <c r="AM27" i="7" s="1"/>
  <c r="AX17" i="7"/>
  <c r="AM17" i="7" s="1"/>
  <c r="AX53" i="7"/>
  <c r="AM53" i="7" s="1"/>
  <c r="AX36" i="7"/>
  <c r="AM36" i="7" s="1"/>
  <c r="AX20" i="7"/>
  <c r="AM20" i="7" s="1"/>
  <c r="AX33" i="7"/>
  <c r="AM33" i="7" s="1"/>
  <c r="AX54" i="7"/>
  <c r="AM54" i="7" s="1"/>
  <c r="AX25" i="7"/>
  <c r="AM25" i="7" s="1"/>
  <c r="AX38" i="7"/>
  <c r="AM38" i="7" s="1"/>
  <c r="AX32" i="7"/>
  <c r="AM32" i="7" s="1"/>
  <c r="AX58" i="7"/>
  <c r="AM58" i="7" s="1"/>
  <c r="AX39" i="7"/>
  <c r="AM39" i="7" s="1"/>
  <c r="AX18" i="7"/>
  <c r="AM18" i="7" s="1"/>
  <c r="AX52" i="7"/>
  <c r="AM52" i="7" s="1"/>
  <c r="AX35" i="7"/>
  <c r="AM35" i="7" s="1"/>
  <c r="AX37" i="7"/>
  <c r="AM37" i="7" s="1"/>
  <c r="AX34" i="7"/>
  <c r="AM34" i="7" s="1"/>
  <c r="AX56" i="7"/>
  <c r="AM56" i="7" s="1"/>
  <c r="AX30" i="7"/>
  <c r="AM30" i="7" s="1"/>
  <c r="AX57" i="7"/>
  <c r="AM57" i="7" s="1"/>
  <c r="BE58" i="7"/>
  <c r="AX29" i="7"/>
  <c r="AM29" i="7" s="1"/>
  <c r="AX50" i="7"/>
  <c r="AM50" i="7" s="1"/>
  <c r="BE19" i="7"/>
  <c r="BE50" i="7"/>
  <c r="I135" i="52"/>
  <c r="AL58" i="7"/>
  <c r="BF58" i="7" s="1"/>
  <c r="H26" i="11"/>
  <c r="AF26" i="3"/>
  <c r="N70" i="50"/>
  <c r="N57" i="3"/>
  <c r="V57" i="3" s="1"/>
  <c r="AE59" i="7"/>
  <c r="N59" i="3"/>
  <c r="N89" i="50"/>
  <c r="N63" i="3"/>
  <c r="N64" i="3"/>
  <c r="N29" i="50"/>
  <c r="N27" i="3"/>
  <c r="AE35" i="7"/>
  <c r="N35" i="3"/>
  <c r="AE28" i="7"/>
  <c r="N28" i="3"/>
  <c r="N68" i="50"/>
  <c r="N55" i="3"/>
  <c r="V55" i="3" s="1"/>
  <c r="N80" i="50"/>
  <c r="N45" i="3"/>
  <c r="V45" i="3" s="1"/>
  <c r="N47" i="50"/>
  <c r="N36" i="3"/>
  <c r="N34" i="50"/>
  <c r="N23" i="3"/>
  <c r="AE61" i="7"/>
  <c r="N61" i="3"/>
  <c r="AG50" i="7"/>
  <c r="N50" i="3"/>
  <c r="V50" i="3" s="1"/>
  <c r="N88" i="50"/>
  <c r="N62" i="3"/>
  <c r="N66" i="50"/>
  <c r="N53" i="3"/>
  <c r="V53" i="3" s="1"/>
  <c r="AE39" i="7"/>
  <c r="N39" i="3"/>
  <c r="N22" i="50"/>
  <c r="N24" i="3"/>
  <c r="N49" i="50"/>
  <c r="N38" i="3"/>
  <c r="N71" i="50"/>
  <c r="N58" i="3"/>
  <c r="V58" i="3" s="1"/>
  <c r="AE44" i="7"/>
  <c r="N44" i="3"/>
  <c r="V44" i="3" s="1"/>
  <c r="N48" i="50"/>
  <c r="N37" i="3"/>
  <c r="N69" i="50"/>
  <c r="N56" i="3"/>
  <c r="V56" i="3" s="1"/>
  <c r="N67" i="50"/>
  <c r="N54" i="3"/>
  <c r="V54" i="3" s="1"/>
  <c r="AE43" i="7"/>
  <c r="N43" i="3"/>
  <c r="V43" i="3" s="1"/>
  <c r="AI21" i="3"/>
  <c r="AK21" i="3" s="1"/>
  <c r="AC21" i="3"/>
  <c r="AG21" i="3" s="1"/>
  <c r="AH21" i="3" s="1"/>
  <c r="AI65" i="3"/>
  <c r="AK65" i="3" s="1"/>
  <c r="AC65" i="3"/>
  <c r="AI15" i="3"/>
  <c r="AC15" i="3"/>
  <c r="AG15" i="3" s="1"/>
  <c r="AH15" i="3" s="1"/>
  <c r="AI16" i="3"/>
  <c r="AC16" i="3"/>
  <c r="AG16" i="3" s="1"/>
  <c r="AH16" i="3" s="1"/>
  <c r="AI51" i="3"/>
  <c r="AC51" i="3"/>
  <c r="AG51" i="3" s="1"/>
  <c r="AH51" i="3" s="1"/>
  <c r="AI22" i="3"/>
  <c r="AC22" i="3"/>
  <c r="AG22" i="3" s="1"/>
  <c r="AH22" i="3" s="1"/>
  <c r="AI49" i="3"/>
  <c r="AC49" i="3"/>
  <c r="AG49" i="3" s="1"/>
  <c r="AH49" i="3" s="1"/>
  <c r="AI66" i="3"/>
  <c r="AK66" i="3" s="1"/>
  <c r="AC66" i="3"/>
  <c r="AI48" i="3"/>
  <c r="AC48" i="3"/>
  <c r="AG48" i="3" s="1"/>
  <c r="AH48" i="3" s="1"/>
  <c r="AI47" i="3"/>
  <c r="AC47" i="3"/>
  <c r="AG47" i="3" s="1"/>
  <c r="AH47" i="3" s="1"/>
  <c r="V57" i="12"/>
  <c r="K16" i="50"/>
  <c r="I147" i="52"/>
  <c r="BE45" i="7"/>
  <c r="I139" i="52"/>
  <c r="BE23" i="7"/>
  <c r="I130" i="52"/>
  <c r="BE53" i="7"/>
  <c r="I144" i="52"/>
  <c r="BE42" i="7"/>
  <c r="I126" i="52"/>
  <c r="BE27" i="7"/>
  <c r="I120" i="52"/>
  <c r="BE37" i="7"/>
  <c r="I103" i="52"/>
  <c r="BE34" i="7"/>
  <c r="I122" i="52"/>
  <c r="BE39" i="7"/>
  <c r="I100" i="52"/>
  <c r="BE31" i="7"/>
  <c r="I133" i="52"/>
  <c r="BE56" i="7"/>
  <c r="AL14" i="7"/>
  <c r="BF14" i="7" s="1"/>
  <c r="BE14" i="7"/>
  <c r="I153" i="52"/>
  <c r="BE61" i="7"/>
  <c r="I134" i="52"/>
  <c r="BE57" i="7"/>
  <c r="AL63" i="7"/>
  <c r="BF63" i="7" s="1"/>
  <c r="BE63" i="7"/>
  <c r="I154" i="52"/>
  <c r="BE62" i="7"/>
  <c r="AL20" i="7"/>
  <c r="BF20" i="7" s="1"/>
  <c r="BE20" i="7"/>
  <c r="I121" i="52"/>
  <c r="BE38" i="7"/>
  <c r="I123" i="52"/>
  <c r="BE40" i="7"/>
  <c r="I119" i="52"/>
  <c r="BE36" i="7"/>
  <c r="I99" i="52"/>
  <c r="BE30" i="7"/>
  <c r="I118" i="52"/>
  <c r="BE35" i="7"/>
  <c r="I143" i="52"/>
  <c r="BE41" i="7"/>
  <c r="I98" i="52"/>
  <c r="BE29" i="7"/>
  <c r="I127" i="52"/>
  <c r="BE28" i="7"/>
  <c r="I146" i="52"/>
  <c r="BE44" i="7"/>
  <c r="I140" i="52"/>
  <c r="BE24" i="7"/>
  <c r="AL52" i="7"/>
  <c r="BF52" i="7" s="1"/>
  <c r="BE52" i="7"/>
  <c r="AL18" i="7"/>
  <c r="BF18" i="7" s="1"/>
  <c r="BE18" i="7"/>
  <c r="I131" i="52"/>
  <c r="BE54" i="7"/>
  <c r="AL64" i="7"/>
  <c r="BF64" i="7" s="1"/>
  <c r="BE64" i="7"/>
  <c r="AL17" i="7"/>
  <c r="BF17" i="7" s="1"/>
  <c r="BE17" i="7"/>
  <c r="I148" i="52"/>
  <c r="BE46" i="7"/>
  <c r="I101" i="52"/>
  <c r="BE32" i="7"/>
  <c r="I145" i="52"/>
  <c r="BE43" i="7"/>
  <c r="I102" i="52"/>
  <c r="BE33" i="7"/>
  <c r="I114" i="52"/>
  <c r="BE25" i="7"/>
  <c r="I152" i="52"/>
  <c r="BE60" i="7"/>
  <c r="AL59" i="7"/>
  <c r="BF59" i="7" s="1"/>
  <c r="BE59" i="7"/>
  <c r="I132" i="52"/>
  <c r="BE55" i="7"/>
  <c r="Q61" i="44"/>
  <c r="F85" i="52"/>
  <c r="G85" i="52" s="1"/>
  <c r="AL56" i="7"/>
  <c r="BF56" i="7" s="1"/>
  <c r="AL54" i="7"/>
  <c r="BF54" i="7" s="1"/>
  <c r="H15" i="11"/>
  <c r="H21" i="11"/>
  <c r="Q21" i="11" s="1"/>
  <c r="AG19" i="7"/>
  <c r="N6" i="50"/>
  <c r="AG17" i="7"/>
  <c r="AE52" i="7"/>
  <c r="AG52" i="7"/>
  <c r="N42" i="50"/>
  <c r="AG31" i="7"/>
  <c r="AE14" i="7"/>
  <c r="AG14" i="7"/>
  <c r="K17" i="50"/>
  <c r="H22" i="11"/>
  <c r="Q22" i="11" s="1"/>
  <c r="N17" i="50"/>
  <c r="AL57" i="7"/>
  <c r="BF57" i="7" s="1"/>
  <c r="H48" i="11"/>
  <c r="Q48" i="11" s="1"/>
  <c r="AE20" i="7"/>
  <c r="AG20" i="7"/>
  <c r="AE18" i="7"/>
  <c r="AG18" i="7"/>
  <c r="N41" i="50"/>
  <c r="AG30" i="7"/>
  <c r="N43" i="50"/>
  <c r="AG32" i="7"/>
  <c r="AE34" i="7"/>
  <c r="AG34" i="7"/>
  <c r="N44" i="50"/>
  <c r="AG33" i="7"/>
  <c r="N16" i="50"/>
  <c r="AE29" i="7"/>
  <c r="AG29" i="7"/>
  <c r="AL55" i="7"/>
  <c r="BF55" i="7" s="1"/>
  <c r="I106" i="52"/>
  <c r="N87" i="50"/>
  <c r="I155" i="52"/>
  <c r="Q17" i="44"/>
  <c r="Q52" i="44"/>
  <c r="N11" i="50"/>
  <c r="AE41" i="7"/>
  <c r="H52" i="11"/>
  <c r="Q52" i="11" s="1"/>
  <c r="AE19" i="7"/>
  <c r="AE38" i="7"/>
  <c r="N76" i="50"/>
  <c r="I95" i="52"/>
  <c r="N50" i="50"/>
  <c r="AE56" i="7"/>
  <c r="AE24" i="7"/>
  <c r="N78" i="50"/>
  <c r="H16" i="11"/>
  <c r="I156" i="52"/>
  <c r="AE17" i="7"/>
  <c r="AE31" i="7"/>
  <c r="AE54" i="7"/>
  <c r="N79" i="50"/>
  <c r="N35" i="50"/>
  <c r="AE58" i="7"/>
  <c r="Q43" i="44"/>
  <c r="AL62" i="7"/>
  <c r="BF62" i="7" s="1"/>
  <c r="AL61" i="7"/>
  <c r="BF61" i="7" s="1"/>
  <c r="AE37" i="7"/>
  <c r="N62" i="50"/>
  <c r="Q21" i="44"/>
  <c r="Q44" i="44"/>
  <c r="Q31" i="44"/>
  <c r="Q54" i="44"/>
  <c r="AE25" i="7"/>
  <c r="F86" i="52"/>
  <c r="N77" i="50"/>
  <c r="AE36" i="7"/>
  <c r="N85" i="50"/>
  <c r="AE57" i="7"/>
  <c r="AE32" i="7"/>
  <c r="AE45" i="7"/>
  <c r="Q57" i="44"/>
  <c r="AE33" i="7"/>
  <c r="AE23" i="7"/>
  <c r="AE46" i="7"/>
  <c r="N30" i="50"/>
  <c r="AE30" i="7"/>
  <c r="Q42" i="44"/>
  <c r="AE40" i="7"/>
  <c r="N81" i="50"/>
  <c r="N46" i="50"/>
  <c r="AE42" i="7"/>
  <c r="AE60" i="7"/>
  <c r="N21" i="50"/>
  <c r="N45" i="50"/>
  <c r="AE55" i="7"/>
  <c r="N90" i="50"/>
  <c r="I151" i="52"/>
  <c r="N51" i="50"/>
  <c r="N86" i="50"/>
  <c r="Q18" i="44"/>
  <c r="AE27" i="7"/>
  <c r="AE64" i="7"/>
  <c r="Q40" i="44"/>
  <c r="Q64" i="44"/>
  <c r="Q30" i="44"/>
  <c r="Q60" i="44"/>
  <c r="Q34" i="44"/>
  <c r="Q36" i="44"/>
  <c r="Q33" i="44"/>
  <c r="AL60" i="7"/>
  <c r="BF60" i="7" s="1"/>
  <c r="AE63" i="7"/>
  <c r="AE53" i="7"/>
  <c r="AE62" i="7"/>
  <c r="AL25" i="7"/>
  <c r="BF25" i="7" s="1"/>
  <c r="O59" i="44"/>
  <c r="Q59" i="44" s="1"/>
  <c r="O29" i="44"/>
  <c r="Q29" i="44" s="1"/>
  <c r="N12" i="50"/>
  <c r="N25" i="50"/>
  <c r="O35" i="44"/>
  <c r="Q35" i="44" s="1"/>
  <c r="O14" i="44"/>
  <c r="Q14" i="44" s="1"/>
  <c r="O45" i="44"/>
  <c r="Q45" i="44" s="1"/>
  <c r="AM64" i="7"/>
  <c r="AM60" i="7"/>
  <c r="AM59" i="7"/>
  <c r="AM61" i="7"/>
  <c r="N40" i="50"/>
  <c r="H47" i="11"/>
  <c r="Q47" i="11" s="1"/>
  <c r="AL19" i="7"/>
  <c r="BF19" i="7" s="1"/>
  <c r="I94" i="52"/>
  <c r="O58" i="44"/>
  <c r="Q58" i="44" s="1"/>
  <c r="K57" i="50"/>
  <c r="O46" i="44"/>
  <c r="Q46" i="44" s="1"/>
  <c r="O28" i="44"/>
  <c r="Q28" i="44" s="1"/>
  <c r="O39" i="44"/>
  <c r="Q39" i="44" s="1"/>
  <c r="O24" i="44"/>
  <c r="Q24" i="44" s="1"/>
  <c r="O27" i="44"/>
  <c r="Q27" i="44" s="1"/>
  <c r="O37" i="44"/>
  <c r="Q37" i="44" s="1"/>
  <c r="O41" i="44"/>
  <c r="Q41" i="44" s="1"/>
  <c r="O63" i="44"/>
  <c r="Q63" i="44" s="1"/>
  <c r="O62" i="44"/>
  <c r="Q62" i="44" s="1"/>
  <c r="O19" i="44"/>
  <c r="Q19" i="44" s="1"/>
  <c r="O32" i="44"/>
  <c r="Q32" i="44" s="1"/>
  <c r="O38" i="44"/>
  <c r="Q38" i="44" s="1"/>
  <c r="O23" i="44"/>
  <c r="Q23" i="44" s="1"/>
  <c r="O53" i="44"/>
  <c r="Q53" i="44" s="1"/>
  <c r="O56" i="44"/>
  <c r="Q56" i="44" s="1"/>
  <c r="O20" i="44"/>
  <c r="Q20" i="44" s="1"/>
  <c r="O55" i="44"/>
  <c r="Q55" i="44" s="1"/>
  <c r="O50" i="44"/>
  <c r="Q50" i="44" s="1"/>
  <c r="AL27" i="7"/>
  <c r="BF27" i="7" s="1"/>
  <c r="AL38" i="7"/>
  <c r="BF38" i="7" s="1"/>
  <c r="AL37" i="7"/>
  <c r="BF37" i="7" s="1"/>
  <c r="AL40" i="7"/>
  <c r="BF40" i="7" s="1"/>
  <c r="AL41" i="7"/>
  <c r="BF41" i="7" s="1"/>
  <c r="AM41" i="7"/>
  <c r="AL34" i="7"/>
  <c r="BF34" i="7" s="1"/>
  <c r="AL29" i="7"/>
  <c r="BF29" i="7" s="1"/>
  <c r="AL36" i="7"/>
  <c r="BF36" i="7" s="1"/>
  <c r="AL39" i="7"/>
  <c r="BF39" i="7" s="1"/>
  <c r="AL42" i="7"/>
  <c r="BF42" i="7" s="1"/>
  <c r="AM42" i="7"/>
  <c r="AL30" i="7"/>
  <c r="BF30" i="7" s="1"/>
  <c r="AL31" i="7"/>
  <c r="BF31" i="7" s="1"/>
  <c r="N60" i="50"/>
  <c r="AE50" i="7"/>
  <c r="AL50" i="7"/>
  <c r="BF50" i="7" s="1"/>
  <c r="H66" i="11"/>
  <c r="Q66" i="11" s="1"/>
  <c r="AL35" i="7"/>
  <c r="BF35" i="7" s="1"/>
  <c r="AL46" i="7"/>
  <c r="BF46" i="7" s="1"/>
  <c r="AM46" i="7"/>
  <c r="AL45" i="7"/>
  <c r="BF45" i="7" s="1"/>
  <c r="AM45" i="7"/>
  <c r="AL23" i="7"/>
  <c r="BF23" i="7" s="1"/>
  <c r="AM23" i="7"/>
  <c r="AL32" i="7"/>
  <c r="BF32" i="7" s="1"/>
  <c r="AL53" i="7"/>
  <c r="BF53" i="7" s="1"/>
  <c r="AL28" i="7"/>
  <c r="BF28" i="7" s="1"/>
  <c r="AL44" i="7"/>
  <c r="BF44" i="7" s="1"/>
  <c r="AM44" i="7"/>
  <c r="AL43" i="7"/>
  <c r="BF43" i="7" s="1"/>
  <c r="AM43" i="7"/>
  <c r="AL24" i="7"/>
  <c r="BF24" i="7" s="1"/>
  <c r="AM24" i="7"/>
  <c r="AL33" i="7"/>
  <c r="BF33" i="7" s="1"/>
  <c r="AM63" i="7"/>
  <c r="AM62" i="7"/>
  <c r="H14" i="11"/>
  <c r="Q14" i="11" s="1"/>
  <c r="H13" i="11"/>
  <c r="Q13" i="11" s="1"/>
  <c r="H25" i="11" l="1"/>
  <c r="Q25" i="11" s="1"/>
  <c r="V28" i="12" s="1"/>
  <c r="V25" i="3"/>
  <c r="H60" i="11"/>
  <c r="Q60" i="11" s="1"/>
  <c r="V70" i="12" s="1"/>
  <c r="H41" i="11"/>
  <c r="Q41" i="11" s="1"/>
  <c r="V48" i="12" s="1"/>
  <c r="N24" i="50"/>
  <c r="H40" i="11"/>
  <c r="Q40" i="11" s="1"/>
  <c r="V46" i="12" s="1"/>
  <c r="AG66" i="3"/>
  <c r="AH66" i="3" s="1"/>
  <c r="V60" i="3"/>
  <c r="F152" i="52" s="1"/>
  <c r="AF41" i="3"/>
  <c r="AG65" i="3"/>
  <c r="AH65" i="3" s="1"/>
  <c r="H46" i="11"/>
  <c r="Q46" i="11" s="1"/>
  <c r="V53" i="12" s="1"/>
  <c r="V42" i="3"/>
  <c r="AC42" i="3" s="1"/>
  <c r="AF42" i="3"/>
  <c r="Q16" i="11"/>
  <c r="Q15" i="11"/>
  <c r="V15" i="12" s="1"/>
  <c r="W15" i="12" s="1"/>
  <c r="V46" i="3"/>
  <c r="V40" i="3"/>
  <c r="K25" i="50"/>
  <c r="AI19" i="3"/>
  <c r="AC14" i="3"/>
  <c r="AG14" i="3" s="1"/>
  <c r="AH14" i="3" s="1"/>
  <c r="AC26" i="3"/>
  <c r="AG26" i="3" s="1"/>
  <c r="AH26" i="3" s="1"/>
  <c r="AI52" i="3"/>
  <c r="AI32" i="3"/>
  <c r="AI26" i="3"/>
  <c r="AK26" i="3" s="1"/>
  <c r="AC18" i="3"/>
  <c r="AG18" i="3" s="1"/>
  <c r="AH18" i="3" s="1"/>
  <c r="AI17" i="3"/>
  <c r="F143" i="52"/>
  <c r="R143" i="52" s="1"/>
  <c r="AC29" i="3"/>
  <c r="AG29" i="3" s="1"/>
  <c r="AH29" i="3" s="1"/>
  <c r="AC34" i="3"/>
  <c r="AG34" i="3" s="1"/>
  <c r="AH34" i="3" s="1"/>
  <c r="AC13" i="3"/>
  <c r="AG13" i="3" s="1"/>
  <c r="AH13" i="3" s="1"/>
  <c r="AC31" i="3"/>
  <c r="AG31" i="3" s="1"/>
  <c r="AH31" i="3" s="1"/>
  <c r="AC20" i="3"/>
  <c r="AG20" i="3" s="1"/>
  <c r="AH20" i="3" s="1"/>
  <c r="Q26" i="11"/>
  <c r="F115" i="52" s="1"/>
  <c r="G115" i="52" s="1"/>
  <c r="AC30" i="3"/>
  <c r="AG30" i="3" s="1"/>
  <c r="AH30" i="3" s="1"/>
  <c r="AC33" i="3"/>
  <c r="AG33" i="3" s="1"/>
  <c r="AH33" i="3" s="1"/>
  <c r="V28" i="3"/>
  <c r="V59" i="3"/>
  <c r="V63" i="3"/>
  <c r="V37" i="3"/>
  <c r="V24" i="3"/>
  <c r="V23" i="3"/>
  <c r="V27" i="3"/>
  <c r="V38" i="3"/>
  <c r="V39" i="3"/>
  <c r="V62" i="3"/>
  <c r="V61" i="3"/>
  <c r="V36" i="3"/>
  <c r="V35" i="3"/>
  <c r="V64" i="3"/>
  <c r="AI13" i="3"/>
  <c r="AI33" i="3"/>
  <c r="AC17" i="3"/>
  <c r="AG17" i="3" s="1"/>
  <c r="AH17" i="3" s="1"/>
  <c r="AI30" i="3"/>
  <c r="AI34" i="3"/>
  <c r="AC52" i="3"/>
  <c r="AG52" i="3" s="1"/>
  <c r="AH52" i="3" s="1"/>
  <c r="AC41" i="3"/>
  <c r="AI18" i="3"/>
  <c r="AI31" i="3"/>
  <c r="AC32" i="3"/>
  <c r="AG32" i="3" s="1"/>
  <c r="AH32" i="3" s="1"/>
  <c r="AI14" i="3"/>
  <c r="AK14" i="3" s="1"/>
  <c r="AI29" i="3"/>
  <c r="AC19" i="3"/>
  <c r="AG19" i="3" s="1"/>
  <c r="AH19" i="3" s="1"/>
  <c r="AI41" i="3"/>
  <c r="AK41" i="3" s="1"/>
  <c r="AI20" i="3"/>
  <c r="H64" i="11"/>
  <c r="Q64" i="11" s="1"/>
  <c r="V74" i="12" s="1"/>
  <c r="F145" i="52"/>
  <c r="AF43" i="3"/>
  <c r="AF56" i="3"/>
  <c r="F133" i="52"/>
  <c r="AF44" i="3"/>
  <c r="F146" i="52"/>
  <c r="AF38" i="3"/>
  <c r="AF39" i="3"/>
  <c r="AF62" i="3"/>
  <c r="AF61" i="3"/>
  <c r="AF36" i="3"/>
  <c r="AF55" i="3"/>
  <c r="F132" i="52"/>
  <c r="AF35" i="3"/>
  <c r="AF64" i="3"/>
  <c r="AF59" i="3"/>
  <c r="AF54" i="3"/>
  <c r="F131" i="52"/>
  <c r="AF37" i="3"/>
  <c r="AF58" i="3"/>
  <c r="F135" i="52"/>
  <c r="AF24" i="3"/>
  <c r="F130" i="52"/>
  <c r="AF53" i="3"/>
  <c r="AF50" i="3"/>
  <c r="AF23" i="3"/>
  <c r="F147" i="52"/>
  <c r="AF45" i="3"/>
  <c r="AF28" i="3"/>
  <c r="AF27" i="3"/>
  <c r="AF63" i="3"/>
  <c r="F134" i="52"/>
  <c r="AF57" i="3"/>
  <c r="S65" i="11"/>
  <c r="T65" i="11" s="1"/>
  <c r="V49" i="12"/>
  <c r="V60" i="12"/>
  <c r="V23" i="12"/>
  <c r="V14" i="12"/>
  <c r="W14" i="12" s="1"/>
  <c r="X14" i="12" s="1"/>
  <c r="V22" i="12"/>
  <c r="W24" i="12" s="1"/>
  <c r="X24" i="12" s="1"/>
  <c r="AK15" i="3"/>
  <c r="AK49" i="3"/>
  <c r="R85" i="52"/>
  <c r="S85" i="52" s="1"/>
  <c r="K59" i="50"/>
  <c r="O59" i="50" s="1"/>
  <c r="P59" i="50" s="1"/>
  <c r="K58" i="50"/>
  <c r="O58" i="50" s="1"/>
  <c r="P58" i="50" s="1"/>
  <c r="K11" i="50"/>
  <c r="S49" i="11"/>
  <c r="T49" i="11" s="1"/>
  <c r="H61" i="11"/>
  <c r="Q61" i="11" s="1"/>
  <c r="H19" i="11"/>
  <c r="G86" i="52"/>
  <c r="R86" i="52"/>
  <c r="S86" i="52" s="1"/>
  <c r="H54" i="11"/>
  <c r="Q54" i="11" s="1"/>
  <c r="H35" i="11"/>
  <c r="H44" i="11"/>
  <c r="Q44" i="11" s="1"/>
  <c r="H17" i="11"/>
  <c r="Q17" i="11" s="1"/>
  <c r="H57" i="11"/>
  <c r="Q57" i="11" s="1"/>
  <c r="F100" i="52"/>
  <c r="F98" i="52"/>
  <c r="H31" i="11"/>
  <c r="Q31" i="11" s="1"/>
  <c r="H43" i="11"/>
  <c r="Q43" i="11" s="1"/>
  <c r="H24" i="11"/>
  <c r="Q24" i="11" s="1"/>
  <c r="H34" i="11"/>
  <c r="Q34" i="11" s="1"/>
  <c r="F99" i="52"/>
  <c r="AK16" i="3"/>
  <c r="J5" i="50"/>
  <c r="O5" i="50" s="1"/>
  <c r="H58" i="11"/>
  <c r="Q58" i="11" s="1"/>
  <c r="H38" i="11"/>
  <c r="Q38" i="11" s="1"/>
  <c r="H63" i="11"/>
  <c r="Q63" i="11" s="1"/>
  <c r="F106" i="52"/>
  <c r="H62" i="11"/>
  <c r="Q62" i="11" s="1"/>
  <c r="H37" i="11"/>
  <c r="Q37" i="11" s="1"/>
  <c r="H56" i="11"/>
  <c r="Q56" i="11" s="1"/>
  <c r="H45" i="11"/>
  <c r="Q45" i="11" s="1"/>
  <c r="H27" i="11"/>
  <c r="Q27" i="11" s="1"/>
  <c r="H53" i="11"/>
  <c r="H39" i="11"/>
  <c r="Q39" i="11" s="1"/>
  <c r="H23" i="11"/>
  <c r="Q23" i="11" s="1"/>
  <c r="H18" i="11"/>
  <c r="Q18" i="11" s="1"/>
  <c r="H30" i="11"/>
  <c r="Q30" i="11" s="1"/>
  <c r="H59" i="11"/>
  <c r="Q59" i="11" s="1"/>
  <c r="F102" i="52"/>
  <c r="H36" i="11"/>
  <c r="Q36" i="11" s="1"/>
  <c r="F103" i="52"/>
  <c r="H28" i="11"/>
  <c r="Q28" i="11" s="1"/>
  <c r="F101" i="52"/>
  <c r="H55" i="11"/>
  <c r="Q55" i="11" s="1"/>
  <c r="H32" i="11"/>
  <c r="Q32" i="11" s="1"/>
  <c r="H33" i="11"/>
  <c r="Q33" i="11" s="1"/>
  <c r="H29" i="11"/>
  <c r="Q29" i="11" s="1"/>
  <c r="F95" i="52"/>
  <c r="H20" i="11"/>
  <c r="Q20" i="11" s="1"/>
  <c r="K61" i="50"/>
  <c r="O61" i="50" s="1"/>
  <c r="P61" i="50" s="1"/>
  <c r="S51" i="11"/>
  <c r="T51" i="11" s="1"/>
  <c r="AK47" i="3"/>
  <c r="H50" i="11"/>
  <c r="Q50" i="11" s="1"/>
  <c r="O57" i="50"/>
  <c r="P57" i="50" s="1"/>
  <c r="K76" i="50"/>
  <c r="O76" i="50" s="1"/>
  <c r="P76" i="50" s="1"/>
  <c r="K24" i="50" l="1"/>
  <c r="O24" i="50" s="1"/>
  <c r="P24" i="50" s="1"/>
  <c r="AC25" i="3"/>
  <c r="AG25" i="3" s="1"/>
  <c r="AH25" i="3" s="1"/>
  <c r="AI25" i="3"/>
  <c r="AC60" i="3"/>
  <c r="AG60" i="3" s="1"/>
  <c r="AH60" i="3" s="1"/>
  <c r="K81" i="50"/>
  <c r="O81" i="50" s="1"/>
  <c r="P81" i="50" s="1"/>
  <c r="AG41" i="3"/>
  <c r="AH41" i="3" s="1"/>
  <c r="AI60" i="3"/>
  <c r="AK60" i="3" s="1"/>
  <c r="K86" i="50"/>
  <c r="O86" i="50" s="1"/>
  <c r="P86" i="50" s="1"/>
  <c r="AI40" i="3"/>
  <c r="AK40" i="3" s="1"/>
  <c r="AI42" i="3"/>
  <c r="AK42" i="3" s="1"/>
  <c r="F144" i="52"/>
  <c r="G144" i="52" s="1"/>
  <c r="AC46" i="3"/>
  <c r="AG46" i="3" s="1"/>
  <c r="AH46" i="3" s="1"/>
  <c r="AG42" i="3"/>
  <c r="AH42" i="3" s="1"/>
  <c r="F148" i="52"/>
  <c r="G148" i="52" s="1"/>
  <c r="AC40" i="3"/>
  <c r="AG40" i="3" s="1"/>
  <c r="AH40" i="3" s="1"/>
  <c r="K77" i="50"/>
  <c r="O77" i="50" s="1"/>
  <c r="P77" i="50" s="1"/>
  <c r="Q19" i="11"/>
  <c r="V19" i="12" s="1"/>
  <c r="Q35" i="11"/>
  <c r="V41" i="12" s="1"/>
  <c r="AI46" i="3"/>
  <c r="AK46" i="3" s="1"/>
  <c r="K51" i="50"/>
  <c r="O51" i="50" s="1"/>
  <c r="P51" i="50" s="1"/>
  <c r="Q53" i="11"/>
  <c r="G143" i="52"/>
  <c r="F155" i="52"/>
  <c r="R155" i="52" s="1"/>
  <c r="F126" i="52"/>
  <c r="G126" i="52" s="1"/>
  <c r="F154" i="52"/>
  <c r="G154" i="52" s="1"/>
  <c r="V29" i="12"/>
  <c r="W30" i="12" s="1"/>
  <c r="X30" i="12" s="1"/>
  <c r="K35" i="50"/>
  <c r="O35" i="50" s="1"/>
  <c r="P35" i="50" s="1"/>
  <c r="K22" i="50"/>
  <c r="O22" i="50" s="1"/>
  <c r="P22" i="50" s="1"/>
  <c r="K90" i="50"/>
  <c r="O90" i="50" s="1"/>
  <c r="P90" i="50" s="1"/>
  <c r="R115" i="52"/>
  <c r="S115" i="52" s="1"/>
  <c r="AI28" i="3"/>
  <c r="AK28" i="3" s="1"/>
  <c r="AC28" i="3"/>
  <c r="AG28" i="3" s="1"/>
  <c r="AH28" i="3" s="1"/>
  <c r="AC53" i="3"/>
  <c r="AG53" i="3" s="1"/>
  <c r="AH53" i="3" s="1"/>
  <c r="AI53" i="3"/>
  <c r="AK53" i="3" s="1"/>
  <c r="AI61" i="3"/>
  <c r="AK61" i="3" s="1"/>
  <c r="AC61" i="3"/>
  <c r="AG61" i="3" s="1"/>
  <c r="AH61" i="3" s="1"/>
  <c r="AC43" i="3"/>
  <c r="AG43" i="3" s="1"/>
  <c r="AH43" i="3" s="1"/>
  <c r="AI43" i="3"/>
  <c r="AK43" i="3" s="1"/>
  <c r="F153" i="52"/>
  <c r="G153" i="52" s="1"/>
  <c r="AI27" i="3"/>
  <c r="AC27" i="3"/>
  <c r="AG27" i="3" s="1"/>
  <c r="AH27" i="3" s="1"/>
  <c r="AC24" i="3"/>
  <c r="AG24" i="3" s="1"/>
  <c r="AH24" i="3" s="1"/>
  <c r="F140" i="52"/>
  <c r="AI24" i="3"/>
  <c r="AI37" i="3"/>
  <c r="AK37" i="3" s="1"/>
  <c r="AC37" i="3"/>
  <c r="AG37" i="3" s="1"/>
  <c r="AH37" i="3" s="1"/>
  <c r="AI59" i="3"/>
  <c r="AC59" i="3"/>
  <c r="AG59" i="3" s="1"/>
  <c r="AH59" i="3" s="1"/>
  <c r="AI36" i="3"/>
  <c r="AK36" i="3" s="1"/>
  <c r="AC36" i="3"/>
  <c r="AG36" i="3" s="1"/>
  <c r="AH36" i="3" s="1"/>
  <c r="AI62" i="3"/>
  <c r="AC62" i="3"/>
  <c r="AG62" i="3" s="1"/>
  <c r="AH62" i="3" s="1"/>
  <c r="AI56" i="3"/>
  <c r="AK56" i="3" s="1"/>
  <c r="AC56" i="3"/>
  <c r="AG56" i="3" s="1"/>
  <c r="AH56" i="3" s="1"/>
  <c r="AC57" i="3"/>
  <c r="AG57" i="3" s="1"/>
  <c r="AH57" i="3" s="1"/>
  <c r="AI57" i="3"/>
  <c r="AK57" i="3" s="1"/>
  <c r="AI45" i="3"/>
  <c r="AK45" i="3" s="1"/>
  <c r="AC45" i="3"/>
  <c r="AG45" i="3" s="1"/>
  <c r="AH45" i="3" s="1"/>
  <c r="AI50" i="3"/>
  <c r="AC50" i="3"/>
  <c r="AG50" i="3" s="1"/>
  <c r="AH50" i="3" s="1"/>
  <c r="AI35" i="3"/>
  <c r="AK35" i="3" s="1"/>
  <c r="AC35" i="3"/>
  <c r="AG35" i="3" s="1"/>
  <c r="AH35" i="3" s="1"/>
  <c r="AC38" i="3"/>
  <c r="AG38" i="3" s="1"/>
  <c r="AH38" i="3" s="1"/>
  <c r="AI38" i="3"/>
  <c r="AK38" i="3" s="1"/>
  <c r="F127" i="52"/>
  <c r="G127" i="52" s="1"/>
  <c r="AI63" i="3"/>
  <c r="AK63" i="3" s="1"/>
  <c r="AC63" i="3"/>
  <c r="AG63" i="3" s="1"/>
  <c r="AH63" i="3" s="1"/>
  <c r="AC23" i="3"/>
  <c r="AG23" i="3" s="1"/>
  <c r="AH23" i="3" s="1"/>
  <c r="AI23" i="3"/>
  <c r="AK23" i="3" s="1"/>
  <c r="AI58" i="3"/>
  <c r="AK58" i="3" s="1"/>
  <c r="AC58" i="3"/>
  <c r="AG58" i="3" s="1"/>
  <c r="AH58" i="3" s="1"/>
  <c r="AC54" i="3"/>
  <c r="AG54" i="3" s="1"/>
  <c r="AH54" i="3" s="1"/>
  <c r="AI54" i="3"/>
  <c r="AK54" i="3" s="1"/>
  <c r="AC64" i="3"/>
  <c r="AG64" i="3" s="1"/>
  <c r="AH64" i="3" s="1"/>
  <c r="F156" i="52"/>
  <c r="AI64" i="3"/>
  <c r="AK64" i="3" s="1"/>
  <c r="AC55" i="3"/>
  <c r="AG55" i="3" s="1"/>
  <c r="AH55" i="3" s="1"/>
  <c r="AI55" i="3"/>
  <c r="AK55" i="3" s="1"/>
  <c r="AI39" i="3"/>
  <c r="AK39" i="3" s="1"/>
  <c r="AC39" i="3"/>
  <c r="AG39" i="3" s="1"/>
  <c r="AH39" i="3" s="1"/>
  <c r="AC44" i="3"/>
  <c r="AG44" i="3" s="1"/>
  <c r="AH44" i="3" s="1"/>
  <c r="AI44" i="3"/>
  <c r="AK44" i="3" s="1"/>
  <c r="V16" i="12"/>
  <c r="W16" i="12" s="1"/>
  <c r="V34" i="12"/>
  <c r="V18" i="12"/>
  <c r="W18" i="12" s="1"/>
  <c r="X18" i="12" s="1"/>
  <c r="V36" i="12"/>
  <c r="V37" i="12"/>
  <c r="V32" i="12"/>
  <c r="V35" i="12"/>
  <c r="V71" i="12"/>
  <c r="V55" i="12"/>
  <c r="V56" i="12"/>
  <c r="V13" i="12"/>
  <c r="V58" i="12"/>
  <c r="V20" i="12"/>
  <c r="V69" i="12"/>
  <c r="F122" i="52"/>
  <c r="V38" i="12"/>
  <c r="V72" i="12"/>
  <c r="F121" i="52"/>
  <c r="V66" i="12"/>
  <c r="F114" i="52"/>
  <c r="G114" i="52" s="1"/>
  <c r="V52" i="12"/>
  <c r="V43" i="12"/>
  <c r="V17" i="12"/>
  <c r="W17" i="12" s="1"/>
  <c r="X17" i="12" s="1"/>
  <c r="S48" i="11"/>
  <c r="T48" i="11" s="1"/>
  <c r="X15" i="12"/>
  <c r="F123" i="52"/>
  <c r="R123" i="52" s="1"/>
  <c r="S123" i="52" s="1"/>
  <c r="V77" i="12"/>
  <c r="W77" i="12" s="1"/>
  <c r="S15" i="11"/>
  <c r="T15" i="11" s="1"/>
  <c r="S16" i="11"/>
  <c r="T16" i="11" s="1"/>
  <c r="P5" i="50"/>
  <c r="F94" i="52"/>
  <c r="G94" i="52" s="1"/>
  <c r="AK48" i="3"/>
  <c r="AK19" i="3"/>
  <c r="AK22" i="3"/>
  <c r="K87" i="50"/>
  <c r="O87" i="50" s="1"/>
  <c r="P87" i="50" s="1"/>
  <c r="G101" i="52"/>
  <c r="R101" i="52"/>
  <c r="S101" i="52" s="1"/>
  <c r="G134" i="52"/>
  <c r="R134" i="52"/>
  <c r="S134" i="52" s="1"/>
  <c r="G147" i="52"/>
  <c r="R147" i="52"/>
  <c r="G135" i="52"/>
  <c r="R135" i="52"/>
  <c r="S135" i="52" s="1"/>
  <c r="G100" i="52"/>
  <c r="R100" i="52"/>
  <c r="S100" i="52" s="1"/>
  <c r="G146" i="52"/>
  <c r="R146" i="52"/>
  <c r="G102" i="52"/>
  <c r="R102" i="52"/>
  <c r="S102" i="52" s="1"/>
  <c r="G130" i="52"/>
  <c r="R130" i="52"/>
  <c r="S130" i="52" s="1"/>
  <c r="G145" i="52"/>
  <c r="R145" i="52"/>
  <c r="G95" i="52"/>
  <c r="R95" i="52"/>
  <c r="S95" i="52" s="1"/>
  <c r="G106" i="52"/>
  <c r="R106" i="52"/>
  <c r="S106" i="52" s="1"/>
  <c r="G131" i="52"/>
  <c r="R131" i="52"/>
  <c r="S131" i="52" s="1"/>
  <c r="G132" i="52"/>
  <c r="R132" i="52"/>
  <c r="S132" i="52" s="1"/>
  <c r="G103" i="52"/>
  <c r="R103" i="52"/>
  <c r="S103" i="52" s="1"/>
  <c r="G133" i="52"/>
  <c r="R133" i="52"/>
  <c r="S133" i="52" s="1"/>
  <c r="G152" i="52"/>
  <c r="R152" i="52"/>
  <c r="G99" i="52"/>
  <c r="R99" i="52"/>
  <c r="S99" i="52" s="1"/>
  <c r="G98" i="52"/>
  <c r="R98" i="52"/>
  <c r="S98" i="52" s="1"/>
  <c r="K42" i="50"/>
  <c r="O42" i="50" s="1"/>
  <c r="P42" i="50" s="1"/>
  <c r="AK31" i="3"/>
  <c r="F139" i="52"/>
  <c r="K21" i="50"/>
  <c r="O21" i="50" s="1"/>
  <c r="P21" i="50" s="1"/>
  <c r="AK18" i="3"/>
  <c r="K34" i="50"/>
  <c r="O34" i="50" s="1"/>
  <c r="P34" i="50" s="1"/>
  <c r="K79" i="50"/>
  <c r="O79" i="50" s="1"/>
  <c r="P79" i="50" s="1"/>
  <c r="K78" i="50"/>
  <c r="O78" i="50" s="1"/>
  <c r="P78" i="50" s="1"/>
  <c r="K49" i="50"/>
  <c r="O49" i="50" s="1"/>
  <c r="P49" i="50" s="1"/>
  <c r="K40" i="50"/>
  <c r="O40" i="50" s="1"/>
  <c r="P40" i="50" s="1"/>
  <c r="K67" i="50"/>
  <c r="O67" i="50" s="1"/>
  <c r="P67" i="50" s="1"/>
  <c r="K62" i="50"/>
  <c r="O62" i="50" s="1"/>
  <c r="P62" i="50" s="1"/>
  <c r="K70" i="50"/>
  <c r="O70" i="50" s="1"/>
  <c r="P70" i="50" s="1"/>
  <c r="AK29" i="3"/>
  <c r="K71" i="50"/>
  <c r="O71" i="50" s="1"/>
  <c r="P71" i="50" s="1"/>
  <c r="K80" i="50"/>
  <c r="O80" i="50" s="1"/>
  <c r="P80" i="50" s="1"/>
  <c r="K29" i="50"/>
  <c r="O29" i="50" s="1"/>
  <c r="P29" i="50" s="1"/>
  <c r="K41" i="50"/>
  <c r="O41" i="50" s="1"/>
  <c r="P41" i="50" s="1"/>
  <c r="AK30" i="3"/>
  <c r="K48" i="50"/>
  <c r="O48" i="50" s="1"/>
  <c r="P48" i="50" s="1"/>
  <c r="K47" i="50"/>
  <c r="O47" i="50" s="1"/>
  <c r="P47" i="50" s="1"/>
  <c r="K88" i="50"/>
  <c r="O88" i="50" s="1"/>
  <c r="P88" i="50" s="1"/>
  <c r="S52" i="11"/>
  <c r="T52" i="11" s="1"/>
  <c r="AK17" i="3"/>
  <c r="K66" i="50"/>
  <c r="O66" i="50" s="1"/>
  <c r="P66" i="50" s="1"/>
  <c r="J6" i="50"/>
  <c r="O6" i="50" s="1"/>
  <c r="K69" i="50"/>
  <c r="O69" i="50" s="1"/>
  <c r="P69" i="50" s="1"/>
  <c r="K85" i="50"/>
  <c r="O85" i="50" s="1"/>
  <c r="P85" i="50" s="1"/>
  <c r="K50" i="50"/>
  <c r="O50" i="50" s="1"/>
  <c r="P50" i="50" s="1"/>
  <c r="K89" i="50"/>
  <c r="O89" i="50" s="1"/>
  <c r="P89" i="50" s="1"/>
  <c r="AK32" i="3"/>
  <c r="F151" i="52"/>
  <c r="K30" i="50"/>
  <c r="O30" i="50" s="1"/>
  <c r="P30" i="50" s="1"/>
  <c r="K46" i="50"/>
  <c r="O46" i="50" s="1"/>
  <c r="P46" i="50" s="1"/>
  <c r="AK33" i="3"/>
  <c r="K43" i="50"/>
  <c r="O43" i="50" s="1"/>
  <c r="P43" i="50" s="1"/>
  <c r="AK51" i="3"/>
  <c r="K44" i="50"/>
  <c r="O44" i="50" s="1"/>
  <c r="P44" i="50" s="1"/>
  <c r="K45" i="50"/>
  <c r="O45" i="50" s="1"/>
  <c r="P45" i="50" s="1"/>
  <c r="AK34" i="3"/>
  <c r="K68" i="50"/>
  <c r="O68" i="50" s="1"/>
  <c r="P68" i="50" s="1"/>
  <c r="K12" i="50"/>
  <c r="O12" i="50" s="1"/>
  <c r="P12" i="50" s="1"/>
  <c r="AK20" i="3"/>
  <c r="S47" i="11"/>
  <c r="T47" i="11" s="1"/>
  <c r="S46" i="11"/>
  <c r="T46" i="11" s="1"/>
  <c r="S64" i="11"/>
  <c r="T64" i="11" s="1"/>
  <c r="K60" i="50"/>
  <c r="O60" i="50" s="1"/>
  <c r="P60" i="50" s="1"/>
  <c r="S66" i="11"/>
  <c r="T66" i="11" s="1"/>
  <c r="S14" i="11"/>
  <c r="T14" i="11" s="1"/>
  <c r="S60" i="11"/>
  <c r="T60" i="11" s="1"/>
  <c r="S13" i="11"/>
  <c r="T13" i="11" s="1"/>
  <c r="AK13" i="3"/>
  <c r="O16" i="50"/>
  <c r="P16" i="50" s="1"/>
  <c r="O11" i="50"/>
  <c r="P11" i="50" s="1"/>
  <c r="O17" i="50"/>
  <c r="P17" i="50" s="1"/>
  <c r="O25" i="50"/>
  <c r="P25" i="50" s="1"/>
  <c r="AK25" i="3" l="1"/>
  <c r="R144" i="52"/>
  <c r="R148" i="52"/>
  <c r="R154" i="52"/>
  <c r="G155" i="52"/>
  <c r="R126" i="52"/>
  <c r="S126" i="52" s="1"/>
  <c r="W13" i="12"/>
  <c r="X13" i="12" s="1"/>
  <c r="X16" i="12"/>
  <c r="AK24" i="3"/>
  <c r="R153" i="52"/>
  <c r="R127" i="52"/>
  <c r="S127" i="52" s="1"/>
  <c r="R156" i="52"/>
  <c r="G156" i="52"/>
  <c r="R140" i="52"/>
  <c r="G140" i="52"/>
  <c r="S45" i="11"/>
  <c r="T45" i="11" s="1"/>
  <c r="F118" i="52"/>
  <c r="G118" i="52" s="1"/>
  <c r="S61" i="11"/>
  <c r="T61" i="11" s="1"/>
  <c r="W61" i="12"/>
  <c r="X61" i="12" s="1"/>
  <c r="V45" i="12"/>
  <c r="F120" i="52"/>
  <c r="R120" i="52" s="1"/>
  <c r="S120" i="52" s="1"/>
  <c r="R114" i="52"/>
  <c r="S114" i="52" s="1"/>
  <c r="V51" i="12"/>
  <c r="S55" i="11"/>
  <c r="T55" i="11" s="1"/>
  <c r="V31" i="12"/>
  <c r="W33" i="12" s="1"/>
  <c r="X33" i="12" s="1"/>
  <c r="V42" i="12"/>
  <c r="W47" i="12" s="1"/>
  <c r="V67" i="12"/>
  <c r="V44" i="12"/>
  <c r="V50" i="12"/>
  <c r="W54" i="12" s="1"/>
  <c r="X54" i="12" s="1"/>
  <c r="V62" i="12"/>
  <c r="S57" i="11"/>
  <c r="T57" i="11" s="1"/>
  <c r="F119" i="52"/>
  <c r="G119" i="52" s="1"/>
  <c r="V63" i="12"/>
  <c r="V73" i="12"/>
  <c r="V64" i="12"/>
  <c r="V26" i="12"/>
  <c r="V25" i="12"/>
  <c r="V39" i="12"/>
  <c r="V65" i="12"/>
  <c r="S63" i="11"/>
  <c r="T63" i="11" s="1"/>
  <c r="G123" i="52"/>
  <c r="W21" i="12"/>
  <c r="S43" i="11"/>
  <c r="T43" i="11" s="1"/>
  <c r="S53" i="11"/>
  <c r="T53" i="11" s="1"/>
  <c r="S58" i="11"/>
  <c r="T58" i="11" s="1"/>
  <c r="S54" i="11"/>
  <c r="T54" i="11" s="1"/>
  <c r="W75" i="12"/>
  <c r="X75" i="12" s="1"/>
  <c r="S56" i="11"/>
  <c r="T56" i="11" s="1"/>
  <c r="P6" i="50"/>
  <c r="W40" i="12"/>
  <c r="X40" i="12" s="1"/>
  <c r="R94" i="52"/>
  <c r="S94" i="52" s="1"/>
  <c r="G139" i="52"/>
  <c r="R139" i="52"/>
  <c r="G151" i="52"/>
  <c r="R151" i="52"/>
  <c r="G121" i="52"/>
  <c r="R121" i="52"/>
  <c r="S121" i="52" s="1"/>
  <c r="G122" i="52"/>
  <c r="R122" i="52"/>
  <c r="S122" i="52" s="1"/>
  <c r="S44" i="11"/>
  <c r="T44" i="11" s="1"/>
  <c r="AK52" i="3"/>
  <c r="AK62" i="3"/>
  <c r="AK27" i="3"/>
  <c r="S62" i="11"/>
  <c r="T62" i="11" s="1"/>
  <c r="S59" i="11"/>
  <c r="T59" i="11" s="1"/>
  <c r="AK59" i="3"/>
  <c r="AK50" i="3"/>
  <c r="S50" i="11"/>
  <c r="T50" i="11" s="1"/>
  <c r="X21" i="12" l="1"/>
  <c r="R118" i="52"/>
  <c r="S118" i="52" s="1"/>
  <c r="G120" i="52"/>
  <c r="W27" i="12"/>
  <c r="X27" i="12" s="1"/>
  <c r="X47" i="12"/>
  <c r="W68" i="12"/>
  <c r="X68" i="12" s="1"/>
  <c r="R119" i="52"/>
  <c r="S119" i="52" s="1"/>
</calcChain>
</file>

<file path=xl/sharedStrings.xml><?xml version="1.0" encoding="utf-8"?>
<sst xmlns="http://schemas.openxmlformats.org/spreadsheetml/2006/main" count="2058" uniqueCount="642">
  <si>
    <t>NW Natural</t>
  </si>
  <si>
    <t>Rates &amp; Regulatory Affairs</t>
  </si>
  <si>
    <t>Schedule</t>
  </si>
  <si>
    <t>Block</t>
  </si>
  <si>
    <t>1R</t>
  </si>
  <si>
    <t>1C</t>
  </si>
  <si>
    <t>Block 1</t>
  </si>
  <si>
    <t>Block 2</t>
  </si>
  <si>
    <t>Block 3</t>
  </si>
  <si>
    <t>Block 4</t>
  </si>
  <si>
    <t>Block 5</t>
  </si>
  <si>
    <t>Block 6</t>
  </si>
  <si>
    <t>3 CFS</t>
  </si>
  <si>
    <t>3 IFS</t>
  </si>
  <si>
    <t>2R</t>
  </si>
  <si>
    <t>PGA Volumes</t>
  </si>
  <si>
    <t>C</t>
  </si>
  <si>
    <t>Actual</t>
  </si>
  <si>
    <t>Allocation of</t>
  </si>
  <si>
    <t>Inputs</t>
  </si>
  <si>
    <t>Item</t>
  </si>
  <si>
    <t>Source</t>
  </si>
  <si>
    <t>Amount</t>
  </si>
  <si>
    <t>Revenue Sensitive Rate</t>
  </si>
  <si>
    <t>Temporary Increments</t>
  </si>
  <si>
    <t>WACOG Deferral</t>
  </si>
  <si>
    <t>Proposed Temps</t>
  </si>
  <si>
    <t>Volumes</t>
  </si>
  <si>
    <t>Billing</t>
  </si>
  <si>
    <t>Rates</t>
  </si>
  <si>
    <t>REMOVE</t>
  </si>
  <si>
    <t>Current</t>
  </si>
  <si>
    <t>WACOG</t>
  </si>
  <si>
    <t>FIRM</t>
  </si>
  <si>
    <t>Demand</t>
  </si>
  <si>
    <t>INTERR</t>
  </si>
  <si>
    <t>ADD</t>
  </si>
  <si>
    <t>Proposed</t>
  </si>
  <si>
    <t>Allocation Method</t>
  </si>
  <si>
    <t>Allocated to Rate Schedules</t>
  </si>
  <si>
    <t>Equal cent per therm</t>
  </si>
  <si>
    <t>Multiplier</t>
  </si>
  <si>
    <t>Increment</t>
  </si>
  <si>
    <t>Revenue Sensitive Multiplier:</t>
  </si>
  <si>
    <t>Amount to Amortize:</t>
  </si>
  <si>
    <t>Temporary Increment</t>
  </si>
  <si>
    <t>Residential</t>
  </si>
  <si>
    <t>Commercial</t>
  </si>
  <si>
    <t>all sales</t>
  </si>
  <si>
    <t>Demand Deferral - FIRM</t>
  </si>
  <si>
    <t>Demand Deferral - INTERRUPTIBLE</t>
  </si>
  <si>
    <t>to all firm sales</t>
  </si>
  <si>
    <t>MARGIN</t>
  </si>
  <si>
    <t>Rate</t>
  </si>
  <si>
    <t>Proposed Amount:</t>
  </si>
  <si>
    <t>WACOG &amp;</t>
  </si>
  <si>
    <t>Temporary</t>
  </si>
  <si>
    <t>Margin</t>
  </si>
  <si>
    <t>add revenue sensitive factor</t>
  </si>
  <si>
    <t>Total</t>
  </si>
  <si>
    <t>Current Temporaries</t>
  </si>
  <si>
    <t>Net Effect of Temps</t>
  </si>
  <si>
    <t>Items</t>
  </si>
  <si>
    <t>Demand Deferral FIRM</t>
  </si>
  <si>
    <t>Demand Deferral INTERR</t>
  </si>
  <si>
    <t>Summary of TEMPORARY Increments</t>
  </si>
  <si>
    <t>Calculation of Increments Allocated on the EQUAL PERCENTAGE OF MARGIN BASIS</t>
  </si>
  <si>
    <t>Calculation of Increments Allocated on the EQUAL CENT PER THERM BASIS</t>
  </si>
  <si>
    <t>Column D</t>
  </si>
  <si>
    <t>Column A</t>
  </si>
  <si>
    <t>N/A</t>
  </si>
  <si>
    <t>Volumes page,</t>
  </si>
  <si>
    <t>Rate from</t>
  </si>
  <si>
    <t>Rates page,</t>
  </si>
  <si>
    <t>Demand from</t>
  </si>
  <si>
    <t>Increment  page,</t>
  </si>
  <si>
    <t>Temps from</t>
  </si>
  <si>
    <t>A</t>
  </si>
  <si>
    <t>B</t>
  </si>
  <si>
    <t>D</t>
  </si>
  <si>
    <t>E</t>
  </si>
  <si>
    <t>F</t>
  </si>
  <si>
    <t>G</t>
  </si>
  <si>
    <t>H</t>
  </si>
  <si>
    <t>I</t>
  </si>
  <si>
    <t>J</t>
  </si>
  <si>
    <t>K</t>
  </si>
  <si>
    <t>L</t>
  </si>
  <si>
    <t>M</t>
  </si>
  <si>
    <t>N</t>
  </si>
  <si>
    <t>O</t>
  </si>
  <si>
    <t>E=A-B-C-D</t>
  </si>
  <si>
    <t>I=E+F+G+H</t>
  </si>
  <si>
    <t>D=A+B+C</t>
  </si>
  <si>
    <t>E=B-C-D</t>
  </si>
  <si>
    <t>rev sensitive factor is built in</t>
  </si>
  <si>
    <t>Column B+C+D</t>
  </si>
  <si>
    <t>Net change</t>
  </si>
  <si>
    <t>Increments</t>
  </si>
  <si>
    <t>Index &amp; Documentation</t>
  </si>
  <si>
    <t>File Overview:</t>
  </si>
  <si>
    <t>Worksheet Name</t>
  </si>
  <si>
    <t>Description</t>
  </si>
  <si>
    <t>Index and Documentation</t>
  </si>
  <si>
    <t>Provides overview of the file and worksheets</t>
  </si>
  <si>
    <t>Ultimate rate summary - calculates the proposed billing rate</t>
  </si>
  <si>
    <t>Temporaries</t>
  </si>
  <si>
    <t>Summarizes the effect of temporary increments</t>
  </si>
  <si>
    <t>Allocation equal ¢ per therm</t>
  </si>
  <si>
    <t>Details the calculation of each increment by rate schedule for each</t>
  </si>
  <si>
    <t>item allocated on an equal ¢ per therm basis</t>
  </si>
  <si>
    <t>Allocation equal % of margin</t>
  </si>
  <si>
    <t>item allocated on an equal percentage of margin basis</t>
  </si>
  <si>
    <t>Summarizes actual TME May volumes, details the allocation of</t>
  </si>
  <si>
    <t xml:space="preserve">normalized residential and commercial volumes as well as the </t>
  </si>
  <si>
    <t>allocation of elasticity residential and commercial volumes</t>
  </si>
  <si>
    <t>Worksheet Overview:</t>
  </si>
  <si>
    <t>Each sheet provides column and line references.</t>
  </si>
  <si>
    <t>Towards the bottom of each sheet, a cross reference to other sheets is provided</t>
  </si>
  <si>
    <t>Washington Volumes</t>
  </si>
  <si>
    <t>41 FS Block 1</t>
  </si>
  <si>
    <t>41 FS Block 2</t>
  </si>
  <si>
    <t>41 FT Block 1</t>
  </si>
  <si>
    <t>41 FT Block 2</t>
  </si>
  <si>
    <t>41 IS Block 1</t>
  </si>
  <si>
    <t>41 IS Block 2</t>
  </si>
  <si>
    <t>42 CFS Block 1</t>
  </si>
  <si>
    <t>42 CFS Block 2</t>
  </si>
  <si>
    <t>42 CFS Block 3</t>
  </si>
  <si>
    <t>42 CFS Block 4</t>
  </si>
  <si>
    <t>42 CFS Block 5</t>
  </si>
  <si>
    <t>42 CFS Block 6</t>
  </si>
  <si>
    <t>42 IFS Block 1</t>
  </si>
  <si>
    <t>42 IFS Block 2</t>
  </si>
  <si>
    <t>42 IFS Block 3</t>
  </si>
  <si>
    <t>42 IFS Block 4</t>
  </si>
  <si>
    <t>42 IFS Block 5</t>
  </si>
  <si>
    <t>42 IFS Block 6</t>
  </si>
  <si>
    <t>42 FT Block 1</t>
  </si>
  <si>
    <t>42 FT Block 2</t>
  </si>
  <si>
    <t>42 FT Block 3</t>
  </si>
  <si>
    <t>42 FT Block 4</t>
  </si>
  <si>
    <t>42 FT Block 5</t>
  </si>
  <si>
    <t>42 FT Block 6</t>
  </si>
  <si>
    <t>42 IS Block 1</t>
  </si>
  <si>
    <t>42 IS Block 2</t>
  </si>
  <si>
    <t>42 IS Block 3</t>
  </si>
  <si>
    <t>42 IS Block 4</t>
  </si>
  <si>
    <t>42 IS Block 5</t>
  </si>
  <si>
    <t>42 IS Block 6</t>
  </si>
  <si>
    <t>42 IT Block 1</t>
  </si>
  <si>
    <t>42 IT Block 2</t>
  </si>
  <si>
    <t>42 IT Block 3</t>
  </si>
  <si>
    <t>42 IT Block 4</t>
  </si>
  <si>
    <t>42 IT Block 5</t>
  </si>
  <si>
    <t>42 IT Block 6</t>
  </si>
  <si>
    <t>43 FT</t>
  </si>
  <si>
    <t>43 IT</t>
  </si>
  <si>
    <t>Normalized</t>
  </si>
  <si>
    <t>NCS field</t>
  </si>
  <si>
    <t>41 Firm Sales</t>
  </si>
  <si>
    <t>41 Firm Trans</t>
  </si>
  <si>
    <t>41 Interr Sales</t>
  </si>
  <si>
    <t>42C Firm Sales</t>
  </si>
  <si>
    <t>42I Firm Sales</t>
  </si>
  <si>
    <t>42 Firm Trans</t>
  </si>
  <si>
    <t>42 Inter Trans</t>
  </si>
  <si>
    <t>43 Firm Trans</t>
  </si>
  <si>
    <t>43 Interr Trans</t>
  </si>
  <si>
    <t>PGA</t>
  </si>
  <si>
    <t>to all sales schedules</t>
  </si>
  <si>
    <t>Sources:</t>
  </si>
  <si>
    <t>Direct Inputs</t>
  </si>
  <si>
    <t>Column J</t>
  </si>
  <si>
    <t>Equal ¢ per therm</t>
  </si>
  <si>
    <t>Equal % of margin</t>
  </si>
  <si>
    <t>Totals</t>
  </si>
  <si>
    <t>Column G</t>
  </si>
  <si>
    <t>Total Current Temporaries</t>
  </si>
  <si>
    <t>to all Firm sales</t>
  </si>
  <si>
    <t>to all Interruptible sales</t>
  </si>
  <si>
    <t>Washington</t>
  </si>
  <si>
    <t>P</t>
  </si>
  <si>
    <t>Rates in detail</t>
  </si>
  <si>
    <t>Rates in summary</t>
  </si>
  <si>
    <t>Rate summary - calculates the proposed billing rate, shows</t>
  </si>
  <si>
    <t>Condensed summary, showing net effects of gas costs and temporary</t>
  </si>
  <si>
    <t>increments</t>
  </si>
  <si>
    <t>the removal of old and then addition of new gas costs and temporary</t>
  </si>
  <si>
    <t>Summarizes all inputs coming from other files</t>
  </si>
  <si>
    <t>Calculation of Proposed Rates - SUMMARY</t>
  </si>
  <si>
    <t>Calculation of Proposed Rates - DETAIL</t>
  </si>
  <si>
    <t>PGA Effects</t>
  </si>
  <si>
    <t>Therms in</t>
  </si>
  <si>
    <t>Therms</t>
  </si>
  <si>
    <t>Average use</t>
  </si>
  <si>
    <t>Minimum</t>
  </si>
  <si>
    <t>Monthly</t>
  </si>
  <si>
    <t>Charge</t>
  </si>
  <si>
    <t>Average Bill</t>
  </si>
  <si>
    <t>% Bill Change</t>
  </si>
  <si>
    <t>all additional</t>
  </si>
  <si>
    <t>Customers</t>
  </si>
  <si>
    <t>Average Use</t>
  </si>
  <si>
    <t>per Tariff</t>
  </si>
  <si>
    <t>TOTAL</t>
  </si>
  <si>
    <t>F=D+(C * E)</t>
  </si>
  <si>
    <t>Comparison summary - calculates average bills on current versus</t>
  </si>
  <si>
    <t>proposed rates for PGA only, Temps only and Total bill effects.</t>
  </si>
  <si>
    <t>Rate schedules are listed on each sheet on the same lines in the same order on each page, with the</t>
  </si>
  <si>
    <t>exception of the PGA Effects page due to the insertion of subtotals for blocked rate schedules</t>
  </si>
  <si>
    <t>Sources for line 2 above:</t>
  </si>
  <si>
    <t>Inputs page</t>
  </si>
  <si>
    <t>PGA Normalized</t>
  </si>
  <si>
    <t>This file currently contains 9 worksheets:</t>
  </si>
  <si>
    <t>Normal</t>
  </si>
  <si>
    <t>Calculation of Effect on Customer Average Bill by Rate Schedule [1]</t>
  </si>
  <si>
    <t>Intentionally blank</t>
  </si>
  <si>
    <t>Subtotal [1]</t>
  </si>
  <si>
    <t>Tariff</t>
  </si>
  <si>
    <t>Rates [1]</t>
  </si>
  <si>
    <t>PGA Only [1]</t>
  </si>
  <si>
    <t>Demand [1]</t>
  </si>
  <si>
    <t>Demand - Firm Volumetric</t>
  </si>
  <si>
    <t>Demand - Interruptible Volumetric</t>
  </si>
  <si>
    <t>Demand - Firm MDDV</t>
  </si>
  <si>
    <t>Firm Service Distribution Capacity MDDV</t>
  </si>
  <si>
    <t>Firm Sales Service Storage Capacity MDDV</t>
  </si>
  <si>
    <t>Distribution</t>
  </si>
  <si>
    <t>Billing Rate</t>
  </si>
  <si>
    <t>Adjustment</t>
  </si>
  <si>
    <t>Customer Charge</t>
  </si>
  <si>
    <t>Industrial</t>
  </si>
  <si>
    <t>Interruptible</t>
  </si>
  <si>
    <t>Industrial Firm</t>
  </si>
  <si>
    <t>Billing Rates</t>
  </si>
  <si>
    <t>Customer</t>
  </si>
  <si>
    <t>Margins</t>
  </si>
  <si>
    <t>(AA-I)</t>
  </si>
  <si>
    <t>[1] Rate Schedule 41 and 42 customers may choose demand charges at a volumetric rate or based on MDDV.  For convenience of presentation, demand charges are not shown for those schedules.</t>
  </si>
  <si>
    <t>[1] Rate Schedule 41 and 42 customers may choose demand charges at a volumetric rate or based on MDDV.  For convenience of presentation, demand charges are not included in the calculations for those schedules.</t>
  </si>
  <si>
    <t>Note: Allocation to rate schedules or blocks with zero volumes is calculated on an overall margin percentage change basis.</t>
  </si>
  <si>
    <t>PGA Effects on Average Bill by Rate Schedule</t>
  </si>
  <si>
    <t>Summary of Amortization Rates</t>
  </si>
  <si>
    <t>Workpaper Only - not included in filing</t>
  </si>
  <si>
    <t>and taking the opposite sign</t>
  </si>
  <si>
    <t>Equal percentage of margin</t>
  </si>
  <si>
    <t>Permanent Increment</t>
  </si>
  <si>
    <t>Trans</t>
  </si>
  <si>
    <t>Sales</t>
  </si>
  <si>
    <t>R Sales</t>
  </si>
  <si>
    <t>C Sales</t>
  </si>
  <si>
    <t>I Sales</t>
  </si>
  <si>
    <t>firm Sales</t>
  </si>
  <si>
    <t>Interr Sales</t>
  </si>
  <si>
    <t>Volumetric</t>
  </si>
  <si>
    <t>Allocation to RS</t>
  </si>
  <si>
    <t>F = E * A</t>
  </si>
  <si>
    <t>Column L</t>
  </si>
  <si>
    <t>Residential Forecasted Normalized Volumes</t>
  </si>
  <si>
    <t>Commercial Forecasted Normalized Volumes</t>
  </si>
  <si>
    <t>Forecasted</t>
  </si>
  <si>
    <t>Industrial Firm Forecasted Normalized Volumes</t>
  </si>
  <si>
    <t>Sales Volumes</t>
  </si>
  <si>
    <t>H = (F/G)/12</t>
  </si>
  <si>
    <t>Column F</t>
  </si>
  <si>
    <t>Year Ended</t>
  </si>
  <si>
    <t>Line 34</t>
  </si>
  <si>
    <t>Line 36</t>
  </si>
  <si>
    <t>R</t>
  </si>
  <si>
    <t>Winter Sales WACOG</t>
  </si>
  <si>
    <t>Total PGA Change</t>
  </si>
  <si>
    <t>saved for future use</t>
  </si>
  <si>
    <t>don't delete columns, as this will adversely affect linked tariff handbook and summaries</t>
  </si>
  <si>
    <t>saved for</t>
  </si>
  <si>
    <t>future use</t>
  </si>
  <si>
    <t>Excludes Temps</t>
  </si>
  <si>
    <t>Previous column</t>
  </si>
  <si>
    <t>less WACOG</t>
  </si>
  <si>
    <t>For 41+, excludes</t>
  </si>
  <si>
    <t>demand</t>
  </si>
  <si>
    <t>Interruptible Sales Service Storage Capacity MDDV</t>
  </si>
  <si>
    <t>Rate Schedule 42/UG-080546</t>
  </si>
  <si>
    <t>Export in from Washington Rate Development File:</t>
  </si>
  <si>
    <t>Oregon</t>
  </si>
  <si>
    <t>Base Rate</t>
  </si>
  <si>
    <t>Base Adj.</t>
  </si>
  <si>
    <t>Pipeline Capacity</t>
  </si>
  <si>
    <t>Commodity</t>
  </si>
  <si>
    <t>Temp. Adj.</t>
  </si>
  <si>
    <t>Customer Chg</t>
  </si>
  <si>
    <t>same</t>
  </si>
  <si>
    <t>31/41</t>
  </si>
  <si>
    <t>31CSF</t>
  </si>
  <si>
    <t>Cust Chg</t>
  </si>
  <si>
    <t>41CSF</t>
  </si>
  <si>
    <t>Pipe cap-vol</t>
  </si>
  <si>
    <t>Pipe cap-MDDV</t>
  </si>
  <si>
    <t>31CSI</t>
  </si>
  <si>
    <t>41CSI</t>
  </si>
  <si>
    <t>Pipe cap-int</t>
  </si>
  <si>
    <t>31CTF</t>
  </si>
  <si>
    <t>Cust chg</t>
  </si>
  <si>
    <t>41CTF</t>
  </si>
  <si>
    <t>Tpx chg</t>
  </si>
  <si>
    <t>n/a</t>
  </si>
  <si>
    <t>31ISF</t>
  </si>
  <si>
    <t>41ISF</t>
  </si>
  <si>
    <t>31ISI</t>
  </si>
  <si>
    <t>41ISI</t>
  </si>
  <si>
    <t>31ITF</t>
  </si>
  <si>
    <t>41ITF</t>
  </si>
  <si>
    <t>32/42</t>
  </si>
  <si>
    <t>32CSF/ISF</t>
  </si>
  <si>
    <t>42CSF/ISF</t>
  </si>
  <si>
    <t>32CSF</t>
  </si>
  <si>
    <t>42CSF</t>
  </si>
  <si>
    <t>32ISF</t>
  </si>
  <si>
    <t>42ISF</t>
  </si>
  <si>
    <t>Distrib Cap</t>
  </si>
  <si>
    <t>Storage Chg</t>
  </si>
  <si>
    <t>Pipeline Cap-vol</t>
  </si>
  <si>
    <t>Pipeline Cap-MDDV</t>
  </si>
  <si>
    <t>Pipeline Cap-Int.</t>
  </si>
  <si>
    <t>32CTF/ITF</t>
  </si>
  <si>
    <t>42CTF/ITF</t>
  </si>
  <si>
    <t>Transp chg</t>
  </si>
  <si>
    <t>32CTI/ITI</t>
  </si>
  <si>
    <t>42CTI/ITI</t>
  </si>
  <si>
    <t>I = (G*H*12)+F</t>
  </si>
  <si>
    <t>Low Income Bill Pay Assistance (GREAT)</t>
  </si>
  <si>
    <t>Q</t>
  </si>
  <si>
    <t>Line 50</t>
  </si>
  <si>
    <t>Line 43</t>
  </si>
  <si>
    <t>Low Income Bill Pay Assist (GREAT)</t>
  </si>
  <si>
    <t>191 Commodity</t>
  </si>
  <si>
    <t>191 Pipeline</t>
  </si>
  <si>
    <t>Schedule 201</t>
  </si>
  <si>
    <t>Schedule 215</t>
  </si>
  <si>
    <t>Schedule 230</t>
  </si>
  <si>
    <t>Sched J: GREAT</t>
  </si>
  <si>
    <t>Sched I: WA-LIEE</t>
  </si>
  <si>
    <t>Sched G: EE Gen</t>
  </si>
  <si>
    <t>Schedule 220</t>
  </si>
  <si>
    <t>Mist Recall</t>
  </si>
  <si>
    <t>check</t>
  </si>
  <si>
    <t>column</t>
  </si>
  <si>
    <t>Summaries for linking to the tariff sheets:</t>
  </si>
  <si>
    <t>This is a perm</t>
  </si>
  <si>
    <t>not a temp</t>
  </si>
  <si>
    <t>Statement of RATES</t>
  </si>
  <si>
    <t>Schedule X</t>
  </si>
  <si>
    <t>Tariff Schedule Rates:</t>
  </si>
  <si>
    <t>Pipeline</t>
  </si>
  <si>
    <t>Capacity</t>
  </si>
  <si>
    <t>THIS SECTION IS FOR LINKING TO NWN TARIFF PAGES ONLY</t>
  </si>
  <si>
    <t>Column O</t>
  </si>
  <si>
    <t>Gas Cost File</t>
  </si>
  <si>
    <t>Column F - B</t>
  </si>
  <si>
    <t>Column G+H-C-D</t>
  </si>
  <si>
    <t>Column K - J</t>
  </si>
  <si>
    <t>From Effects file:</t>
  </si>
  <si>
    <t>ok</t>
  </si>
  <si>
    <t>2008 GRC</t>
  </si>
  <si>
    <t>WA-LIEE</t>
  </si>
  <si>
    <t>41C Firm Sales</t>
  </si>
  <si>
    <t>41C Interr Sales</t>
  </si>
  <si>
    <t>41I Firm Sales</t>
  </si>
  <si>
    <t>41I Interr Sales</t>
  </si>
  <si>
    <t>42C Interr Sales</t>
  </si>
  <si>
    <t>42I Interr Sales</t>
  </si>
  <si>
    <t>R&amp;C Energy Efficiency Programs</t>
  </si>
  <si>
    <t>32CSI</t>
  </si>
  <si>
    <t>32ISI</t>
  </si>
  <si>
    <t>42CSI</t>
  </si>
  <si>
    <t>42ISI</t>
  </si>
  <si>
    <t>R&amp;C Energy Efficiency</t>
  </si>
  <si>
    <t>this is RS 215</t>
  </si>
  <si>
    <t>G=sum A thru F</t>
  </si>
  <si>
    <t>Line 37</t>
  </si>
  <si>
    <t>Line 39</t>
  </si>
  <si>
    <t>Column R</t>
  </si>
  <si>
    <t>Interruptible Forecasted Normalized Volumes</t>
  </si>
  <si>
    <t>Financial Planning &amp; Analysis</t>
  </si>
  <si>
    <t>2010 Budget</t>
  </si>
  <si>
    <t>Margin Model</t>
  </si>
  <si>
    <t>GENERAL INPUTS RELATED TO RATE SCHEDULES AND RATES</t>
  </si>
  <si>
    <t>DETAIL</t>
  </si>
  <si>
    <t>Item:</t>
  </si>
  <si>
    <t>Margin Rate Excluding Temps</t>
  </si>
  <si>
    <t>COG &amp; Demand Deferral Temp</t>
  </si>
  <si>
    <t>Non COG &amp; Demand Deferral Temps</t>
  </si>
  <si>
    <t>Class Margin Rate for Decoupling</t>
  </si>
  <si>
    <t>MDDV Distribution Capacity &amp; Storage Charges</t>
  </si>
  <si>
    <t>MDDV Volumes</t>
  </si>
  <si>
    <t>Vols % Subject to Unbilled %</t>
  </si>
  <si>
    <t>Actual Unbilled Revenue</t>
  </si>
  <si>
    <t>Actual Unbilled Therms</t>
  </si>
  <si>
    <t>WACOG &amp; Demand Charge Excluding Rev Sens</t>
  </si>
  <si>
    <t>Used on Tab:</t>
  </si>
  <si>
    <t>revenue</t>
  </si>
  <si>
    <t>perm revenue</t>
  </si>
  <si>
    <t>Temp Com&amp;Dem</t>
  </si>
  <si>
    <t>Temp collection</t>
  </si>
  <si>
    <t>Decoupling</t>
  </si>
  <si>
    <t>MDDV Service Chg</t>
  </si>
  <si>
    <t>Unbilled Vols</t>
  </si>
  <si>
    <t>Unbilled Revs</t>
  </si>
  <si>
    <t>COG</t>
  </si>
  <si>
    <t>frequency of update</t>
  </si>
  <si>
    <t>rate case</t>
  </si>
  <si>
    <t>annually w/PGA</t>
  </si>
  <si>
    <t>occasional</t>
  </si>
  <si>
    <t>annual</t>
  </si>
  <si>
    <t>source</t>
  </si>
  <si>
    <t>tariff</t>
  </si>
  <si>
    <t>MAS forecast</t>
  </si>
  <si>
    <t>self forecast</t>
  </si>
  <si>
    <t>actuals</t>
  </si>
  <si>
    <t>DEC 09</t>
  </si>
  <si>
    <t>Commercial - 3</t>
  </si>
  <si>
    <t>31 CFS Block 1</t>
  </si>
  <si>
    <t>31 CFS Block 2</t>
  </si>
  <si>
    <t>Commercial - 31</t>
  </si>
  <si>
    <t>32 CFS Block 1</t>
  </si>
  <si>
    <t>32 CFS Block 2</t>
  </si>
  <si>
    <t>32 CFS Block 3</t>
  </si>
  <si>
    <t>32 CFS Block 4</t>
  </si>
  <si>
    <t>32 CFS Block 5</t>
  </si>
  <si>
    <t>32 CFS Block 6</t>
  </si>
  <si>
    <t>Commercial - 32</t>
  </si>
  <si>
    <t>Industrial - 3</t>
  </si>
  <si>
    <t>31 IFS Block 1</t>
  </si>
  <si>
    <t>31 IFS Block 2</t>
  </si>
  <si>
    <t>Industrial - 31</t>
  </si>
  <si>
    <t>32 IFS Block 1</t>
  </si>
  <si>
    <t>32 IFS Block 2</t>
  </si>
  <si>
    <t>32 IFS Block 3</t>
  </si>
  <si>
    <t>32 IFS Block 4</t>
  </si>
  <si>
    <t>32 IFS Block 5</t>
  </si>
  <si>
    <t>32 IFS Block 6</t>
  </si>
  <si>
    <t>Industrial - 32</t>
  </si>
  <si>
    <t>31 IIS Block 1</t>
  </si>
  <si>
    <t>31 IIS Block 2</t>
  </si>
  <si>
    <t>Interruptible - 31</t>
  </si>
  <si>
    <t>32 IIS Block 1</t>
  </si>
  <si>
    <t>32 IIS Block 2</t>
  </si>
  <si>
    <t>32 IIS Block 3</t>
  </si>
  <si>
    <t>32 IIS Block 4</t>
  </si>
  <si>
    <t>32 IIS Block 5</t>
  </si>
  <si>
    <t>32 IIS Block 6</t>
  </si>
  <si>
    <t>Interruptible - 32</t>
  </si>
  <si>
    <t>Transp</t>
  </si>
  <si>
    <t>32 CFT Block 1</t>
  </si>
  <si>
    <t>32 CFT Block 2</t>
  </si>
  <si>
    <t>32 CFT Block 3</t>
  </si>
  <si>
    <t>32 CFT Block 4</t>
  </si>
  <si>
    <t>32 CFT Block 5</t>
  </si>
  <si>
    <t>32 CFT Block 6</t>
  </si>
  <si>
    <t>31 IFT Block 1</t>
  </si>
  <si>
    <t>31 IFT Block 2</t>
  </si>
  <si>
    <t>Industrial Firm - 31</t>
  </si>
  <si>
    <t>32 IFT Block 1</t>
  </si>
  <si>
    <t>32 IFT Block 2</t>
  </si>
  <si>
    <t>32 IFT Block 3</t>
  </si>
  <si>
    <t>32 IFT Block 4</t>
  </si>
  <si>
    <t>32 IFT Block 5</t>
  </si>
  <si>
    <t>32 IFT Block 6</t>
  </si>
  <si>
    <t>Industrial Firm - 32</t>
  </si>
  <si>
    <t>32 IIT Block 1</t>
  </si>
  <si>
    <t>32 IIT Block 2</t>
  </si>
  <si>
    <t>32 IIT Block 3</t>
  </si>
  <si>
    <t>32 IIT Block 4</t>
  </si>
  <si>
    <t>32 IIT Block 5</t>
  </si>
  <si>
    <t>32 IIT Block 6</t>
  </si>
  <si>
    <t>Special Contracts FIRM</t>
  </si>
  <si>
    <t>Special Contracts INTERRUPTIBLE</t>
  </si>
  <si>
    <t>21 CFS Block 1</t>
  </si>
  <si>
    <t>21 CFS Block 2</t>
  </si>
  <si>
    <t>21 CFS Block 3</t>
  </si>
  <si>
    <t>21 CFS Block 4</t>
  </si>
  <si>
    <t>Commercial - 21</t>
  </si>
  <si>
    <t>41 CFS Block 1</t>
  </si>
  <si>
    <t>41 CFS Block 2</t>
  </si>
  <si>
    <t>Commercial - 41</t>
  </si>
  <si>
    <t>Commercial - 42</t>
  </si>
  <si>
    <t>Industrial Firm - 3</t>
  </si>
  <si>
    <t>21 IFS Block 1</t>
  </si>
  <si>
    <t>21 IFS Block 2</t>
  </si>
  <si>
    <t>21 IFS Block 3</t>
  </si>
  <si>
    <t>21 IFS Block 4</t>
  </si>
  <si>
    <t>Industrial Firm - 21</t>
  </si>
  <si>
    <t>41 IFS Block 1</t>
  </si>
  <si>
    <t>41 IFS Block 2</t>
  </si>
  <si>
    <t>Industrial Firm - 41</t>
  </si>
  <si>
    <t>Industrial Firm - 42</t>
  </si>
  <si>
    <t>41 IIS Block 1</t>
  </si>
  <si>
    <t>41 IIS Block 2</t>
  </si>
  <si>
    <t>Interruptible - 41</t>
  </si>
  <si>
    <t>42 IIS Block 1</t>
  </si>
  <si>
    <t>42 IIS Block 2</t>
  </si>
  <si>
    <t>42 IIS Block 3</t>
  </si>
  <si>
    <t>42 IIS Block 4</t>
  </si>
  <si>
    <t>42 IIS Block 5</t>
  </si>
  <si>
    <t>42 IIS Block 6</t>
  </si>
  <si>
    <t>Interruptible - 42</t>
  </si>
  <si>
    <t>41 IFT Block 1</t>
  </si>
  <si>
    <t>41 IFT Block 2</t>
  </si>
  <si>
    <t>42 IFT Block 1</t>
  </si>
  <si>
    <t>42 IFT Block 2</t>
  </si>
  <si>
    <t>42 IFT Block 3</t>
  </si>
  <si>
    <t>42 IFT Block 4</t>
  </si>
  <si>
    <t>42 IFT Block 5</t>
  </si>
  <si>
    <t>42 IFT Block 6</t>
  </si>
  <si>
    <t>42 IIT Block 1</t>
  </si>
  <si>
    <t>42 IIT Block 2</t>
  </si>
  <si>
    <t>42 IIT Block 3</t>
  </si>
  <si>
    <t>42 IIT Block 4</t>
  </si>
  <si>
    <t>42 IIT Block 5</t>
  </si>
  <si>
    <t>42 IIT Block 6</t>
  </si>
  <si>
    <t>SUMMARY- BY CLASS AND RATE SCHEDULE</t>
  </si>
  <si>
    <t>System</t>
  </si>
  <si>
    <t>Commercial - 31 / 41</t>
  </si>
  <si>
    <t>Commercial - 32 / 42</t>
  </si>
  <si>
    <t>Industrial Firm - 31 / 41</t>
  </si>
  <si>
    <t>Industrial Firm - 32 / 42</t>
  </si>
  <si>
    <t>Interruptible - 31 / 41</t>
  </si>
  <si>
    <t>Interruptible - 32 / 42</t>
  </si>
  <si>
    <t>SUMMARY - BY CLASS</t>
  </si>
  <si>
    <t>GRAND TOTAL</t>
  </si>
  <si>
    <t>Company Use</t>
  </si>
  <si>
    <t>Line Loss</t>
  </si>
  <si>
    <t>From WA FILE</t>
  </si>
  <si>
    <t>Temporaries Tab</t>
  </si>
  <si>
    <t>Column B</t>
  </si>
  <si>
    <t>Column C</t>
  </si>
  <si>
    <t>Column E</t>
  </si>
  <si>
    <t>S</t>
  </si>
  <si>
    <t>T</t>
  </si>
  <si>
    <t>U</t>
  </si>
  <si>
    <t>Column U</t>
  </si>
  <si>
    <t>Tariff Schedules:</t>
  </si>
  <si>
    <t>Schedule #</t>
  </si>
  <si>
    <t>Sched 220</t>
  </si>
  <si>
    <t>Sched 215</t>
  </si>
  <si>
    <t>Sched 230, Prg J</t>
  </si>
  <si>
    <t>Sched 230, Prg I</t>
  </si>
  <si>
    <t>Sched 201</t>
  </si>
  <si>
    <t>Line 31</t>
  </si>
  <si>
    <t>Line 33</t>
  </si>
  <si>
    <t>Line 35</t>
  </si>
  <si>
    <t>to all residential &amp; commercial sales</t>
  </si>
  <si>
    <t>I Firm</t>
  </si>
  <si>
    <t>C Firm</t>
  </si>
  <si>
    <t>Interr</t>
  </si>
  <si>
    <t>Prior year</t>
  </si>
  <si>
    <t>for bill impacts only</t>
  </si>
  <si>
    <t>copy from prior year</t>
  </si>
  <si>
    <t>PRIOR YEAR Temporaries</t>
  </si>
  <si>
    <t>Normalized Sales Volumes</t>
  </si>
  <si>
    <t xml:space="preserve">Temporary Adj. </t>
  </si>
  <si>
    <t>For CIS Entry</t>
  </si>
  <si>
    <t>(w/o Sch. 215)</t>
  </si>
  <si>
    <t>Proposed Firm Demand Per Therm 2/</t>
  </si>
  <si>
    <t>Proposed Interruptible Demand 2/</t>
  </si>
  <si>
    <t>Proposed MDDV Demand Charge</t>
  </si>
  <si>
    <t>Current Firm Demand Per Therm</t>
  </si>
  <si>
    <t>Current Interruptible Demand</t>
  </si>
  <si>
    <t>Current MDDV Demand Charge</t>
  </si>
  <si>
    <t>This section used to test Dec 2012 forecast 12-18-12</t>
  </si>
  <si>
    <t>Tualatin Property Gain</t>
  </si>
  <si>
    <t>All sales</t>
  </si>
  <si>
    <t>All firm sales</t>
  </si>
  <si>
    <t>All interruptible sales</t>
  </si>
  <si>
    <t>All Residential and Commercial sales</t>
  </si>
  <si>
    <t>J = I - A</t>
  </si>
  <si>
    <t>Column I</t>
  </si>
  <si>
    <t>Dollars</t>
  </si>
  <si>
    <t>Total Proposed Temporaries</t>
  </si>
  <si>
    <t>Schedule 210</t>
  </si>
  <si>
    <t>Column N</t>
  </si>
  <si>
    <t>186 NET - Combined</t>
  </si>
  <si>
    <t>Total Temps - Combined</t>
  </si>
  <si>
    <t>Schedule 201 - No EE</t>
  </si>
  <si>
    <t>186 NET - No EE</t>
  </si>
  <si>
    <t>Total Temps - No EE</t>
  </si>
  <si>
    <t>186 Adjustment</t>
  </si>
  <si>
    <t>for CIS Entry</t>
  </si>
  <si>
    <t>Rates [2]</t>
  </si>
  <si>
    <t>G=D+E+F</t>
  </si>
  <si>
    <t>H=D+(C * G)</t>
  </si>
  <si>
    <t xml:space="preserve">U </t>
  </si>
  <si>
    <t>V</t>
  </si>
  <si>
    <t>Total Net Temporary Adjustments</t>
  </si>
  <si>
    <t>R&amp;C Energy Eff.</t>
  </si>
  <si>
    <t>R&amp;C EE</t>
  </si>
  <si>
    <t>WA-LIEE and GREAT</t>
  </si>
  <si>
    <t>Schedule 201 &amp; 203</t>
  </si>
  <si>
    <t>Amortization of PGA and Deferred Gas Costs</t>
  </si>
  <si>
    <t>GREAT &amp; LIEE</t>
  </si>
  <si>
    <t>K= D+(C*J)</t>
  </si>
  <si>
    <t>E=B+C+D</t>
  </si>
  <si>
    <t>Total Proposed PGA Temporaries</t>
  </si>
  <si>
    <t>Net Effect of PGA Temps</t>
  </si>
  <si>
    <t>F=E-A</t>
  </si>
  <si>
    <t>PGA Current Temporaries</t>
  </si>
  <si>
    <t>H=sum B thru G</t>
  </si>
  <si>
    <t xml:space="preserve">[1] Rate Schedule 41 and 42 customers may choose demand charges at a volumetric rate or based on MDDV. </t>
  </si>
  <si>
    <t>HOLDING SPOT FOR NEW TEMPS/PERMS</t>
  </si>
  <si>
    <t>(H-M+I+J+L)</t>
  </si>
  <si>
    <t>CIS ENTRY Acct 191 Commodity adjustment only</t>
  </si>
  <si>
    <t>;</t>
  </si>
  <si>
    <t xml:space="preserve">[2] Proposed rates include the effect of removing the current Schedule 215 adjustment and applying the proposed Schedule 215 adjustment.  The rate shown is for illustrative purposes only and assumes no other changes to rates occur November 1.   </t>
  </si>
  <si>
    <t>E = B+C+D</t>
  </si>
  <si>
    <t>F = E-A</t>
  </si>
  <si>
    <t xml:space="preserve">Hold for </t>
  </si>
  <si>
    <t>Permanent</t>
  </si>
  <si>
    <t>Hold for</t>
  </si>
  <si>
    <t>L=I-J+K</t>
  </si>
  <si>
    <t>Total Temps less EE</t>
  </si>
  <si>
    <t>Non-Gas Cost less EE</t>
  </si>
  <si>
    <t>2018-2019 PGA Filing - Washington: September Filing</t>
  </si>
  <si>
    <t>June 18 Volumes</t>
  </si>
  <si>
    <t>2017-18 PGA</t>
  </si>
  <si>
    <t>HoldCo Credit</t>
  </si>
  <si>
    <t>HoldCo</t>
  </si>
  <si>
    <t>All Customers</t>
  </si>
  <si>
    <t>N = D+(C*M)</t>
  </si>
  <si>
    <t>Q=D+(C*P)</t>
  </si>
  <si>
    <t>T=D+(C * S)</t>
  </si>
  <si>
    <t>U=(T - F)/F</t>
  </si>
  <si>
    <t>PGA Forecast 9-4-18.xlsx</t>
  </si>
  <si>
    <t>NWN 2018-19 PGA gas cost file September filing.xls</t>
  </si>
  <si>
    <t>Holding Company Credit</t>
  </si>
  <si>
    <t>Per Stipulated Condition 35 in Order No. 01 in UG-170094</t>
  </si>
  <si>
    <t>Total Permanent Rate Adjustments</t>
  </si>
  <si>
    <t>Residential Customers</t>
  </si>
  <si>
    <t>Commercial Customers</t>
  </si>
  <si>
    <t>Industrial Customers</t>
  </si>
  <si>
    <t>Sched 209</t>
  </si>
  <si>
    <t>Line 41</t>
  </si>
  <si>
    <t>17-18 PGA</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</si>
</sst>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7" formatCode="&quot;$&quot;#,##0.00_);\(&quot;$&quot;#,##0.00\)"/>
    <numFmt numFmtId="44" formatCode="_(&quot;$&quot;* #,##0.00_);_(&quot;$&quot;* \(#,##0.00\);_(&quot;$&quot;* &quot;-&quot;??_);_(@_)"/>
    <numFmt numFmtId="43" formatCode="_(* #,##0.00_);_(* \(#,##0.00\);_(* &quot;-&quot;??_);_(@_)"/>
    <numFmt numFmtId="164" formatCode="0.00_);\(0.00\)"/>
    <numFmt numFmtId="165" formatCode="_(* #,##0.0_);_(* \(#,##0.0\);_(* &quot;-&quot;??_);_(@_)"/>
    <numFmt numFmtId="166" formatCode="0.0%"/>
    <numFmt numFmtId="167" formatCode="_(* #,##0_);_(* \(#,##0\);_(* &quot;-&quot;??_);_(@_)"/>
    <numFmt numFmtId="168" formatCode="&quot;$&quot;#,##0.00000_);\(&quot;$&quot;#,##0.00000\)"/>
    <numFmt numFmtId="169" formatCode="0.000%"/>
    <numFmt numFmtId="170" formatCode="#,##0.0_);\(#,##0.0\)"/>
    <numFmt numFmtId="171" formatCode="#,##0.00000_);\(#,##0.00000\)"/>
    <numFmt numFmtId="172" formatCode="&quot;$&quot;#,##0.00000"/>
    <numFmt numFmtId="173" formatCode="&quot;$&quot;#,##0.00"/>
    <numFmt numFmtId="174" formatCode="#,##0.0"/>
    <numFmt numFmtId="175" formatCode="_(&quot;$&quot;* #,##0.00000_);_(&quot;$&quot;* \(#,##0.00000\);_(&quot;$&quot;* &quot;-&quot;?????_);_(@_)"/>
    <numFmt numFmtId="176" formatCode="mm/dd/yy;@"/>
    <numFmt numFmtId="177" formatCode="_-* #,##0.00\ _D_M_-;\-* #,##0.00\ _D_M_-;_-* &quot;-&quot;??\ _D_M_-;_-@_-"/>
    <numFmt numFmtId="178" formatCode="&quot;$&quot;#,##0"/>
    <numFmt numFmtId="179" formatCode="[$-409]mmmm\ d\,\ yyyy;@"/>
    <numFmt numFmtId="180" formatCode="_-* #,##0.00\ &quot;DM&quot;_-;\-* #,##0.00\ &quot;DM&quot;_-;_-* &quot;-&quot;??\ &quot;DM&quot;_-;_-@_-"/>
    <numFmt numFmtId="181" formatCode="#.00"/>
    <numFmt numFmtId="182" formatCode="#,##0_);\-#,##0_);\-_)"/>
    <numFmt numFmtId="183" formatCode="#,##0.00_);\-#,##0.00_);\-_)"/>
    <numFmt numFmtId="184" formatCode="#,##0.0_);\-#,##0.0_);\-_)"/>
    <numFmt numFmtId="185" formatCode="[$-409]m/d/yy\ h:mm\ AM/PM;@"/>
    <numFmt numFmtId="186" formatCode="&quot;$&quot;#,##0.000000"/>
    <numFmt numFmtId="187" formatCode="0.00000"/>
  </numFmts>
  <fonts count="63" x14ac:knownFonts="1">
    <font>
      <sz val="10"/>
      <name val="Times New Roman"/>
    </font>
    <font>
      <sz val="10"/>
      <name val="Times New Roman"/>
      <family val="1"/>
    </font>
    <font>
      <sz val="8"/>
      <name val="Times New Roman"/>
      <family val="1"/>
    </font>
    <font>
      <sz val="10"/>
      <name val="Arial"/>
      <family val="2"/>
    </font>
    <font>
      <b/>
      <sz val="10"/>
      <name val="Arial"/>
      <family val="2"/>
    </font>
    <font>
      <b/>
      <sz val="9"/>
      <name val="Arial"/>
      <family val="2"/>
    </font>
    <font>
      <sz val="9"/>
      <name val="Arial"/>
      <family val="2"/>
    </font>
    <font>
      <b/>
      <sz val="12"/>
      <name val="Arial"/>
      <family val="2"/>
    </font>
    <font>
      <sz val="10"/>
      <name val="Arial"/>
      <family val="2"/>
    </font>
    <font>
      <sz val="8"/>
      <name val="Arial"/>
      <family val="2"/>
    </font>
    <font>
      <sz val="12"/>
      <name val="Arial"/>
      <family val="2"/>
    </font>
    <font>
      <b/>
      <sz val="11"/>
      <name val="Tahoma"/>
      <family val="2"/>
    </font>
    <font>
      <sz val="10"/>
      <name val="Tahoma"/>
      <family val="2"/>
    </font>
    <font>
      <sz val="8"/>
      <name val="Tahoma"/>
      <family val="2"/>
    </font>
    <font>
      <b/>
      <sz val="10"/>
      <name val="Tahoma"/>
      <family val="2"/>
    </font>
    <font>
      <sz val="9"/>
      <name val="Tahoma"/>
      <family val="2"/>
    </font>
    <font>
      <b/>
      <u/>
      <sz val="10"/>
      <name val="Tahoma"/>
      <family val="2"/>
    </font>
    <font>
      <sz val="10"/>
      <color indexed="12"/>
      <name val="Tahoma"/>
      <family val="2"/>
    </font>
    <font>
      <b/>
      <sz val="10"/>
      <color indexed="12"/>
      <name val="Tahoma"/>
      <family val="2"/>
    </font>
    <font>
      <sz val="8"/>
      <color indexed="12"/>
      <name val="Tahoma"/>
      <family val="2"/>
    </font>
    <font>
      <sz val="11"/>
      <name val="Tahoma"/>
      <family val="2"/>
    </font>
    <font>
      <b/>
      <sz val="9"/>
      <name val="Tahoma"/>
      <family val="2"/>
    </font>
    <font>
      <b/>
      <sz val="12"/>
      <color indexed="12"/>
      <name val="Tahoma"/>
      <family val="2"/>
    </font>
    <font>
      <b/>
      <sz val="11"/>
      <color indexed="12"/>
      <name val="Tahoma"/>
      <family val="2"/>
    </font>
    <font>
      <b/>
      <sz val="12"/>
      <name val="Tahoma"/>
      <family val="2"/>
    </font>
    <font>
      <sz val="9"/>
      <color indexed="12"/>
      <name val="Tahoma"/>
      <family val="2"/>
    </font>
    <font>
      <b/>
      <sz val="10"/>
      <color indexed="10"/>
      <name val="Tahoma"/>
      <family val="2"/>
    </font>
    <font>
      <u/>
      <sz val="10"/>
      <name val="Tahoma"/>
      <family val="2"/>
    </font>
    <font>
      <b/>
      <sz val="10"/>
      <color indexed="48"/>
      <name val="Tahoma"/>
      <family val="2"/>
    </font>
    <font>
      <sz val="10"/>
      <name val="Tahoma"/>
      <family val="2"/>
    </font>
    <font>
      <b/>
      <i/>
      <sz val="12"/>
      <name val="Tahoma"/>
      <family val="2"/>
    </font>
    <font>
      <sz val="10"/>
      <color indexed="8"/>
      <name val="Tahoma"/>
      <family val="2"/>
    </font>
    <font>
      <sz val="10"/>
      <color indexed="8"/>
      <name val="Tahoma"/>
      <family val="2"/>
    </font>
    <font>
      <b/>
      <sz val="10"/>
      <color indexed="10"/>
      <name val="Tahoma"/>
      <family val="2"/>
    </font>
    <font>
      <b/>
      <sz val="9"/>
      <color indexed="10"/>
      <name val="Tahoma"/>
      <family val="2"/>
    </font>
    <font>
      <b/>
      <sz val="11"/>
      <name val="Arial"/>
      <family val="2"/>
    </font>
    <font>
      <b/>
      <sz val="8"/>
      <name val="Tahoma"/>
      <family val="2"/>
    </font>
    <font>
      <sz val="10"/>
      <color rgb="FF0000FF"/>
      <name val="Tahoma"/>
      <family val="2"/>
    </font>
    <font>
      <sz val="9"/>
      <color rgb="FF0000FF"/>
      <name val="Tahoma"/>
      <family val="2"/>
    </font>
    <font>
      <sz val="10"/>
      <color indexed="12"/>
      <name val="Arial"/>
      <family val="2"/>
    </font>
    <font>
      <sz val="11"/>
      <color indexed="8"/>
      <name val="Calibri"/>
      <family val="2"/>
    </font>
    <font>
      <sz val="11"/>
      <color indexed="9"/>
      <name val="Calibri"/>
      <family val="2"/>
    </font>
    <font>
      <b/>
      <sz val="9"/>
      <color indexed="18"/>
      <name val="Arial"/>
      <family val="2"/>
    </font>
    <font>
      <sz val="10"/>
      <name val="MS Sans Serif"/>
      <family val="2"/>
    </font>
    <font>
      <b/>
      <sz val="14"/>
      <color indexed="8"/>
      <name val="Arial"/>
      <family val="2"/>
    </font>
    <font>
      <b/>
      <sz val="11"/>
      <color indexed="8"/>
      <name val="Calibri"/>
      <family val="2"/>
    </font>
    <font>
      <sz val="1"/>
      <color indexed="8"/>
      <name val="Courier"/>
      <family val="3"/>
    </font>
    <font>
      <b/>
      <sz val="1"/>
      <color indexed="8"/>
      <name val="Courier"/>
      <family val="3"/>
    </font>
    <font>
      <b/>
      <sz val="8"/>
      <color indexed="18"/>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18"/>
      <name val="Arial"/>
      <family val="2"/>
    </font>
    <font>
      <sz val="9"/>
      <color indexed="29"/>
      <name val="Arial"/>
      <family val="2"/>
    </font>
    <font>
      <b/>
      <sz val="9"/>
      <color indexed="29"/>
      <name val="Arial"/>
      <family val="2"/>
    </font>
    <font>
      <sz val="8"/>
      <color indexed="12"/>
      <name val="Arial"/>
      <family val="2"/>
    </font>
    <font>
      <sz val="10"/>
      <color rgb="FFFF0000"/>
      <name val="Tahoma"/>
      <family val="2"/>
    </font>
    <font>
      <u/>
      <sz val="10"/>
      <color rgb="FF0000FF"/>
      <name val="Tahoma"/>
      <family val="2"/>
    </font>
  </fonts>
  <fills count="5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indexed="44"/>
        <bgColor indexed="64"/>
      </patternFill>
    </fill>
    <fill>
      <patternFill patternType="solid">
        <fgColor rgb="FFFFFF99"/>
        <bgColor indexed="64"/>
      </patternFill>
    </fill>
    <fill>
      <patternFill patternType="solid">
        <fgColor indexed="45"/>
        <bgColor indexed="64"/>
      </patternFill>
    </fill>
    <fill>
      <patternFill patternType="solid">
        <fgColor theme="3" tint="0.79998168889431442"/>
        <bgColor indexed="64"/>
      </patternFill>
    </fill>
    <fill>
      <patternFill patternType="solid">
        <fgColor indexed="47"/>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2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FFCD2D"/>
        <bgColor indexed="64"/>
      </patternFill>
    </fill>
    <fill>
      <patternFill patternType="solid">
        <fgColor rgb="FFFF0000"/>
        <bgColor indexed="64"/>
      </patternFill>
    </fill>
    <fill>
      <patternFill patternType="solid">
        <fgColor rgb="FFF0B8B7"/>
        <bgColor indexed="64"/>
      </patternFill>
    </fill>
  </fills>
  <borders count="90">
    <border>
      <left/>
      <right/>
      <top/>
      <bottom/>
      <diagonal/>
    </border>
    <border>
      <left style="thin">
        <color indexed="22"/>
      </left>
      <right style="thin">
        <color indexed="22"/>
      </right>
      <top style="thin">
        <color indexed="22"/>
      </top>
      <bottom style="thin">
        <color indexed="22"/>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22"/>
      </left>
      <right style="thin">
        <color indexed="22"/>
      </right>
      <top style="thin">
        <color indexed="22"/>
      </top>
      <bottom/>
      <diagonal/>
    </border>
    <border>
      <left style="thin">
        <color indexed="22"/>
      </left>
      <right/>
      <top/>
      <bottom/>
      <diagonal/>
    </border>
    <border>
      <left/>
      <right style="thin">
        <color indexed="22"/>
      </right>
      <top/>
      <bottom/>
      <diagonal/>
    </border>
    <border>
      <left style="thick">
        <color indexed="8"/>
      </left>
      <right style="thin">
        <color indexed="22"/>
      </right>
      <top style="thick">
        <color indexed="8"/>
      </top>
      <bottom style="thin">
        <color indexed="22"/>
      </bottom>
      <diagonal/>
    </border>
    <border>
      <left style="thin">
        <color indexed="22"/>
      </left>
      <right style="thin">
        <color indexed="22"/>
      </right>
      <top style="thick">
        <color indexed="8"/>
      </top>
      <bottom style="thin">
        <color indexed="22"/>
      </bottom>
      <diagonal/>
    </border>
    <border>
      <left style="thin">
        <color indexed="22"/>
      </left>
      <right style="thick">
        <color indexed="8"/>
      </right>
      <top style="thick">
        <color indexed="8"/>
      </top>
      <bottom style="thin">
        <color indexed="22"/>
      </bottom>
      <diagonal/>
    </border>
    <border>
      <left/>
      <right/>
      <top style="thick">
        <color indexed="8"/>
      </top>
      <bottom style="thin">
        <color indexed="22"/>
      </bottom>
      <diagonal/>
    </border>
    <border>
      <left/>
      <right style="thin">
        <color indexed="22"/>
      </right>
      <top style="thick">
        <color indexed="8"/>
      </top>
      <bottom style="thin">
        <color indexed="22"/>
      </bottom>
      <diagonal/>
    </border>
    <border>
      <left style="thick">
        <color indexed="8"/>
      </left>
      <right style="thin">
        <color indexed="22"/>
      </right>
      <top style="thin">
        <color indexed="22"/>
      </top>
      <bottom style="thin">
        <color indexed="22"/>
      </bottom>
      <diagonal/>
    </border>
    <border>
      <left style="thin">
        <color indexed="22"/>
      </left>
      <right style="thick">
        <color indexed="8"/>
      </right>
      <top style="thin">
        <color indexed="22"/>
      </top>
      <bottom style="thin">
        <color indexed="22"/>
      </bottom>
      <diagonal/>
    </border>
    <border>
      <left style="thick">
        <color indexed="8"/>
      </left>
      <right style="thin">
        <color indexed="22"/>
      </right>
      <top style="thin">
        <color indexed="22"/>
      </top>
      <bottom/>
      <diagonal/>
    </border>
    <border>
      <left style="thin">
        <color indexed="22"/>
      </left>
      <right style="thick">
        <color indexed="8"/>
      </right>
      <top style="thin">
        <color indexed="22"/>
      </top>
      <bottom/>
      <diagonal/>
    </border>
    <border>
      <left style="thick">
        <color indexed="8"/>
      </left>
      <right style="thin">
        <color indexed="22"/>
      </right>
      <top style="thin">
        <color indexed="22"/>
      </top>
      <bottom style="thick">
        <color indexed="8"/>
      </bottom>
      <diagonal/>
    </border>
    <border>
      <left style="thin">
        <color indexed="22"/>
      </left>
      <right style="thin">
        <color indexed="22"/>
      </right>
      <top style="thin">
        <color indexed="22"/>
      </top>
      <bottom style="thick">
        <color indexed="8"/>
      </bottom>
      <diagonal/>
    </border>
    <border>
      <left style="thin">
        <color indexed="22"/>
      </left>
      <right style="thick">
        <color indexed="8"/>
      </right>
      <top style="thin">
        <color indexed="22"/>
      </top>
      <bottom style="thick">
        <color indexed="8"/>
      </bottom>
      <diagonal/>
    </border>
    <border>
      <left style="thick">
        <color indexed="8"/>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thick">
        <color indexed="8"/>
      </right>
      <top/>
      <bottom style="thin">
        <color indexed="22"/>
      </bottom>
      <diagonal/>
    </border>
    <border>
      <left style="thick">
        <color indexed="8"/>
      </left>
      <right style="thin">
        <color indexed="22"/>
      </right>
      <top/>
      <bottom/>
      <diagonal/>
    </border>
    <border>
      <left style="thin">
        <color indexed="22"/>
      </left>
      <right style="thin">
        <color indexed="22"/>
      </right>
      <top/>
      <bottom/>
      <diagonal/>
    </border>
    <border>
      <left style="thin">
        <color indexed="22"/>
      </left>
      <right style="thick">
        <color indexed="8"/>
      </right>
      <top/>
      <bottom/>
      <diagonal/>
    </border>
    <border>
      <left style="thick">
        <color indexed="8"/>
      </left>
      <right style="thin">
        <color indexed="22"/>
      </right>
      <top/>
      <bottom style="thick">
        <color indexed="8"/>
      </bottom>
      <diagonal/>
    </border>
    <border>
      <left style="thin">
        <color indexed="22"/>
      </left>
      <right style="thin">
        <color indexed="22"/>
      </right>
      <top/>
      <bottom style="thick">
        <color indexed="8"/>
      </bottom>
      <diagonal/>
    </border>
    <border>
      <left style="thick">
        <color indexed="8"/>
      </left>
      <right/>
      <top style="thin">
        <color indexed="22"/>
      </top>
      <bottom style="thin">
        <color indexed="22"/>
      </bottom>
      <diagonal/>
    </border>
    <border>
      <left style="thick">
        <color indexed="8"/>
      </left>
      <right/>
      <top style="thin">
        <color indexed="22"/>
      </top>
      <bottom style="thick">
        <color indexed="8"/>
      </bottom>
      <diagonal/>
    </border>
    <border>
      <left style="thick">
        <color indexed="8"/>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thick">
        <color indexed="8"/>
      </right>
      <top/>
      <bottom style="medium">
        <color indexed="64"/>
      </bottom>
      <diagonal/>
    </border>
    <border>
      <left style="medium">
        <color indexed="64"/>
      </left>
      <right/>
      <top style="medium">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28"/>
      </left>
      <right/>
      <top/>
      <bottom style="thin">
        <color indexed="28"/>
      </bottom>
      <diagonal/>
    </border>
  </borders>
  <cellStyleXfs count="101">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9" fillId="0" borderId="0"/>
    <xf numFmtId="3" fontId="8" fillId="0" borderId="0"/>
    <xf numFmtId="9" fontId="1" fillId="0" borderId="0" applyFont="0" applyFill="0" applyBorder="0" applyAlignment="0" applyProtection="0"/>
    <xf numFmtId="0" fontId="3" fillId="0" borderId="0"/>
    <xf numFmtId="177" fontId="3" fillId="0" borderId="0" applyFont="0" applyFill="0" applyBorder="0" applyAlignment="0" applyProtection="0"/>
    <xf numFmtId="9" fontId="3" fillId="0" borderId="0" applyFont="0" applyFill="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1"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1"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1" fillId="19"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1" fillId="19"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1" fillId="12" borderId="0" applyNumberFormat="0" applyBorder="0" applyAlignment="0" applyProtection="0"/>
    <xf numFmtId="0" fontId="40" fillId="20" borderId="0" applyNumberFormat="0" applyBorder="0" applyAlignment="0" applyProtection="0"/>
    <xf numFmtId="0" fontId="40" fillId="15" borderId="0" applyNumberFormat="0" applyBorder="0" applyAlignment="0" applyProtection="0"/>
    <xf numFmtId="0" fontId="41" fillId="21" borderId="0" applyNumberFormat="0" applyBorder="0" applyAlignment="0" applyProtection="0"/>
    <xf numFmtId="1" fontId="42" fillId="0" borderId="26">
      <alignment vertical="top"/>
    </xf>
    <xf numFmtId="43" fontId="4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alignment vertical="top"/>
    </xf>
    <xf numFmtId="179" fontId="3" fillId="0" borderId="0" applyFont="0" applyFill="0" applyBorder="0" applyAlignment="0" applyProtection="0">
      <alignment vertical="top"/>
    </xf>
    <xf numFmtId="174" fontId="44" fillId="0" borderId="0"/>
    <xf numFmtId="5" fontId="3" fillId="0" borderId="0">
      <alignment vertical="top"/>
    </xf>
    <xf numFmtId="44" fontId="43" fillId="0" borderId="0" applyFont="0" applyFill="0" applyBorder="0" applyAlignment="0" applyProtection="0"/>
    <xf numFmtId="44" fontId="3" fillId="0" borderId="0" applyFont="0" applyFill="0" applyBorder="0" applyAlignment="0" applyProtection="0"/>
    <xf numFmtId="180" fontId="3" fillId="0" borderId="0" applyFont="0" applyFill="0" applyBorder="0" applyAlignment="0" applyProtection="0"/>
    <xf numFmtId="5" fontId="3" fillId="0" borderId="0" applyFont="0" applyFill="0" applyBorder="0" applyAlignment="0" applyProtection="0">
      <alignment vertical="top"/>
    </xf>
    <xf numFmtId="179" fontId="3" fillId="0" borderId="0">
      <alignment vertical="top"/>
    </xf>
    <xf numFmtId="15" fontId="3" fillId="0" borderId="0" applyFont="0" applyFill="0" applyBorder="0" applyAlignment="0" applyProtection="0">
      <alignment vertical="top"/>
    </xf>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181" fontId="46" fillId="0" borderId="0">
      <protection locked="0"/>
    </xf>
    <xf numFmtId="174" fontId="9" fillId="0" borderId="0"/>
    <xf numFmtId="0" fontId="47" fillId="0" borderId="0">
      <protection locked="0"/>
    </xf>
    <xf numFmtId="0" fontId="47" fillId="0" borderId="0">
      <protection locked="0"/>
    </xf>
    <xf numFmtId="182" fontId="9" fillId="0" borderId="0"/>
    <xf numFmtId="183" fontId="9" fillId="0" borderId="0"/>
    <xf numFmtId="0" fontId="43" fillId="0" borderId="0"/>
    <xf numFmtId="10" fontId="3" fillId="0" borderId="0" applyFont="0" applyFill="0" applyBorder="0" applyAlignment="0" applyProtection="0">
      <alignment vertical="top"/>
    </xf>
    <xf numFmtId="184" fontId="48" fillId="0" borderId="0"/>
    <xf numFmtId="4" fontId="49" fillId="25" borderId="87" applyNumberFormat="0" applyProtection="0">
      <alignment vertical="center"/>
    </xf>
    <xf numFmtId="4" fontId="50" fillId="25" borderId="87" applyNumberFormat="0" applyProtection="0">
      <alignment vertical="center"/>
    </xf>
    <xf numFmtId="4" fontId="49" fillId="25" borderId="87" applyNumberFormat="0" applyProtection="0">
      <alignment horizontal="left" vertical="center" indent="1"/>
    </xf>
    <xf numFmtId="0" fontId="49" fillId="25" borderId="87" applyNumberFormat="0" applyProtection="0">
      <alignment horizontal="left" vertical="top" indent="1"/>
    </xf>
    <xf numFmtId="4" fontId="49" fillId="26" borderId="0" applyNumberFormat="0" applyProtection="0">
      <alignment horizontal="left" vertical="center" indent="1"/>
    </xf>
    <xf numFmtId="4" fontId="51" fillId="27" borderId="87" applyNumberFormat="0" applyProtection="0">
      <alignment horizontal="right" vertical="center"/>
    </xf>
    <xf numFmtId="4" fontId="51" fillId="28" borderId="87" applyNumberFormat="0" applyProtection="0">
      <alignment horizontal="right" vertical="center"/>
    </xf>
    <xf numFmtId="4" fontId="51" fillId="29" borderId="87" applyNumberFormat="0" applyProtection="0">
      <alignment horizontal="right" vertical="center"/>
    </xf>
    <xf numFmtId="4" fontId="51" fillId="30" borderId="87" applyNumberFormat="0" applyProtection="0">
      <alignment horizontal="right" vertical="center"/>
    </xf>
    <xf numFmtId="4" fontId="51" fillId="31" borderId="87" applyNumberFormat="0" applyProtection="0">
      <alignment horizontal="right" vertical="center"/>
    </xf>
    <xf numFmtId="4" fontId="51" fillId="32" borderId="87" applyNumberFormat="0" applyProtection="0">
      <alignment horizontal="right" vertical="center"/>
    </xf>
    <xf numFmtId="4" fontId="51" fillId="33" borderId="87" applyNumberFormat="0" applyProtection="0">
      <alignment horizontal="right" vertical="center"/>
    </xf>
    <xf numFmtId="4" fontId="51" fillId="34" borderId="87" applyNumberFormat="0" applyProtection="0">
      <alignment horizontal="right" vertical="center"/>
    </xf>
    <xf numFmtId="4" fontId="51" fillId="35" borderId="87" applyNumberFormat="0" applyProtection="0">
      <alignment horizontal="right" vertical="center"/>
    </xf>
    <xf numFmtId="4" fontId="49" fillId="36" borderId="88" applyNumberFormat="0" applyProtection="0">
      <alignment horizontal="left" vertical="center" indent="1"/>
    </xf>
    <xf numFmtId="4" fontId="51" fillId="37" borderId="0" applyNumberFormat="0" applyProtection="0">
      <alignment horizontal="left" vertical="center" indent="1"/>
    </xf>
    <xf numFmtId="4" fontId="52" fillId="38" borderId="0" applyNumberFormat="0" applyProtection="0">
      <alignment horizontal="left" vertical="center" indent="1"/>
    </xf>
    <xf numFmtId="4" fontId="51" fillId="26" borderId="87" applyNumberFormat="0" applyProtection="0">
      <alignment horizontal="right" vertical="center"/>
    </xf>
    <xf numFmtId="4" fontId="51" fillId="37" borderId="0" applyNumberFormat="0" applyProtection="0">
      <alignment horizontal="left" vertical="center" indent="1"/>
    </xf>
    <xf numFmtId="4" fontId="51" fillId="26" borderId="0" applyNumberFormat="0" applyProtection="0">
      <alignment horizontal="left" vertical="center" indent="1"/>
    </xf>
    <xf numFmtId="0" fontId="3" fillId="38" borderId="87" applyNumberFormat="0" applyProtection="0">
      <alignment horizontal="left" vertical="center" indent="1"/>
    </xf>
    <xf numFmtId="0" fontId="3" fillId="38" borderId="87" applyNumberFormat="0" applyProtection="0">
      <alignment horizontal="left" vertical="top" indent="1"/>
    </xf>
    <xf numFmtId="0" fontId="3" fillId="26" borderId="87" applyNumberFormat="0" applyProtection="0">
      <alignment horizontal="left" vertical="center" indent="1"/>
    </xf>
    <xf numFmtId="0" fontId="3" fillId="26" borderId="87" applyNumberFormat="0" applyProtection="0">
      <alignment horizontal="left" vertical="top" indent="1"/>
    </xf>
    <xf numFmtId="0" fontId="3" fillId="39" borderId="87" applyNumberFormat="0" applyProtection="0">
      <alignment horizontal="left" vertical="center" indent="1"/>
    </xf>
    <xf numFmtId="0" fontId="3" fillId="39" borderId="87" applyNumberFormat="0" applyProtection="0">
      <alignment horizontal="left" vertical="top" indent="1"/>
    </xf>
    <xf numFmtId="0" fontId="3" fillId="37" borderId="87" applyNumberFormat="0" applyProtection="0">
      <alignment horizontal="left" vertical="center" indent="1"/>
    </xf>
    <xf numFmtId="0" fontId="3" fillId="37" borderId="87" applyNumberFormat="0" applyProtection="0">
      <alignment horizontal="left" vertical="top" indent="1"/>
    </xf>
    <xf numFmtId="179" fontId="3" fillId="40" borderId="40" applyNumberFormat="0">
      <protection locked="0"/>
    </xf>
    <xf numFmtId="4" fontId="51" fillId="41" borderId="87" applyNumberFormat="0" applyProtection="0">
      <alignment vertical="center"/>
    </xf>
    <xf numFmtId="4" fontId="53" fillId="41" borderId="87" applyNumberFormat="0" applyProtection="0">
      <alignment vertical="center"/>
    </xf>
    <xf numFmtId="4" fontId="51" fillId="41" borderId="87" applyNumberFormat="0" applyProtection="0">
      <alignment horizontal="left" vertical="center" indent="1"/>
    </xf>
    <xf numFmtId="0" fontId="51" fillId="41" borderId="87" applyNumberFormat="0" applyProtection="0">
      <alignment horizontal="left" vertical="top" indent="1"/>
    </xf>
    <xf numFmtId="4" fontId="51" fillId="37" borderId="87" applyNumberFormat="0" applyProtection="0">
      <alignment horizontal="right" vertical="center"/>
    </xf>
    <xf numFmtId="4" fontId="53" fillId="37" borderId="87" applyNumberFormat="0" applyProtection="0">
      <alignment horizontal="right" vertical="center"/>
    </xf>
    <xf numFmtId="4" fontId="51" fillId="26" borderId="87" applyNumberFormat="0" applyProtection="0">
      <alignment horizontal="left" vertical="center" indent="1"/>
    </xf>
    <xf numFmtId="0" fontId="51" fillId="26" borderId="87" applyNumberFormat="0" applyProtection="0">
      <alignment horizontal="left" vertical="top" indent="1"/>
    </xf>
    <xf numFmtId="4" fontId="54" fillId="42" borderId="0" applyNumberFormat="0" applyProtection="0">
      <alignment horizontal="left" vertical="center" indent="1"/>
    </xf>
    <xf numFmtId="4" fontId="55" fillId="37" borderId="87" applyNumberFormat="0" applyProtection="0">
      <alignment horizontal="right" vertical="center"/>
    </xf>
    <xf numFmtId="0" fontId="56" fillId="0" borderId="0" applyNumberFormat="0" applyFill="0" applyBorder="0" applyAlignment="0" applyProtection="0"/>
    <xf numFmtId="184" fontId="57" fillId="0" borderId="0"/>
    <xf numFmtId="174" fontId="7" fillId="0" borderId="0"/>
    <xf numFmtId="184" fontId="58" fillId="43" borderId="0" applyFont="0" applyBorder="0" applyAlignment="0">
      <alignment vertical="top" wrapText="1"/>
    </xf>
    <xf numFmtId="184" fontId="59" fillId="43" borderId="89" applyBorder="0">
      <alignment horizontal="right" vertical="top" wrapText="1"/>
    </xf>
    <xf numFmtId="184" fontId="42" fillId="0" borderId="36" applyAlignment="0">
      <alignment horizontal="right"/>
    </xf>
    <xf numFmtId="182" fontId="42" fillId="0" borderId="36" applyAlignment="0"/>
    <xf numFmtId="183" fontId="42" fillId="0" borderId="36" applyAlignment="0"/>
    <xf numFmtId="0" fontId="5" fillId="0" borderId="36" applyFont="0" applyFill="0" applyBorder="0" applyAlignment="0" applyProtection="0"/>
  </cellStyleXfs>
  <cellXfs count="728">
    <xf numFmtId="0" fontId="0" fillId="0" borderId="0" xfId="0"/>
    <xf numFmtId="0" fontId="11" fillId="0" borderId="0" xfId="0" applyFont="1" applyBorder="1"/>
    <xf numFmtId="0" fontId="12" fillId="0" borderId="0" xfId="0" applyFont="1"/>
    <xf numFmtId="0" fontId="12" fillId="0" borderId="0" xfId="0" applyFont="1" applyBorder="1"/>
    <xf numFmtId="0" fontId="13" fillId="0" borderId="0" xfId="0" applyFont="1" applyBorder="1" applyAlignment="1">
      <alignment horizontal="center"/>
    </xf>
    <xf numFmtId="0" fontId="14" fillId="0" borderId="0" xfId="0" applyFont="1" applyAlignment="1">
      <alignment horizontal="center"/>
    </xf>
    <xf numFmtId="14" fontId="14" fillId="0" borderId="0" xfId="0" applyNumberFormat="1" applyFont="1" applyAlignment="1">
      <alignment horizontal="center"/>
    </xf>
    <xf numFmtId="0" fontId="14" fillId="0" borderId="13" xfId="0" applyFont="1" applyBorder="1" applyAlignment="1">
      <alignment horizontal="center" wrapText="1"/>
    </xf>
    <xf numFmtId="0" fontId="14" fillId="0" borderId="0" xfId="0" applyFont="1" applyBorder="1" applyAlignment="1">
      <alignment horizontal="right"/>
    </xf>
    <xf numFmtId="0" fontId="14" fillId="0" borderId="0" xfId="0" applyFont="1" applyAlignment="1">
      <alignment horizontal="right"/>
    </xf>
    <xf numFmtId="0" fontId="14" fillId="0" borderId="0" xfId="0" applyFont="1" applyBorder="1" applyAlignment="1">
      <alignment horizontal="center"/>
    </xf>
    <xf numFmtId="0" fontId="15" fillId="0" borderId="10" xfId="0" applyFont="1" applyFill="1" applyBorder="1" applyAlignment="1">
      <alignment horizontal="center"/>
    </xf>
    <xf numFmtId="0" fontId="14" fillId="0" borderId="15" xfId="0" applyFont="1" applyBorder="1" applyAlignment="1">
      <alignment horizontal="center"/>
    </xf>
    <xf numFmtId="0" fontId="15" fillId="0" borderId="29" xfId="0" applyFont="1" applyFill="1" applyBorder="1" applyAlignment="1">
      <alignment horizontal="center"/>
    </xf>
    <xf numFmtId="171" fontId="12" fillId="0" borderId="15" xfId="0" applyNumberFormat="1" applyFont="1" applyBorder="1"/>
    <xf numFmtId="0" fontId="13" fillId="0" borderId="29" xfId="0" applyFont="1" applyFill="1" applyBorder="1" applyAlignment="1">
      <alignment horizontal="center"/>
    </xf>
    <xf numFmtId="0" fontId="12" fillId="0" borderId="29" xfId="0" applyFont="1" applyFill="1" applyBorder="1" applyAlignment="1">
      <alignment horizontal="center"/>
    </xf>
    <xf numFmtId="0" fontId="15" fillId="0" borderId="0" xfId="0" applyFont="1" applyFill="1" applyBorder="1" applyAlignment="1">
      <alignment horizontal="center"/>
    </xf>
    <xf numFmtId="164" fontId="15" fillId="0" borderId="0" xfId="0" applyNumberFormat="1" applyFont="1" applyFill="1" applyBorder="1" applyAlignment="1">
      <alignment horizontal="center"/>
    </xf>
    <xf numFmtId="39" fontId="12" fillId="0" borderId="0" xfId="0" applyNumberFormat="1" applyFont="1" applyBorder="1"/>
    <xf numFmtId="171" fontId="12" fillId="0" borderId="0" xfId="0" applyNumberFormat="1" applyFont="1" applyBorder="1"/>
    <xf numFmtId="0" fontId="15" fillId="0" borderId="15" xfId="0" applyFont="1" applyFill="1" applyBorder="1" applyAlignment="1">
      <alignment horizontal="center"/>
    </xf>
    <xf numFmtId="164" fontId="15" fillId="0" borderId="15" xfId="0" applyNumberFormat="1" applyFont="1" applyFill="1" applyBorder="1" applyAlignment="1">
      <alignment horizontal="center"/>
    </xf>
    <xf numFmtId="171" fontId="12" fillId="0" borderId="29" xfId="0" applyNumberFormat="1" applyFont="1" applyFill="1" applyBorder="1" applyAlignment="1"/>
    <xf numFmtId="171" fontId="12" fillId="0" borderId="15" xfId="0" applyNumberFormat="1" applyFont="1" applyFill="1" applyBorder="1" applyAlignment="1"/>
    <xf numFmtId="171" fontId="12" fillId="0" borderId="15" xfId="0" applyNumberFormat="1" applyFont="1" applyBorder="1" applyAlignment="1"/>
    <xf numFmtId="0" fontId="16" fillId="0" borderId="0" xfId="0" applyFont="1"/>
    <xf numFmtId="0" fontId="14" fillId="0" borderId="34" xfId="0" applyFont="1" applyBorder="1"/>
    <xf numFmtId="0" fontId="12" fillId="0" borderId="31" xfId="0" applyFont="1" applyBorder="1"/>
    <xf numFmtId="0" fontId="12" fillId="2" borderId="31" xfId="0" applyFont="1" applyFill="1" applyBorder="1"/>
    <xf numFmtId="0" fontId="12" fillId="0" borderId="31" xfId="0" applyFont="1" applyFill="1" applyBorder="1" applyAlignment="1">
      <alignment horizontal="center"/>
    </xf>
    <xf numFmtId="0" fontId="13" fillId="0" borderId="0" xfId="0" applyFont="1" applyBorder="1"/>
    <xf numFmtId="0" fontId="11" fillId="0" borderId="0" xfId="0" applyFont="1"/>
    <xf numFmtId="0" fontId="12" fillId="0" borderId="0" xfId="0" applyFont="1" applyAlignment="1">
      <alignment horizontal="center"/>
    </xf>
    <xf numFmtId="37" fontId="17" fillId="0" borderId="0" xfId="0" applyNumberFormat="1" applyFont="1"/>
    <xf numFmtId="0" fontId="14" fillId="0" borderId="0" xfId="0" applyFont="1"/>
    <xf numFmtId="168" fontId="17" fillId="0" borderId="0" xfId="0" applyNumberFormat="1" applyFont="1" applyFill="1"/>
    <xf numFmtId="37" fontId="17" fillId="0" borderId="0" xfId="0" applyNumberFormat="1" applyFont="1" applyFill="1"/>
    <xf numFmtId="7" fontId="17" fillId="0" borderId="0" xfId="0" applyNumberFormat="1" applyFont="1" applyFill="1"/>
    <xf numFmtId="169" fontId="17" fillId="0" borderId="0" xfId="0" applyNumberFormat="1" applyFont="1" applyFill="1"/>
    <xf numFmtId="0" fontId="17" fillId="0" borderId="0" xfId="0" applyFont="1"/>
    <xf numFmtId="0" fontId="14" fillId="0" borderId="0" xfId="0" quotePrefix="1" applyFont="1" applyAlignment="1">
      <alignment horizontal="center"/>
    </xf>
    <xf numFmtId="0" fontId="17" fillId="0" borderId="0" xfId="0" applyFont="1" applyAlignment="1">
      <alignment horizontal="center"/>
    </xf>
    <xf numFmtId="0" fontId="12" fillId="0" borderId="0" xfId="0" applyFont="1" applyBorder="1" applyAlignment="1">
      <alignment horizontal="center"/>
    </xf>
    <xf numFmtId="37" fontId="14" fillId="0" borderId="35" xfId="0" applyNumberFormat="1" applyFont="1" applyBorder="1" applyAlignment="1">
      <alignment horizontal="centerContinuous"/>
    </xf>
    <xf numFmtId="0" fontId="14" fillId="0" borderId="36" xfId="0" applyNumberFormat="1" applyFont="1" applyBorder="1" applyAlignment="1">
      <alignment horizontal="centerContinuous"/>
    </xf>
    <xf numFmtId="0" fontId="12" fillId="0" borderId="37" xfId="0" applyFont="1" applyBorder="1" applyAlignment="1">
      <alignment horizontal="centerContinuous"/>
    </xf>
    <xf numFmtId="0" fontId="12" fillId="0" borderId="33" xfId="0" applyFont="1" applyBorder="1"/>
    <xf numFmtId="37" fontId="17" fillId="0" borderId="38" xfId="0" applyNumberFormat="1" applyFont="1" applyBorder="1"/>
    <xf numFmtId="0" fontId="12" fillId="0" borderId="39" xfId="0" applyFont="1" applyBorder="1"/>
    <xf numFmtId="169" fontId="12" fillId="0" borderId="38" xfId="6" applyNumberFormat="1" applyFont="1" applyBorder="1" applyAlignment="1">
      <alignment horizontal="right"/>
    </xf>
    <xf numFmtId="0" fontId="12" fillId="0" borderId="31" xfId="0" applyFont="1" applyBorder="1" applyAlignment="1">
      <alignment horizontal="left"/>
    </xf>
    <xf numFmtId="0" fontId="12" fillId="0" borderId="13" xfId="0" applyFont="1" applyBorder="1" applyAlignment="1">
      <alignment horizontal="center"/>
    </xf>
    <xf numFmtId="0" fontId="12" fillId="0" borderId="21" xfId="0" applyFont="1" applyBorder="1"/>
    <xf numFmtId="37" fontId="14" fillId="0" borderId="25" xfId="0" applyNumberFormat="1" applyFont="1" applyBorder="1"/>
    <xf numFmtId="37" fontId="12" fillId="0" borderId="26" xfId="0" applyNumberFormat="1" applyFont="1" applyBorder="1"/>
    <xf numFmtId="37" fontId="12" fillId="0" borderId="27" xfId="0" applyNumberFormat="1" applyFont="1" applyBorder="1"/>
    <xf numFmtId="0" fontId="14" fillId="2" borderId="3" xfId="0" applyFont="1" applyFill="1" applyBorder="1" applyAlignment="1">
      <alignment horizontal="right"/>
    </xf>
    <xf numFmtId="0" fontId="14" fillId="0" borderId="5" xfId="0" applyFont="1" applyBorder="1" applyAlignment="1">
      <alignment horizontal="center"/>
    </xf>
    <xf numFmtId="0" fontId="14" fillId="0" borderId="9" xfId="0" applyFont="1" applyBorder="1" applyAlignment="1">
      <alignment horizontal="center"/>
    </xf>
    <xf numFmtId="0" fontId="12" fillId="0" borderId="10" xfId="0" applyFont="1" applyFill="1" applyBorder="1" applyAlignment="1">
      <alignment horizontal="center"/>
    </xf>
    <xf numFmtId="0" fontId="14" fillId="2" borderId="17" xfId="0" applyFont="1" applyFill="1" applyBorder="1" applyAlignment="1">
      <alignment horizontal="center"/>
    </xf>
    <xf numFmtId="0" fontId="14" fillId="0" borderId="6" xfId="0" applyFont="1" applyBorder="1" applyAlignment="1">
      <alignment horizontal="center"/>
    </xf>
    <xf numFmtId="0" fontId="14" fillId="0" borderId="12" xfId="0" applyFont="1" applyBorder="1" applyAlignment="1">
      <alignment horizontal="center"/>
    </xf>
    <xf numFmtId="37" fontId="12" fillId="0" borderId="15" xfId="0" applyNumberFormat="1" applyFont="1" applyBorder="1"/>
    <xf numFmtId="171" fontId="12" fillId="2" borderId="17" xfId="0" applyNumberFormat="1" applyFont="1" applyFill="1" applyBorder="1"/>
    <xf numFmtId="170" fontId="17" fillId="0" borderId="6" xfId="0" applyNumberFormat="1" applyFont="1" applyBorder="1" applyAlignment="1">
      <alignment horizontal="center"/>
    </xf>
    <xf numFmtId="171" fontId="12" fillId="0" borderId="12" xfId="0" applyNumberFormat="1" applyFont="1" applyBorder="1"/>
    <xf numFmtId="39" fontId="12" fillId="0" borderId="15" xfId="0" applyNumberFormat="1" applyFont="1" applyBorder="1"/>
    <xf numFmtId="0" fontId="12" fillId="0" borderId="0" xfId="0" applyFont="1" applyFill="1" applyBorder="1" applyAlignment="1">
      <alignment horizontal="center"/>
    </xf>
    <xf numFmtId="37" fontId="12" fillId="0" borderId="0" xfId="0" applyNumberFormat="1" applyFont="1" applyBorder="1"/>
    <xf numFmtId="170" fontId="17" fillId="0" borderId="5" xfId="0" applyNumberFormat="1" applyFont="1" applyBorder="1" applyAlignment="1">
      <alignment horizontal="center"/>
    </xf>
    <xf numFmtId="171" fontId="12" fillId="2" borderId="4" xfId="0" applyNumberFormat="1" applyFont="1" applyFill="1" applyBorder="1"/>
    <xf numFmtId="171" fontId="12" fillId="0" borderId="9" xfId="0" applyNumberFormat="1" applyFont="1" applyBorder="1"/>
    <xf numFmtId="0" fontId="12" fillId="0" borderId="15" xfId="0" applyFont="1" applyFill="1" applyBorder="1" applyAlignment="1">
      <alignment horizontal="center"/>
    </xf>
    <xf numFmtId="171" fontId="12" fillId="0" borderId="0" xfId="0" applyNumberFormat="1" applyFont="1" applyBorder="1" applyAlignment="1"/>
    <xf numFmtId="171" fontId="12" fillId="2" borderId="4" xfId="0" applyNumberFormat="1" applyFont="1" applyFill="1" applyBorder="1" applyAlignment="1"/>
    <xf numFmtId="171" fontId="12" fillId="0" borderId="0" xfId="0" applyNumberFormat="1" applyFont="1" applyFill="1" applyBorder="1" applyAlignment="1"/>
    <xf numFmtId="37" fontId="12" fillId="0" borderId="0" xfId="0" applyNumberFormat="1" applyFont="1"/>
    <xf numFmtId="39" fontId="12" fillId="0" borderId="0" xfId="0" applyNumberFormat="1" applyFont="1"/>
    <xf numFmtId="171" fontId="12" fillId="2" borderId="17" xfId="0" applyNumberFormat="1" applyFont="1" applyFill="1" applyBorder="1" applyAlignment="1"/>
    <xf numFmtId="171" fontId="12" fillId="2" borderId="40" xfId="0" applyNumberFormat="1" applyFont="1" applyFill="1" applyBorder="1" applyAlignment="1"/>
    <xf numFmtId="170" fontId="17" fillId="0" borderId="0" xfId="0" applyNumberFormat="1" applyFont="1" applyAlignment="1">
      <alignment horizontal="center"/>
    </xf>
    <xf numFmtId="0" fontId="12" fillId="2" borderId="31" xfId="0" applyFont="1" applyFill="1" applyBorder="1" applyAlignment="1">
      <alignment horizontal="center"/>
    </xf>
    <xf numFmtId="0" fontId="12" fillId="2" borderId="32" xfId="0" applyFont="1" applyFill="1" applyBorder="1"/>
    <xf numFmtId="0" fontId="15" fillId="0" borderId="0" xfId="0" applyFont="1" applyBorder="1" applyAlignment="1">
      <alignment horizontal="center"/>
    </xf>
    <xf numFmtId="169" fontId="12" fillId="0" borderId="38" xfId="6" applyNumberFormat="1" applyFont="1" applyBorder="1"/>
    <xf numFmtId="0" fontId="12" fillId="0" borderId="24" xfId="0" applyFont="1" applyBorder="1"/>
    <xf numFmtId="37" fontId="12" fillId="0" borderId="25" xfId="0" applyNumberFormat="1" applyFont="1" applyBorder="1"/>
    <xf numFmtId="0" fontId="14" fillId="0" borderId="5" xfId="0" applyFont="1" applyBorder="1" applyAlignment="1">
      <alignment horizontal="right"/>
    </xf>
    <xf numFmtId="37" fontId="12" fillId="2" borderId="17" xfId="0" applyNumberFormat="1" applyFont="1" applyFill="1" applyBorder="1"/>
    <xf numFmtId="37" fontId="12" fillId="2" borderId="4" xfId="0" applyNumberFormat="1" applyFont="1" applyFill="1" applyBorder="1"/>
    <xf numFmtId="171" fontId="12" fillId="0" borderId="0" xfId="0" applyNumberFormat="1" applyFont="1"/>
    <xf numFmtId="0" fontId="14" fillId="0" borderId="34" xfId="0" applyFont="1" applyFill="1" applyBorder="1"/>
    <xf numFmtId="0" fontId="12" fillId="0" borderId="31" xfId="0" applyFont="1" applyFill="1" applyBorder="1"/>
    <xf numFmtId="0" fontId="17" fillId="2" borderId="31" xfId="0" applyFont="1" applyFill="1" applyBorder="1"/>
    <xf numFmtId="170" fontId="12" fillId="0" borderId="31" xfId="0" applyNumberFormat="1" applyFont="1" applyFill="1" applyBorder="1" applyAlignment="1">
      <alignment horizontal="center"/>
    </xf>
    <xf numFmtId="171" fontId="17" fillId="0" borderId="0" xfId="0" applyNumberFormat="1" applyFont="1" applyBorder="1"/>
    <xf numFmtId="171" fontId="17" fillId="0" borderId="15" xfId="0" applyNumberFormat="1" applyFont="1" applyFill="1" applyBorder="1" applyAlignment="1"/>
    <xf numFmtId="171" fontId="17" fillId="0" borderId="15" xfId="0" applyNumberFormat="1" applyFont="1" applyBorder="1" applyAlignment="1"/>
    <xf numFmtId="0" fontId="17" fillId="0" borderId="31" xfId="0" applyFont="1" applyBorder="1" applyAlignment="1">
      <alignment horizontal="center"/>
    </xf>
    <xf numFmtId="0" fontId="14" fillId="0" borderId="13" xfId="0" applyFont="1" applyBorder="1" applyAlignment="1">
      <alignment horizontal="center"/>
    </xf>
    <xf numFmtId="0" fontId="12" fillId="0" borderId="2" xfId="0" applyFont="1" applyBorder="1"/>
    <xf numFmtId="0" fontId="12" fillId="0" borderId="0" xfId="0" applyFont="1" applyFill="1" applyBorder="1"/>
    <xf numFmtId="0" fontId="12" fillId="0" borderId="34" xfId="0" applyFont="1" applyBorder="1"/>
    <xf numFmtId="37" fontId="14" fillId="0" borderId="0" xfId="0" applyNumberFormat="1" applyFont="1" applyAlignment="1" applyProtection="1">
      <alignment horizontal="left"/>
    </xf>
    <xf numFmtId="43" fontId="12" fillId="0" borderId="0" xfId="0" applyNumberFormat="1" applyFont="1" applyBorder="1"/>
    <xf numFmtId="0" fontId="19" fillId="2" borderId="31" xfId="0" applyFont="1" applyFill="1" applyBorder="1" applyAlignment="1">
      <alignment horizontal="center"/>
    </xf>
    <xf numFmtId="0" fontId="17" fillId="2" borderId="31" xfId="0" applyFont="1" applyFill="1" applyBorder="1" applyAlignment="1">
      <alignment horizontal="center"/>
    </xf>
    <xf numFmtId="0" fontId="20" fillId="0" borderId="0" xfId="0" applyFont="1" applyBorder="1"/>
    <xf numFmtId="0" fontId="20" fillId="0" borderId="0" xfId="0" applyFont="1"/>
    <xf numFmtId="14" fontId="12" fillId="0" borderId="0" xfId="0" applyNumberFormat="1" applyFont="1" applyAlignment="1">
      <alignment horizontal="center"/>
    </xf>
    <xf numFmtId="0" fontId="12" fillId="0" borderId="41" xfId="0" applyFont="1" applyBorder="1" applyAlignment="1">
      <alignment horizontal="center"/>
    </xf>
    <xf numFmtId="14" fontId="12" fillId="0" borderId="42" xfId="0" applyNumberFormat="1" applyFont="1" applyBorder="1" applyAlignment="1">
      <alignment horizontal="center"/>
    </xf>
    <xf numFmtId="0" fontId="14" fillId="0" borderId="42" xfId="0" applyFont="1" applyBorder="1" applyAlignment="1">
      <alignment horizontal="center"/>
    </xf>
    <xf numFmtId="0" fontId="14" fillId="0" borderId="43" xfId="0" applyFont="1" applyBorder="1" applyAlignment="1">
      <alignment horizontal="center"/>
    </xf>
    <xf numFmtId="171" fontId="12" fillId="0" borderId="15" xfId="0" applyNumberFormat="1" applyFont="1" applyBorder="1" applyAlignment="1">
      <alignment horizontal="center"/>
    </xf>
    <xf numFmtId="170" fontId="12" fillId="0" borderId="15" xfId="0" applyNumberFormat="1" applyFont="1" applyBorder="1"/>
    <xf numFmtId="166" fontId="12" fillId="0" borderId="44" xfId="6" applyNumberFormat="1" applyFont="1" applyBorder="1"/>
    <xf numFmtId="37" fontId="12" fillId="0" borderId="0" xfId="0" applyNumberFormat="1" applyFont="1" applyBorder="1" applyAlignment="1">
      <alignment horizontal="center"/>
    </xf>
    <xf numFmtId="170" fontId="12" fillId="0" borderId="0" xfId="0" applyNumberFormat="1" applyFont="1" applyBorder="1"/>
    <xf numFmtId="171" fontId="12" fillId="0" borderId="42" xfId="0" applyNumberFormat="1" applyFont="1" applyBorder="1"/>
    <xf numFmtId="164" fontId="21" fillId="0" borderId="15" xfId="0" applyNumberFormat="1" applyFont="1" applyFill="1" applyBorder="1" applyAlignment="1">
      <alignment horizontal="center"/>
    </xf>
    <xf numFmtId="37" fontId="14" fillId="0" borderId="15" xfId="0" applyNumberFormat="1" applyFont="1" applyBorder="1"/>
    <xf numFmtId="37" fontId="14" fillId="0" borderId="15" xfId="0" applyNumberFormat="1" applyFont="1" applyBorder="1" applyAlignment="1">
      <alignment horizontal="center"/>
    </xf>
    <xf numFmtId="170" fontId="14" fillId="0" borderId="15" xfId="0" applyNumberFormat="1" applyFont="1" applyBorder="1"/>
    <xf numFmtId="166" fontId="14" fillId="0" borderId="44" xfId="6" applyNumberFormat="1" applyFont="1" applyBorder="1"/>
    <xf numFmtId="37" fontId="12" fillId="0" borderId="0" xfId="0" applyNumberFormat="1" applyFont="1" applyBorder="1" applyAlignment="1"/>
    <xf numFmtId="170" fontId="12" fillId="0" borderId="0" xfId="0" applyNumberFormat="1" applyFont="1" applyBorder="1" applyAlignment="1"/>
    <xf numFmtId="171" fontId="12" fillId="0" borderId="42" xfId="0" applyNumberFormat="1" applyFont="1" applyBorder="1" applyAlignment="1"/>
    <xf numFmtId="37" fontId="12" fillId="0" borderId="0" xfId="0" applyNumberFormat="1" applyFont="1" applyFill="1" applyBorder="1" applyAlignment="1"/>
    <xf numFmtId="170" fontId="12" fillId="0" borderId="0" xfId="0" applyNumberFormat="1" applyFont="1" applyFill="1" applyBorder="1" applyAlignment="1"/>
    <xf numFmtId="171" fontId="12" fillId="0" borderId="42" xfId="0" applyNumberFormat="1" applyFont="1" applyFill="1" applyBorder="1" applyAlignment="1"/>
    <xf numFmtId="37" fontId="12" fillId="0" borderId="29" xfId="0" applyNumberFormat="1" applyFont="1" applyFill="1" applyBorder="1" applyAlignment="1"/>
    <xf numFmtId="171" fontId="12" fillId="0" borderId="29" xfId="0" applyNumberFormat="1" applyFont="1" applyFill="1" applyBorder="1" applyAlignment="1">
      <alignment horizontal="center"/>
    </xf>
    <xf numFmtId="170" fontId="12" fillId="0" borderId="29" xfId="0" applyNumberFormat="1" applyFont="1" applyFill="1" applyBorder="1" applyAlignment="1"/>
    <xf numFmtId="166" fontId="12" fillId="0" borderId="44" xfId="6" applyNumberFormat="1" applyFont="1" applyBorder="1" applyAlignment="1">
      <alignment horizontal="center"/>
    </xf>
    <xf numFmtId="37" fontId="12" fillId="0" borderId="15" xfId="0" applyNumberFormat="1" applyFont="1" applyFill="1" applyBorder="1" applyAlignment="1"/>
    <xf numFmtId="170" fontId="12" fillId="0" borderId="15" xfId="0" applyNumberFormat="1" applyFont="1" applyFill="1" applyBorder="1" applyAlignment="1"/>
    <xf numFmtId="37" fontId="12" fillId="0" borderId="15" xfId="0" applyNumberFormat="1" applyFont="1" applyBorder="1" applyAlignment="1"/>
    <xf numFmtId="170" fontId="12" fillId="0" borderId="15" xfId="0" applyNumberFormat="1" applyFont="1" applyBorder="1" applyAlignment="1"/>
    <xf numFmtId="39" fontId="17" fillId="0" borderId="15" xfId="0" applyNumberFormat="1" applyFont="1" applyBorder="1" applyAlignment="1"/>
    <xf numFmtId="166" fontId="12" fillId="0" borderId="43" xfId="6" applyNumberFormat="1" applyFont="1" applyBorder="1" applyAlignment="1">
      <alignment horizontal="center"/>
    </xf>
    <xf numFmtId="166" fontId="14" fillId="0" borderId="0" xfId="6" applyNumberFormat="1" applyFont="1" applyBorder="1"/>
    <xf numFmtId="0" fontId="14" fillId="3" borderId="29" xfId="0" applyFont="1" applyFill="1" applyBorder="1"/>
    <xf numFmtId="0" fontId="12" fillId="3" borderId="29" xfId="0" applyFont="1" applyFill="1" applyBorder="1"/>
    <xf numFmtId="0" fontId="14" fillId="0" borderId="18" xfId="0" applyFont="1" applyBorder="1"/>
    <xf numFmtId="0" fontId="12" fillId="0" borderId="19" xfId="0" applyFont="1" applyBorder="1"/>
    <xf numFmtId="0" fontId="12" fillId="0" borderId="22" xfId="0" applyFont="1" applyBorder="1"/>
    <xf numFmtId="0" fontId="14" fillId="0" borderId="7" xfId="0" applyFont="1" applyBorder="1"/>
    <xf numFmtId="0" fontId="12" fillId="0" borderId="13" xfId="0" applyFont="1" applyBorder="1"/>
    <xf numFmtId="0" fontId="12" fillId="0" borderId="14" xfId="0" applyFont="1" applyBorder="1"/>
    <xf numFmtId="0" fontId="14" fillId="0" borderId="8" xfId="0" applyFont="1" applyBorder="1"/>
    <xf numFmtId="0" fontId="12" fillId="0" borderId="7" xfId="0" applyFont="1" applyBorder="1"/>
    <xf numFmtId="0" fontId="14" fillId="4" borderId="29" xfId="0" applyFont="1" applyFill="1" applyBorder="1"/>
    <xf numFmtId="0" fontId="12" fillId="4" borderId="29" xfId="0" applyFont="1" applyFill="1" applyBorder="1"/>
    <xf numFmtId="0" fontId="15" fillId="0" borderId="0" xfId="0" applyFont="1" applyAlignment="1">
      <alignment horizontal="center"/>
    </xf>
    <xf numFmtId="0" fontId="21" fillId="0" borderId="0" xfId="0" applyFont="1"/>
    <xf numFmtId="170" fontId="12" fillId="0" borderId="0" xfId="0" applyNumberFormat="1" applyFont="1"/>
    <xf numFmtId="0" fontId="22" fillId="0" borderId="0" xfId="0" applyFont="1" applyFill="1" applyBorder="1" applyAlignment="1">
      <alignment horizontal="left"/>
    </xf>
    <xf numFmtId="0" fontId="11" fillId="0" borderId="0" xfId="0" applyFont="1" applyFill="1" applyBorder="1" applyAlignment="1">
      <alignment horizontal="left"/>
    </xf>
    <xf numFmtId="0" fontId="24" fillId="0" borderId="0" xfId="0" applyFont="1" applyFill="1" applyBorder="1" applyAlignment="1">
      <alignment horizontal="left"/>
    </xf>
    <xf numFmtId="0" fontId="14" fillId="0" borderId="0" xfId="0" applyFont="1" applyFill="1" applyBorder="1" applyAlignment="1">
      <alignment horizontal="center"/>
    </xf>
    <xf numFmtId="0" fontId="12" fillId="0" borderId="0" xfId="3" applyFont="1" applyAlignment="1">
      <alignment horizontal="left"/>
    </xf>
    <xf numFmtId="0" fontId="14" fillId="0" borderId="13" xfId="0" applyFont="1" applyFill="1" applyBorder="1" applyAlignment="1">
      <alignment horizontal="center"/>
    </xf>
    <xf numFmtId="170" fontId="15" fillId="0" borderId="29" xfId="0" applyNumberFormat="1" applyFont="1" applyFill="1" applyBorder="1" applyAlignment="1"/>
    <xf numFmtId="170" fontId="15" fillId="0" borderId="0" xfId="0" applyNumberFormat="1" applyFont="1" applyFill="1" applyBorder="1" applyAlignment="1"/>
    <xf numFmtId="3" fontId="12" fillId="0" borderId="0" xfId="5" applyFont="1" applyBorder="1"/>
    <xf numFmtId="167" fontId="12" fillId="0" borderId="0" xfId="1" applyNumberFormat="1" applyFont="1" applyFill="1" applyBorder="1"/>
    <xf numFmtId="4" fontId="12" fillId="0" borderId="0" xfId="5" applyNumberFormat="1" applyFont="1" applyBorder="1"/>
    <xf numFmtId="170" fontId="15" fillId="0" borderId="15" xfId="0" applyNumberFormat="1" applyFont="1" applyFill="1" applyBorder="1" applyAlignment="1"/>
    <xf numFmtId="3" fontId="12" fillId="0" borderId="0" xfId="5" applyFont="1" applyBorder="1" applyAlignment="1">
      <alignment horizontal="centerContinuous"/>
    </xf>
    <xf numFmtId="17" fontId="12" fillId="0" borderId="0" xfId="5" applyNumberFormat="1" applyFont="1" applyBorder="1" applyAlignment="1">
      <alignment horizontal="centerContinuous"/>
    </xf>
    <xf numFmtId="3" fontId="12" fillId="0" borderId="0" xfId="5" applyFont="1" applyBorder="1" applyAlignment="1">
      <alignment horizontal="center"/>
    </xf>
    <xf numFmtId="3" fontId="12" fillId="0" borderId="0" xfId="5" applyFont="1" applyFill="1" applyBorder="1" applyAlignment="1">
      <alignment horizontal="center"/>
    </xf>
    <xf numFmtId="3" fontId="12" fillId="0" borderId="0" xfId="5" applyFont="1" applyFill="1" applyBorder="1"/>
    <xf numFmtId="170" fontId="14" fillId="0" borderId="0" xfId="0" applyNumberFormat="1" applyFont="1"/>
    <xf numFmtId="170" fontId="14" fillId="0" borderId="0" xfId="0" applyNumberFormat="1" applyFont="1" applyBorder="1"/>
    <xf numFmtId="167" fontId="12" fillId="0" borderId="0" xfId="1" applyNumberFormat="1" applyFont="1"/>
    <xf numFmtId="43" fontId="12" fillId="0" borderId="0" xfId="0" applyNumberFormat="1" applyFont="1"/>
    <xf numFmtId="165" fontId="12" fillId="0" borderId="0" xfId="0" applyNumberFormat="1" applyFont="1"/>
    <xf numFmtId="165" fontId="12" fillId="0" borderId="0" xfId="0" applyNumberFormat="1" applyFont="1" applyBorder="1"/>
    <xf numFmtId="0" fontId="21" fillId="0" borderId="34" xfId="3" applyFont="1" applyBorder="1" applyAlignment="1">
      <alignment horizontal="left"/>
    </xf>
    <xf numFmtId="0" fontId="14" fillId="0" borderId="31" xfId="0" applyFont="1" applyFill="1" applyBorder="1" applyAlignment="1">
      <alignment horizontal="center"/>
    </xf>
    <xf numFmtId="0" fontId="14" fillId="0" borderId="31" xfId="0" applyFont="1" applyBorder="1"/>
    <xf numFmtId="165" fontId="12" fillId="0" borderId="0" xfId="1" applyNumberFormat="1" applyFont="1" applyBorder="1"/>
    <xf numFmtId="0" fontId="12" fillId="0" borderId="0" xfId="0" applyFont="1" applyFill="1" applyBorder="1" applyAlignment="1">
      <alignment horizontal="left"/>
    </xf>
    <xf numFmtId="0" fontId="16" fillId="0" borderId="0" xfId="0" applyFont="1" applyFill="1" applyBorder="1" applyAlignment="1">
      <alignment horizontal="left"/>
    </xf>
    <xf numFmtId="167" fontId="12" fillId="0" borderId="0" xfId="1" applyNumberFormat="1" applyFont="1" applyBorder="1"/>
    <xf numFmtId="165" fontId="17" fillId="0" borderId="0" xfId="1" applyNumberFormat="1" applyFont="1" applyBorder="1"/>
    <xf numFmtId="0" fontId="27" fillId="0" borderId="0" xfId="0" applyFont="1" applyBorder="1" applyAlignment="1">
      <alignment horizontal="center"/>
    </xf>
    <xf numFmtId="0" fontId="12" fillId="0" borderId="13" xfId="0" applyFont="1" applyBorder="1" applyAlignment="1">
      <alignment horizontal="center" wrapText="1"/>
    </xf>
    <xf numFmtId="0" fontId="12" fillId="0" borderId="0" xfId="0" applyFont="1" applyFill="1"/>
    <xf numFmtId="0" fontId="14" fillId="0" borderId="0" xfId="0" applyFont="1" applyFill="1" applyAlignment="1">
      <alignment horizontal="center"/>
    </xf>
    <xf numFmtId="0" fontId="17" fillId="0" borderId="0" xfId="0" applyFont="1" applyFill="1"/>
    <xf numFmtId="165" fontId="17" fillId="0" borderId="0" xfId="1" applyNumberFormat="1" applyFont="1" applyFill="1"/>
    <xf numFmtId="37" fontId="12" fillId="0" borderId="0" xfId="3" quotePrefix="1" applyNumberFormat="1" applyFont="1" applyBorder="1"/>
    <xf numFmtId="37" fontId="12" fillId="0" borderId="0" xfId="3" applyNumberFormat="1" applyFont="1" applyBorder="1"/>
    <xf numFmtId="171" fontId="14" fillId="0" borderId="36" xfId="0" applyNumberFormat="1" applyFont="1" applyBorder="1" applyAlignment="1">
      <alignment horizontal="centerContinuous"/>
    </xf>
    <xf numFmtId="171" fontId="12" fillId="0" borderId="31" xfId="0" applyNumberFormat="1" applyFont="1" applyBorder="1"/>
    <xf numFmtId="171" fontId="12" fillId="0" borderId="31" xfId="0" applyNumberFormat="1" applyFont="1" applyBorder="1" applyAlignment="1">
      <alignment horizontal="left"/>
    </xf>
    <xf numFmtId="171" fontId="12" fillId="0" borderId="26" xfId="0" applyNumberFormat="1" applyFont="1" applyBorder="1"/>
    <xf numFmtId="171" fontId="12" fillId="0" borderId="0" xfId="0" applyNumberFormat="1" applyFont="1" applyBorder="1" applyAlignment="1">
      <alignment horizontal="center"/>
    </xf>
    <xf numFmtId="171" fontId="14" fillId="0" borderId="15" xfId="0" applyNumberFormat="1" applyFont="1" applyBorder="1" applyAlignment="1">
      <alignment horizontal="center"/>
    </xf>
    <xf numFmtId="171" fontId="12" fillId="2" borderId="31" xfId="0" applyNumberFormat="1" applyFont="1" applyFill="1" applyBorder="1"/>
    <xf numFmtId="170" fontId="12" fillId="0" borderId="0" xfId="1" applyNumberFormat="1" applyFont="1" applyBorder="1"/>
    <xf numFmtId="10" fontId="17" fillId="0" borderId="0" xfId="6" applyNumberFormat="1" applyFont="1" applyAlignment="1">
      <alignment horizontal="center"/>
    </xf>
    <xf numFmtId="0" fontId="14" fillId="3" borderId="0" xfId="0" applyFont="1" applyFill="1" applyAlignment="1">
      <alignment horizontal="center"/>
    </xf>
    <xf numFmtId="0" fontId="18" fillId="3" borderId="0" xfId="0" applyFont="1" applyFill="1" applyAlignment="1">
      <alignment horizontal="center"/>
    </xf>
    <xf numFmtId="0" fontId="18" fillId="3" borderId="13" xfId="0" applyFont="1" applyFill="1" applyBorder="1" applyAlignment="1">
      <alignment horizontal="center" wrapText="1"/>
    </xf>
    <xf numFmtId="14" fontId="12" fillId="0" borderId="0" xfId="0" applyNumberFormat="1" applyFont="1"/>
    <xf numFmtId="0" fontId="14" fillId="0" borderId="0" xfId="0" applyFont="1" applyBorder="1"/>
    <xf numFmtId="0" fontId="15" fillId="0" borderId="0" xfId="0" applyFont="1"/>
    <xf numFmtId="0" fontId="15" fillId="0" borderId="0" xfId="0" applyFont="1" applyBorder="1"/>
    <xf numFmtId="171" fontId="15" fillId="0" borderId="0" xfId="0" applyNumberFormat="1" applyFont="1" applyBorder="1"/>
    <xf numFmtId="171" fontId="15" fillId="0" borderId="0" xfId="0" applyNumberFormat="1" applyFont="1"/>
    <xf numFmtId="168" fontId="15" fillId="0" borderId="0" xfId="0" applyNumberFormat="1" applyFont="1"/>
    <xf numFmtId="0" fontId="17" fillId="3" borderId="0" xfId="0" applyFont="1" applyFill="1" applyBorder="1" applyAlignment="1">
      <alignment horizontal="center"/>
    </xf>
    <xf numFmtId="0" fontId="21" fillId="0" borderId="0" xfId="0" applyFont="1" applyAlignment="1">
      <alignment horizontal="center"/>
    </xf>
    <xf numFmtId="14" fontId="21" fillId="0" borderId="0" xfId="0" applyNumberFormat="1" applyFont="1" applyAlignment="1">
      <alignment horizontal="center"/>
    </xf>
    <xf numFmtId="0" fontId="14" fillId="0" borderId="0" xfId="0" applyFont="1" applyBorder="1" applyAlignment="1">
      <alignment horizontal="centerContinuous"/>
    </xf>
    <xf numFmtId="171" fontId="21" fillId="0" borderId="0" xfId="0" applyNumberFormat="1" applyFont="1" applyBorder="1" applyAlignment="1">
      <alignment horizontal="center"/>
    </xf>
    <xf numFmtId="0" fontId="26" fillId="0" borderId="0" xfId="0" applyFont="1" applyBorder="1" applyAlignment="1">
      <alignment horizontal="center"/>
    </xf>
    <xf numFmtId="0" fontId="21" fillId="0" borderId="13" xfId="0" applyFont="1" applyBorder="1" applyAlignment="1">
      <alignment horizontal="center"/>
    </xf>
    <xf numFmtId="0" fontId="21" fillId="0" borderId="15" xfId="0" applyFont="1" applyBorder="1" applyAlignment="1">
      <alignment horizontal="center"/>
    </xf>
    <xf numFmtId="0" fontId="21" fillId="0" borderId="18" xfId="0" applyFont="1" applyBorder="1" applyAlignment="1">
      <alignment horizontal="center"/>
    </xf>
    <xf numFmtId="0" fontId="14" fillId="0" borderId="19" xfId="0" applyFont="1" applyBorder="1" applyAlignment="1">
      <alignment horizontal="right"/>
    </xf>
    <xf numFmtId="0" fontId="14" fillId="0" borderId="22" xfId="0" applyFont="1" applyBorder="1" applyAlignment="1">
      <alignment horizontal="right"/>
    </xf>
    <xf numFmtId="172" fontId="15" fillId="0" borderId="15" xfId="0" applyNumberFormat="1" applyFont="1" applyBorder="1"/>
    <xf numFmtId="168" fontId="15" fillId="0" borderId="0" xfId="0" applyNumberFormat="1" applyFont="1" applyBorder="1"/>
    <xf numFmtId="168" fontId="12" fillId="0" borderId="0" xfId="0" applyNumberFormat="1" applyFont="1" applyBorder="1"/>
    <xf numFmtId="7" fontId="12" fillId="0" borderId="0" xfId="0" applyNumberFormat="1" applyFont="1" applyBorder="1"/>
    <xf numFmtId="164" fontId="12" fillId="0" borderId="0" xfId="0" applyNumberFormat="1" applyFont="1" applyFill="1" applyBorder="1" applyAlignment="1">
      <alignment horizontal="center"/>
    </xf>
    <xf numFmtId="172" fontId="15" fillId="0" borderId="0" xfId="0" applyNumberFormat="1" applyFont="1" applyBorder="1"/>
    <xf numFmtId="164" fontId="12" fillId="0" borderId="15" xfId="0" applyNumberFormat="1" applyFont="1" applyFill="1" applyBorder="1" applyAlignment="1">
      <alignment horizontal="center"/>
    </xf>
    <xf numFmtId="172" fontId="15" fillId="0" borderId="0" xfId="0" applyNumberFormat="1" applyFont="1" applyBorder="1" applyAlignment="1"/>
    <xf numFmtId="172" fontId="15" fillId="0" borderId="0" xfId="0" applyNumberFormat="1" applyFont="1" applyFill="1" applyBorder="1" applyAlignment="1"/>
    <xf numFmtId="172" fontId="15" fillId="0" borderId="15" xfId="0" applyNumberFormat="1" applyFont="1" applyFill="1" applyBorder="1" applyAlignment="1"/>
    <xf numFmtId="172" fontId="15" fillId="0" borderId="29" xfId="0" applyNumberFormat="1" applyFont="1" applyFill="1" applyBorder="1" applyAlignment="1"/>
    <xf numFmtId="172" fontId="15" fillId="0" borderId="15" xfId="0" applyNumberFormat="1" applyFont="1" applyBorder="1" applyAlignment="1"/>
    <xf numFmtId="0" fontId="25" fillId="0" borderId="31" xfId="0" applyFont="1" applyFill="1" applyBorder="1" applyAlignment="1">
      <alignment horizontal="center"/>
    </xf>
    <xf numFmtId="0" fontId="15" fillId="2" borderId="31" xfId="0" applyFont="1" applyFill="1" applyBorder="1"/>
    <xf numFmtId="0" fontId="12" fillId="0" borderId="31" xfId="0" applyFont="1" applyBorder="1" applyAlignment="1">
      <alignment horizontal="center"/>
    </xf>
    <xf numFmtId="0" fontId="29" fillId="0" borderId="0" xfId="4"/>
    <xf numFmtId="0" fontId="29" fillId="0" borderId="0" xfId="4" applyFont="1"/>
    <xf numFmtId="0" fontId="29" fillId="0" borderId="0" xfId="4" applyAlignment="1">
      <alignment horizontal="center"/>
    </xf>
    <xf numFmtId="0" fontId="30" fillId="0" borderId="48" xfId="4" applyFont="1" applyBorder="1"/>
    <xf numFmtId="0" fontId="29" fillId="0" borderId="49" xfId="4" applyBorder="1"/>
    <xf numFmtId="0" fontId="29" fillId="0" borderId="50" xfId="4" applyBorder="1"/>
    <xf numFmtId="0" fontId="29" fillId="0" borderId="51" xfId="4" applyBorder="1" applyAlignment="1">
      <alignment horizontal="center"/>
    </xf>
    <xf numFmtId="0" fontId="29" fillId="0" borderId="15" xfId="4" applyBorder="1" applyAlignment="1">
      <alignment horizontal="center"/>
    </xf>
    <xf numFmtId="0" fontId="29" fillId="0" borderId="52" xfId="4" applyBorder="1" applyAlignment="1">
      <alignment horizontal="center"/>
    </xf>
    <xf numFmtId="0" fontId="29" fillId="0" borderId="53" xfId="4" applyBorder="1"/>
    <xf numFmtId="172" fontId="14" fillId="0" borderId="0" xfId="4" applyNumberFormat="1" applyFont="1" applyBorder="1" applyAlignment="1">
      <alignment horizontal="center"/>
    </xf>
    <xf numFmtId="173" fontId="26" fillId="0" borderId="54" xfId="4" applyNumberFormat="1" applyFont="1" applyBorder="1" applyAlignment="1">
      <alignment horizontal="center"/>
    </xf>
    <xf numFmtId="172" fontId="26" fillId="0" borderId="0" xfId="4" applyNumberFormat="1" applyFont="1" applyBorder="1" applyAlignment="1">
      <alignment horizontal="center"/>
    </xf>
    <xf numFmtId="172" fontId="31" fillId="0" borderId="54" xfId="4" applyNumberFormat="1" applyFont="1" applyBorder="1" applyAlignment="1">
      <alignment horizontal="center"/>
    </xf>
    <xf numFmtId="0" fontId="29" fillId="0" borderId="55" xfId="4" applyBorder="1"/>
    <xf numFmtId="172" fontId="26" fillId="0" borderId="56" xfId="4" applyNumberFormat="1" applyFont="1" applyBorder="1" applyAlignment="1">
      <alignment horizontal="center"/>
    </xf>
    <xf numFmtId="172" fontId="31" fillId="0" borderId="56" xfId="4" applyNumberFormat="1" applyFont="1" applyBorder="1" applyAlignment="1">
      <alignment horizontal="center"/>
    </xf>
    <xf numFmtId="172" fontId="31" fillId="0" borderId="57" xfId="4" applyNumberFormat="1" applyFont="1" applyBorder="1" applyAlignment="1">
      <alignment horizontal="center"/>
    </xf>
    <xf numFmtId="171" fontId="29" fillId="0" borderId="0" xfId="4" applyNumberFormat="1"/>
    <xf numFmtId="0" fontId="29" fillId="0" borderId="0" xfId="4" quotePrefix="1" applyAlignment="1">
      <alignment horizontal="center"/>
    </xf>
    <xf numFmtId="0" fontId="30" fillId="0" borderId="0" xfId="4" applyFont="1"/>
    <xf numFmtId="0" fontId="29" fillId="0" borderId="0" xfId="4" applyFill="1"/>
    <xf numFmtId="0" fontId="29" fillId="0" borderId="0" xfId="4" applyBorder="1"/>
    <xf numFmtId="0" fontId="29" fillId="0" borderId="0" xfId="4" applyBorder="1" applyAlignment="1">
      <alignment horizontal="center"/>
    </xf>
    <xf numFmtId="0" fontId="29" fillId="0" borderId="48" xfId="4" applyBorder="1"/>
    <xf numFmtId="173" fontId="26" fillId="0" borderId="50" xfId="4" applyNumberFormat="1" applyFont="1" applyBorder="1" applyAlignment="1">
      <alignment horizontal="center"/>
    </xf>
    <xf numFmtId="0" fontId="32" fillId="0" borderId="0" xfId="4" applyFont="1" applyBorder="1" applyAlignment="1">
      <alignment horizontal="center"/>
    </xf>
    <xf numFmtId="172" fontId="26" fillId="0" borderId="54" xfId="4" applyNumberFormat="1" applyFont="1" applyBorder="1" applyAlignment="1">
      <alignment horizontal="center"/>
    </xf>
    <xf numFmtId="0" fontId="29" fillId="0" borderId="56" xfId="4" applyBorder="1"/>
    <xf numFmtId="0" fontId="32" fillId="0" borderId="56" xfId="4" applyFont="1" applyBorder="1" applyAlignment="1">
      <alignment horizontal="center"/>
    </xf>
    <xf numFmtId="173" fontId="26" fillId="0" borderId="57" xfId="4" applyNumberFormat="1" applyFont="1" applyBorder="1" applyAlignment="1">
      <alignment horizontal="center"/>
    </xf>
    <xf numFmtId="0" fontId="29" fillId="5" borderId="48" xfId="4" applyFill="1" applyBorder="1"/>
    <xf numFmtId="0" fontId="29" fillId="5" borderId="49" xfId="4" applyFill="1" applyBorder="1"/>
    <xf numFmtId="0" fontId="32" fillId="5" borderId="49" xfId="4" applyFont="1" applyFill="1" applyBorder="1" applyAlignment="1">
      <alignment horizontal="center"/>
    </xf>
    <xf numFmtId="0" fontId="32" fillId="5" borderId="50" xfId="4" applyFont="1" applyFill="1" applyBorder="1" applyAlignment="1">
      <alignment horizontal="center"/>
    </xf>
    <xf numFmtId="0" fontId="29" fillId="5" borderId="53" xfId="4" applyFill="1" applyBorder="1"/>
    <xf numFmtId="0" fontId="29" fillId="5" borderId="0" xfId="4" applyFill="1" applyBorder="1"/>
    <xf numFmtId="172" fontId="26" fillId="5" borderId="0" xfId="4" applyNumberFormat="1" applyFont="1" applyFill="1" applyBorder="1" applyAlignment="1">
      <alignment horizontal="center"/>
    </xf>
    <xf numFmtId="0" fontId="32" fillId="5" borderId="0" xfId="4" applyFont="1" applyFill="1" applyBorder="1" applyAlignment="1">
      <alignment horizontal="center"/>
    </xf>
    <xf numFmtId="172" fontId="32" fillId="5" borderId="54" xfId="4" applyNumberFormat="1" applyFont="1" applyFill="1" applyBorder="1" applyAlignment="1">
      <alignment horizontal="center"/>
    </xf>
    <xf numFmtId="0" fontId="29" fillId="5" borderId="0" xfId="4" applyFill="1" applyBorder="1" applyAlignment="1">
      <alignment horizontal="center"/>
    </xf>
    <xf numFmtId="0" fontId="29" fillId="5" borderId="55" xfId="4" applyFill="1" applyBorder="1"/>
    <xf numFmtId="0" fontId="29" fillId="5" borderId="56" xfId="4" applyFill="1" applyBorder="1"/>
    <xf numFmtId="172" fontId="26" fillId="5" borderId="57" xfId="4" applyNumberFormat="1" applyFont="1" applyFill="1" applyBorder="1" applyAlignment="1">
      <alignment horizontal="center"/>
    </xf>
    <xf numFmtId="0" fontId="32" fillId="0" borderId="50" xfId="4" applyFont="1" applyBorder="1" applyAlignment="1">
      <alignment horizontal="center"/>
    </xf>
    <xf numFmtId="172" fontId="29" fillId="0" borderId="54" xfId="4" applyNumberFormat="1" applyBorder="1" applyAlignment="1">
      <alignment horizontal="center"/>
    </xf>
    <xf numFmtId="0" fontId="29" fillId="0" borderId="56" xfId="4" applyBorder="1" applyAlignment="1">
      <alignment horizontal="center"/>
    </xf>
    <xf numFmtId="172" fontId="29" fillId="0" borderId="57" xfId="4" applyNumberFormat="1" applyBorder="1" applyAlignment="1">
      <alignment horizontal="center"/>
    </xf>
    <xf numFmtId="172" fontId="31" fillId="5" borderId="54" xfId="4" applyNumberFormat="1" applyFont="1" applyFill="1" applyBorder="1" applyAlignment="1">
      <alignment horizontal="center"/>
    </xf>
    <xf numFmtId="0" fontId="32" fillId="5" borderId="56" xfId="4" applyFont="1" applyFill="1" applyBorder="1" applyAlignment="1">
      <alignment horizontal="center"/>
    </xf>
    <xf numFmtId="173" fontId="31" fillId="5" borderId="57" xfId="4" applyNumberFormat="1" applyFont="1" applyFill="1" applyBorder="1" applyAlignment="1">
      <alignment horizontal="center"/>
    </xf>
    <xf numFmtId="0" fontId="32" fillId="0" borderId="49" xfId="4" applyFont="1" applyBorder="1" applyAlignment="1">
      <alignment horizontal="center"/>
    </xf>
    <xf numFmtId="172" fontId="32" fillId="0" borderId="54" xfId="4" applyNumberFormat="1" applyFont="1" applyBorder="1" applyAlignment="1">
      <alignment horizontal="center"/>
    </xf>
    <xf numFmtId="173" fontId="31" fillId="5" borderId="54" xfId="4" applyNumberFormat="1" applyFont="1" applyFill="1" applyBorder="1" applyAlignment="1">
      <alignment horizontal="center"/>
    </xf>
    <xf numFmtId="172" fontId="29" fillId="5" borderId="54" xfId="4" applyNumberFormat="1" applyFill="1" applyBorder="1" applyAlignment="1">
      <alignment horizontal="center"/>
    </xf>
    <xf numFmtId="172" fontId="26" fillId="5" borderId="56" xfId="4" applyNumberFormat="1" applyFont="1" applyFill="1" applyBorder="1" applyAlignment="1">
      <alignment horizontal="center"/>
    </xf>
    <xf numFmtId="0" fontId="29" fillId="5" borderId="56" xfId="4" applyFill="1" applyBorder="1" applyAlignment="1">
      <alignment horizontal="center"/>
    </xf>
    <xf numFmtId="172" fontId="29" fillId="5" borderId="57" xfId="4" applyNumberFormat="1" applyFill="1" applyBorder="1" applyAlignment="1">
      <alignment horizontal="center"/>
    </xf>
    <xf numFmtId="172" fontId="29" fillId="0" borderId="0" xfId="4" applyNumberFormat="1"/>
    <xf numFmtId="0" fontId="30" fillId="0" borderId="58" xfId="4" applyFont="1" applyBorder="1"/>
    <xf numFmtId="0" fontId="29" fillId="0" borderId="58" xfId="4" applyBorder="1"/>
    <xf numFmtId="0" fontId="29" fillId="0" borderId="59" xfId="4" applyBorder="1"/>
    <xf numFmtId="0" fontId="30" fillId="0" borderId="0" xfId="4" applyFont="1" applyBorder="1"/>
    <xf numFmtId="0" fontId="29" fillId="0" borderId="60" xfId="4" applyBorder="1"/>
    <xf numFmtId="0" fontId="29" fillId="0" borderId="59" xfId="4" applyBorder="1" applyAlignment="1">
      <alignment horizontal="center"/>
    </xf>
    <xf numFmtId="0" fontId="29" fillId="0" borderId="60" xfId="4" applyBorder="1" applyAlignment="1">
      <alignment horizontal="center"/>
    </xf>
    <xf numFmtId="0" fontId="29" fillId="0" borderId="61" xfId="4" applyBorder="1"/>
    <xf numFmtId="0" fontId="29" fillId="0" borderId="62" xfId="4" applyBorder="1"/>
    <xf numFmtId="44" fontId="33" fillId="0" borderId="63" xfId="4" applyNumberFormat="1" applyFont="1" applyBorder="1"/>
    <xf numFmtId="0" fontId="29" fillId="0" borderId="64" xfId="4" applyBorder="1"/>
    <xf numFmtId="0" fontId="29" fillId="0" borderId="65" xfId="4" applyBorder="1"/>
    <xf numFmtId="0" fontId="29" fillId="0" borderId="66" xfId="4" applyBorder="1"/>
    <xf numFmtId="0" fontId="29" fillId="0" borderId="1" xfId="4" applyBorder="1"/>
    <xf numFmtId="175" fontId="33" fillId="0" borderId="1" xfId="4" applyNumberFormat="1" applyFont="1" applyBorder="1"/>
    <xf numFmtId="175" fontId="29" fillId="0" borderId="67" xfId="4" applyNumberFormat="1" applyBorder="1"/>
    <xf numFmtId="175" fontId="29" fillId="0" borderId="1" xfId="4" applyNumberFormat="1" applyBorder="1" applyAlignment="1">
      <alignment horizontal="center"/>
    </xf>
    <xf numFmtId="0" fontId="29" fillId="0" borderId="68" xfId="4" applyBorder="1"/>
    <xf numFmtId="175" fontId="29" fillId="0" borderId="58" xfId="4" applyNumberFormat="1" applyBorder="1" applyAlignment="1">
      <alignment horizontal="center"/>
    </xf>
    <xf numFmtId="175" fontId="29" fillId="0" borderId="69" xfId="4" applyNumberFormat="1" applyBorder="1"/>
    <xf numFmtId="175" fontId="33" fillId="0" borderId="58" xfId="4" applyNumberFormat="1" applyFont="1" applyBorder="1"/>
    <xf numFmtId="175" fontId="33" fillId="0" borderId="62" xfId="4" applyNumberFormat="1" applyFont="1" applyBorder="1"/>
    <xf numFmtId="175" fontId="29" fillId="0" borderId="62" xfId="4" applyNumberFormat="1" applyBorder="1" applyAlignment="1">
      <alignment horizontal="center"/>
    </xf>
    <xf numFmtId="175" fontId="29" fillId="0" borderId="63" xfId="4" applyNumberFormat="1" applyBorder="1"/>
    <xf numFmtId="0" fontId="29" fillId="0" borderId="70" xfId="4" applyBorder="1"/>
    <xf numFmtId="0" fontId="29" fillId="0" borderId="71" xfId="4" applyBorder="1"/>
    <xf numFmtId="175" fontId="33" fillId="0" borderId="71" xfId="4" applyNumberFormat="1" applyFont="1" applyBorder="1"/>
    <xf numFmtId="175" fontId="29" fillId="0" borderId="71" xfId="4" applyNumberFormat="1" applyBorder="1" applyAlignment="1">
      <alignment horizontal="center"/>
    </xf>
    <xf numFmtId="175" fontId="29" fillId="0" borderId="72" xfId="4" applyNumberFormat="1" applyBorder="1"/>
    <xf numFmtId="0" fontId="29" fillId="0" borderId="73" xfId="4" applyBorder="1"/>
    <xf numFmtId="0" fontId="29" fillId="0" borderId="74" xfId="4" applyBorder="1"/>
    <xf numFmtId="175" fontId="29" fillId="0" borderId="74" xfId="4" applyNumberFormat="1" applyBorder="1"/>
    <xf numFmtId="175" fontId="29" fillId="0" borderId="74" xfId="4" applyNumberFormat="1" applyBorder="1" applyAlignment="1">
      <alignment horizontal="center"/>
    </xf>
    <xf numFmtId="175" fontId="33" fillId="0" borderId="75" xfId="4" applyNumberFormat="1" applyFont="1" applyBorder="1"/>
    <xf numFmtId="175" fontId="26" fillId="0" borderId="75" xfId="4" applyNumberFormat="1" applyFont="1" applyBorder="1"/>
    <xf numFmtId="175" fontId="29" fillId="0" borderId="1" xfId="4" applyNumberFormat="1" applyBorder="1"/>
    <xf numFmtId="175" fontId="26" fillId="0" borderId="67" xfId="4" applyNumberFormat="1" applyFont="1" applyBorder="1"/>
    <xf numFmtId="175" fontId="33" fillId="0" borderId="67" xfId="4" applyNumberFormat="1" applyFont="1" applyBorder="1"/>
    <xf numFmtId="0" fontId="29" fillId="0" borderId="71" xfId="4" applyBorder="1" applyAlignment="1">
      <alignment horizontal="left"/>
    </xf>
    <xf numFmtId="175" fontId="29" fillId="0" borderId="71" xfId="4" applyNumberFormat="1" applyBorder="1"/>
    <xf numFmtId="7" fontId="33" fillId="0" borderId="72" xfId="4" applyNumberFormat="1" applyFont="1" applyBorder="1"/>
    <xf numFmtId="44" fontId="29" fillId="0" borderId="75" xfId="4" applyNumberFormat="1" applyBorder="1" applyAlignment="1">
      <alignment horizontal="center"/>
    </xf>
    <xf numFmtId="175" fontId="29" fillId="0" borderId="62" xfId="4" applyNumberFormat="1" applyBorder="1"/>
    <xf numFmtId="44" fontId="29" fillId="0" borderId="63" xfId="4" applyNumberFormat="1" applyBorder="1" applyAlignment="1">
      <alignment horizontal="center"/>
    </xf>
    <xf numFmtId="175" fontId="29" fillId="0" borderId="58" xfId="4" applyNumberFormat="1" applyBorder="1"/>
    <xf numFmtId="175" fontId="33" fillId="0" borderId="69" xfId="4" applyNumberFormat="1" applyFont="1" applyBorder="1"/>
    <xf numFmtId="0" fontId="29" fillId="0" borderId="76" xfId="4" applyBorder="1"/>
    <xf numFmtId="0" fontId="29" fillId="0" borderId="77" xfId="4" applyBorder="1"/>
    <xf numFmtId="175" fontId="29" fillId="0" borderId="77" xfId="4" applyNumberFormat="1" applyBorder="1"/>
    <xf numFmtId="175" fontId="29" fillId="0" borderId="77" xfId="4" applyNumberFormat="1" applyBorder="1" applyAlignment="1">
      <alignment horizontal="center"/>
    </xf>
    <xf numFmtId="175" fontId="29" fillId="0" borderId="78" xfId="4" applyNumberFormat="1" applyBorder="1" applyAlignment="1">
      <alignment horizontal="center"/>
    </xf>
    <xf numFmtId="0" fontId="29" fillId="0" borderId="79" xfId="4" applyBorder="1"/>
    <xf numFmtId="0" fontId="29" fillId="0" borderId="80" xfId="4" applyBorder="1"/>
    <xf numFmtId="175" fontId="33" fillId="0" borderId="72" xfId="4" applyNumberFormat="1" applyFont="1" applyBorder="1"/>
    <xf numFmtId="7" fontId="33" fillId="0" borderId="75" xfId="4" applyNumberFormat="1" applyFont="1" applyBorder="1"/>
    <xf numFmtId="44" fontId="33" fillId="0" borderId="75" xfId="4" applyNumberFormat="1" applyFont="1" applyBorder="1"/>
    <xf numFmtId="175" fontId="26" fillId="0" borderId="72" xfId="4" applyNumberFormat="1" applyFont="1" applyBorder="1"/>
    <xf numFmtId="44" fontId="29" fillId="0" borderId="67" xfId="4" applyNumberFormat="1" applyBorder="1" applyAlignment="1">
      <alignment horizontal="center"/>
    </xf>
    <xf numFmtId="0" fontId="29" fillId="0" borderId="81" xfId="4" applyBorder="1"/>
    <xf numFmtId="0" fontId="29" fillId="0" borderId="82" xfId="4" applyBorder="1"/>
    <xf numFmtId="175" fontId="29" fillId="0" borderId="0" xfId="4" applyNumberFormat="1"/>
    <xf numFmtId="22" fontId="29" fillId="0" borderId="0" xfId="4" applyNumberFormat="1"/>
    <xf numFmtId="0" fontId="23" fillId="0" borderId="0" xfId="0" applyFont="1" applyBorder="1"/>
    <xf numFmtId="0" fontId="12" fillId="0" borderId="0" xfId="0" applyFont="1" applyAlignment="1"/>
    <xf numFmtId="0" fontId="18" fillId="3" borderId="13" xfId="0" applyFont="1" applyFill="1" applyBorder="1" applyAlignment="1">
      <alignment horizontal="center"/>
    </xf>
    <xf numFmtId="0" fontId="28" fillId="0" borderId="0" xfId="0" applyFont="1" applyFill="1" applyBorder="1"/>
    <xf numFmtId="0" fontId="28" fillId="0" borderId="0" xfId="0" applyFont="1" applyFill="1"/>
    <xf numFmtId="0" fontId="14" fillId="0" borderId="0" xfId="0" applyFont="1" applyFill="1"/>
    <xf numFmtId="171" fontId="12" fillId="0" borderId="15" xfId="0" quotePrefix="1" applyNumberFormat="1" applyFont="1" applyBorder="1"/>
    <xf numFmtId="7" fontId="12" fillId="0" borderId="15" xfId="0" applyNumberFormat="1" applyFont="1" applyBorder="1"/>
    <xf numFmtId="7" fontId="12" fillId="0" borderId="0" xfId="0" applyNumberFormat="1" applyFont="1" applyBorder="1" applyAlignment="1"/>
    <xf numFmtId="7" fontId="12" fillId="0" borderId="0" xfId="0" applyNumberFormat="1" applyFont="1" applyFill="1" applyBorder="1" applyAlignment="1"/>
    <xf numFmtId="7" fontId="12" fillId="0" borderId="15" xfId="0" applyNumberFormat="1" applyFont="1" applyFill="1" applyBorder="1" applyAlignment="1"/>
    <xf numFmtId="7" fontId="12" fillId="0" borderId="29" xfId="0" applyNumberFormat="1" applyFont="1" applyFill="1" applyBorder="1" applyAlignment="1"/>
    <xf numFmtId="7" fontId="12" fillId="0" borderId="15" xfId="0" applyNumberFormat="1" applyFont="1" applyBorder="1" applyAlignment="1"/>
    <xf numFmtId="7" fontId="26" fillId="0" borderId="72" xfId="4" applyNumberFormat="1" applyFont="1" applyBorder="1"/>
    <xf numFmtId="0" fontId="26" fillId="0" borderId="69" xfId="4" applyFont="1" applyBorder="1"/>
    <xf numFmtId="0" fontId="14" fillId="0" borderId="15" xfId="0" applyFont="1" applyFill="1" applyBorder="1" applyAlignment="1">
      <alignment horizontal="center"/>
    </xf>
    <xf numFmtId="171" fontId="12" fillId="0" borderId="15" xfId="0" applyNumberFormat="1" applyFont="1" applyFill="1" applyBorder="1"/>
    <xf numFmtId="7" fontId="12" fillId="0" borderId="15" xfId="0" applyNumberFormat="1" applyFont="1" applyFill="1" applyBorder="1"/>
    <xf numFmtId="0" fontId="14" fillId="3" borderId="34" xfId="0" applyFont="1" applyFill="1" applyBorder="1"/>
    <xf numFmtId="0" fontId="14" fillId="3" borderId="31" xfId="0" applyFont="1" applyFill="1" applyBorder="1"/>
    <xf numFmtId="0" fontId="14" fillId="3" borderId="32" xfId="0" applyFont="1" applyFill="1" applyBorder="1"/>
    <xf numFmtId="0" fontId="14" fillId="3" borderId="31" xfId="0" applyFont="1" applyFill="1" applyBorder="1" applyAlignment="1">
      <alignment horizontal="center"/>
    </xf>
    <xf numFmtId="0" fontId="14" fillId="3" borderId="32" xfId="0" applyFont="1" applyFill="1" applyBorder="1" applyAlignment="1">
      <alignment horizontal="center"/>
    </xf>
    <xf numFmtId="0" fontId="12" fillId="0" borderId="0" xfId="0" applyFont="1" applyBorder="1" applyAlignment="1">
      <alignment horizontal="right"/>
    </xf>
    <xf numFmtId="0" fontId="12" fillId="3" borderId="0" xfId="0" applyFont="1" applyFill="1" applyBorder="1"/>
    <xf numFmtId="0" fontId="14" fillId="3" borderId="29" xfId="0" applyFont="1" applyFill="1" applyBorder="1" applyAlignment="1">
      <alignment horizontal="centerContinuous"/>
    </xf>
    <xf numFmtId="0" fontId="14" fillId="3" borderId="29" xfId="0" applyFont="1" applyFill="1" applyBorder="1" applyAlignment="1">
      <alignment horizontal="center"/>
    </xf>
    <xf numFmtId="0" fontId="12" fillId="3" borderId="29" xfId="0" applyFont="1" applyFill="1" applyBorder="1" applyAlignment="1">
      <alignment horizontal="centerContinuous"/>
    </xf>
    <xf numFmtId="0" fontId="14" fillId="3" borderId="0" xfId="0" applyFont="1" applyFill="1" applyBorder="1" applyAlignment="1">
      <alignment horizontal="center"/>
    </xf>
    <xf numFmtId="0" fontId="12" fillId="3" borderId="0" xfId="0" applyFont="1" applyFill="1" applyBorder="1" applyAlignment="1">
      <alignment horizontal="center"/>
    </xf>
    <xf numFmtId="0" fontId="25" fillId="0" borderId="0" xfId="0" applyFont="1" applyFill="1" applyBorder="1" applyAlignment="1">
      <alignment horizontal="center"/>
    </xf>
    <xf numFmtId="0" fontId="17" fillId="0" borderId="0" xfId="0" applyFont="1" applyBorder="1" applyAlignment="1">
      <alignment horizontal="center"/>
    </xf>
    <xf numFmtId="0" fontId="17" fillId="0" borderId="13" xfId="0" applyFont="1" applyBorder="1" applyAlignment="1">
      <alignment horizontal="center"/>
    </xf>
    <xf numFmtId="0" fontId="21" fillId="3" borderId="34" xfId="0" applyFont="1" applyFill="1" applyBorder="1"/>
    <xf numFmtId="0" fontId="12" fillId="3" borderId="31" xfId="0" applyFont="1" applyFill="1" applyBorder="1"/>
    <xf numFmtId="171" fontId="15" fillId="3" borderId="32" xfId="0" applyNumberFormat="1" applyFont="1" applyFill="1" applyBorder="1"/>
    <xf numFmtId="171" fontId="15" fillId="0" borderId="0" xfId="0" applyNumberFormat="1" applyFont="1" applyBorder="1" applyAlignment="1">
      <alignment horizontal="center"/>
    </xf>
    <xf numFmtId="14" fontId="14" fillId="0" borderId="0" xfId="0" applyNumberFormat="1" applyFont="1" applyFill="1" applyAlignment="1">
      <alignment horizontal="center"/>
    </xf>
    <xf numFmtId="171" fontId="12" fillId="0" borderId="0" xfId="0" applyNumberFormat="1" applyFont="1" applyFill="1" applyBorder="1"/>
    <xf numFmtId="0" fontId="26" fillId="6" borderId="0" xfId="0" applyFont="1" applyFill="1" applyBorder="1"/>
    <xf numFmtId="0" fontId="34" fillId="6" borderId="0" xfId="0" applyFont="1" applyFill="1" applyBorder="1"/>
    <xf numFmtId="171" fontId="34" fillId="6" borderId="0" xfId="0" applyNumberFormat="1" applyFont="1" applyFill="1" applyBorder="1"/>
    <xf numFmtId="0" fontId="18" fillId="6" borderId="0" xfId="0" applyFont="1" applyFill="1" applyBorder="1"/>
    <xf numFmtId="172" fontId="6" fillId="0" borderId="8" xfId="0" applyNumberFormat="1" applyFont="1" applyBorder="1"/>
    <xf numFmtId="171" fontId="6" fillId="0" borderId="0" xfId="0" applyNumberFormat="1" applyFont="1" applyBorder="1"/>
    <xf numFmtId="171" fontId="6" fillId="0" borderId="2" xfId="0" applyNumberFormat="1" applyFont="1" applyBorder="1"/>
    <xf numFmtId="171" fontId="6" fillId="0" borderId="13" xfId="0" applyNumberFormat="1" applyFont="1" applyBorder="1"/>
    <xf numFmtId="168" fontId="12" fillId="0" borderId="15" xfId="0" applyNumberFormat="1" applyFont="1" applyBorder="1" applyAlignment="1"/>
    <xf numFmtId="0" fontId="15" fillId="0" borderId="31" xfId="0" applyFont="1" applyFill="1" applyBorder="1" applyAlignment="1">
      <alignment horizontal="center"/>
    </xf>
    <xf numFmtId="166" fontId="12" fillId="0" borderId="0" xfId="6" applyNumberFormat="1" applyFont="1" applyFill="1" applyBorder="1"/>
    <xf numFmtId="0" fontId="27" fillId="0" borderId="0" xfId="0" applyFont="1"/>
    <xf numFmtId="0" fontId="13" fillId="0" borderId="0" xfId="0" applyFont="1" applyAlignment="1">
      <alignment horizontal="center"/>
    </xf>
    <xf numFmtId="0" fontId="36" fillId="0" borderId="0" xfId="0" applyFont="1" applyBorder="1" applyAlignment="1">
      <alignment horizontal="right"/>
    </xf>
    <xf numFmtId="0" fontId="12" fillId="0" borderId="0" xfId="0" applyFont="1" applyBorder="1" applyAlignment="1">
      <alignment horizontal="center" wrapText="1"/>
    </xf>
    <xf numFmtId="172" fontId="26" fillId="0" borderId="0" xfId="4" quotePrefix="1" applyNumberFormat="1" applyFont="1" applyFill="1" applyBorder="1" applyAlignment="1">
      <alignment horizontal="center"/>
    </xf>
    <xf numFmtId="171" fontId="38" fillId="0" borderId="15" xfId="0" applyNumberFormat="1" applyFont="1" applyBorder="1"/>
    <xf numFmtId="171" fontId="38" fillId="0" borderId="0" xfId="0" applyNumberFormat="1" applyFont="1" applyBorder="1"/>
    <xf numFmtId="171" fontId="38" fillId="0" borderId="0" xfId="0" applyNumberFormat="1" applyFont="1" applyBorder="1" applyAlignment="1"/>
    <xf numFmtId="171" fontId="38" fillId="0" borderId="0" xfId="0" applyNumberFormat="1" applyFont="1" applyFill="1" applyBorder="1" applyAlignment="1"/>
    <xf numFmtId="171" fontId="38" fillId="0" borderId="15" xfId="0" applyNumberFormat="1" applyFont="1" applyFill="1" applyBorder="1" applyAlignment="1"/>
    <xf numFmtId="171" fontId="38" fillId="0" borderId="29" xfId="0" applyNumberFormat="1" applyFont="1" applyFill="1" applyBorder="1" applyAlignment="1"/>
    <xf numFmtId="166" fontId="14" fillId="0" borderId="42" xfId="6" applyNumberFormat="1" applyFont="1" applyBorder="1"/>
    <xf numFmtId="37" fontId="17" fillId="0" borderId="38" xfId="0" applyNumberFormat="1" applyFont="1" applyBorder="1" applyAlignment="1">
      <alignment horizontal="center"/>
    </xf>
    <xf numFmtId="0" fontId="14" fillId="7" borderId="0" xfId="0" applyFont="1" applyFill="1" applyAlignment="1">
      <alignment horizontal="left"/>
    </xf>
    <xf numFmtId="0" fontId="12" fillId="0" borderId="73" xfId="4" applyFont="1" applyBorder="1"/>
    <xf numFmtId="0" fontId="29" fillId="0" borderId="83" xfId="4" applyBorder="1"/>
    <xf numFmtId="0" fontId="29" fillId="0" borderId="84" xfId="4" applyBorder="1"/>
    <xf numFmtId="175" fontId="29" fillId="0" borderId="84" xfId="4" applyNumberFormat="1" applyBorder="1"/>
    <xf numFmtId="175" fontId="29" fillId="0" borderId="84" xfId="4" applyNumberFormat="1" applyBorder="1" applyAlignment="1">
      <alignment horizontal="center"/>
    </xf>
    <xf numFmtId="175" fontId="29" fillId="0" borderId="85" xfId="4" applyNumberFormat="1" applyBorder="1" applyAlignment="1">
      <alignment horizontal="center"/>
    </xf>
    <xf numFmtId="0" fontId="12" fillId="0" borderId="61" xfId="4" applyFont="1" applyBorder="1"/>
    <xf numFmtId="166" fontId="12" fillId="0" borderId="0" xfId="6" applyNumberFormat="1" applyFont="1" applyBorder="1"/>
    <xf numFmtId="168" fontId="12" fillId="0" borderId="0" xfId="0" applyNumberFormat="1" applyFont="1"/>
    <xf numFmtId="0" fontId="11" fillId="0" borderId="0" xfId="7" applyFont="1"/>
    <xf numFmtId="0" fontId="20" fillId="0" borderId="0" xfId="7" applyFont="1"/>
    <xf numFmtId="0" fontId="23" fillId="0" borderId="0" xfId="7" quotePrefix="1" applyFont="1"/>
    <xf numFmtId="0" fontId="14" fillId="0" borderId="0" xfId="7" applyFont="1"/>
    <xf numFmtId="0" fontId="34" fillId="0" borderId="0" xfId="7" applyFont="1"/>
    <xf numFmtId="0" fontId="11" fillId="6" borderId="86" xfId="7" applyNumberFormat="1" applyFont="1" applyFill="1" applyBorder="1"/>
    <xf numFmtId="0" fontId="11" fillId="6" borderId="26" xfId="7" applyNumberFormat="1" applyFont="1" applyFill="1" applyBorder="1"/>
    <xf numFmtId="0" fontId="11" fillId="3" borderId="18" xfId="7" applyFont="1" applyFill="1" applyBorder="1" applyAlignment="1">
      <alignment horizontal="centerContinuous" vertical="center" wrapText="1"/>
    </xf>
    <xf numFmtId="0" fontId="20" fillId="3" borderId="19" xfId="7" applyFont="1" applyFill="1" applyBorder="1" applyAlignment="1">
      <alignment horizontal="centerContinuous" vertical="center" wrapText="1"/>
    </xf>
    <xf numFmtId="0" fontId="20" fillId="3" borderId="22" xfId="7" applyFont="1" applyFill="1" applyBorder="1" applyAlignment="1">
      <alignment horizontal="centerContinuous" vertical="center" wrapText="1"/>
    </xf>
    <xf numFmtId="0" fontId="20" fillId="0" borderId="0" xfId="7" applyFont="1" applyBorder="1"/>
    <xf numFmtId="0" fontId="20" fillId="0" borderId="8" xfId="7" applyFont="1" applyBorder="1"/>
    <xf numFmtId="0" fontId="11" fillId="4" borderId="47" xfId="7" applyFont="1" applyFill="1" applyBorder="1"/>
    <xf numFmtId="0" fontId="20" fillId="4" borderId="29" xfId="7" applyFont="1" applyFill="1" applyBorder="1" applyAlignment="1">
      <alignment horizontal="center"/>
    </xf>
    <xf numFmtId="0" fontId="20" fillId="4" borderId="46" xfId="7" applyFont="1" applyFill="1" applyBorder="1" applyAlignment="1">
      <alignment horizontal="center"/>
    </xf>
    <xf numFmtId="0" fontId="20" fillId="8" borderId="0" xfId="7" applyFont="1" applyFill="1" applyBorder="1" applyAlignment="1">
      <alignment horizontal="right"/>
    </xf>
    <xf numFmtId="0" fontId="11" fillId="8" borderId="8" xfId="7" applyFont="1" applyFill="1" applyBorder="1"/>
    <xf numFmtId="0" fontId="20" fillId="8" borderId="0" xfId="7" applyFont="1" applyFill="1" applyBorder="1" applyAlignment="1">
      <alignment horizontal="center"/>
    </xf>
    <xf numFmtId="0" fontId="20" fillId="8" borderId="2" xfId="7" applyFont="1" applyFill="1" applyBorder="1" applyAlignment="1">
      <alignment horizontal="center"/>
    </xf>
    <xf numFmtId="0" fontId="20" fillId="8" borderId="0" xfId="7" applyFont="1" applyFill="1" applyAlignment="1">
      <alignment horizontal="center"/>
    </xf>
    <xf numFmtId="0" fontId="12" fillId="8" borderId="0" xfId="7" applyFont="1" applyFill="1" applyAlignment="1">
      <alignment horizontal="center"/>
    </xf>
    <xf numFmtId="16" fontId="17" fillId="8" borderId="0" xfId="7" quotePrefix="1" applyNumberFormat="1" applyFont="1" applyFill="1" applyAlignment="1">
      <alignment horizontal="center"/>
    </xf>
    <xf numFmtId="0" fontId="11" fillId="0" borderId="8" xfId="7" applyNumberFormat="1" applyFont="1" applyBorder="1"/>
    <xf numFmtId="0" fontId="11" fillId="0" borderId="0" xfId="8" applyNumberFormat="1" applyFont="1" applyBorder="1"/>
    <xf numFmtId="0" fontId="11" fillId="0" borderId="0" xfId="7" applyNumberFormat="1" applyFont="1" applyBorder="1" applyAlignment="1"/>
    <xf numFmtId="0" fontId="20" fillId="2" borderId="8" xfId="7" applyFont="1" applyFill="1" applyBorder="1"/>
    <xf numFmtId="168" fontId="39" fillId="0" borderId="0" xfId="8" applyNumberFormat="1" applyFont="1" applyFill="1" applyBorder="1" applyAlignment="1"/>
    <xf numFmtId="9" fontId="20" fillId="0" borderId="0" xfId="9" applyFont="1"/>
    <xf numFmtId="0" fontId="11" fillId="0" borderId="8" xfId="8" applyNumberFormat="1" applyFont="1" applyBorder="1"/>
    <xf numFmtId="0" fontId="11" fillId="0" borderId="0" xfId="8" applyNumberFormat="1" applyFont="1" applyBorder="1" applyAlignment="1"/>
    <xf numFmtId="168" fontId="3" fillId="0" borderId="0" xfId="8" applyNumberFormat="1" applyFont="1" applyFill="1" applyBorder="1" applyAlignment="1"/>
    <xf numFmtId="0" fontId="11" fillId="0" borderId="0" xfId="8" applyNumberFormat="1" applyFont="1" applyBorder="1" applyAlignment="1">
      <alignment horizontal="left" indent="2"/>
    </xf>
    <xf numFmtId="168" fontId="39" fillId="0" borderId="0" xfId="7" applyNumberFormat="1" applyFont="1" applyFill="1" applyBorder="1" applyAlignment="1"/>
    <xf numFmtId="9" fontId="3" fillId="0" borderId="0" xfId="9" applyFont="1" applyBorder="1" applyAlignment="1"/>
    <xf numFmtId="168" fontId="3" fillId="0" borderId="0" xfId="7" applyNumberFormat="1" applyFont="1" applyBorder="1" applyAlignment="1"/>
    <xf numFmtId="169" fontId="3" fillId="0" borderId="0" xfId="9" applyNumberFormat="1" applyFont="1" applyBorder="1" applyAlignment="1"/>
    <xf numFmtId="9" fontId="39" fillId="0" borderId="0" xfId="9" applyFont="1" applyBorder="1" applyAlignment="1"/>
    <xf numFmtId="168" fontId="39" fillId="0" borderId="0" xfId="7" applyNumberFormat="1" applyFont="1" applyBorder="1" applyAlignment="1"/>
    <xf numFmtId="0" fontId="20" fillId="0" borderId="0" xfId="8" applyNumberFormat="1" applyFont="1" applyBorder="1"/>
    <xf numFmtId="168" fontId="39" fillId="0" borderId="0" xfId="8" applyNumberFormat="1" applyFont="1" applyBorder="1" applyAlignment="1"/>
    <xf numFmtId="0" fontId="11" fillId="0" borderId="0" xfId="7" applyNumberFormat="1" applyFont="1" applyBorder="1"/>
    <xf numFmtId="167" fontId="20" fillId="0" borderId="8" xfId="8" applyNumberFormat="1" applyFont="1" applyBorder="1"/>
    <xf numFmtId="168" fontId="39" fillId="9" borderId="0" xfId="8" applyNumberFormat="1" applyFont="1" applyFill="1" applyBorder="1" applyAlignment="1"/>
    <xf numFmtId="7" fontId="39" fillId="0" borderId="0" xfId="8" applyNumberFormat="1" applyFont="1" applyFill="1" applyBorder="1" applyAlignment="1"/>
    <xf numFmtId="172" fontId="3" fillId="0" borderId="0" xfId="7" applyNumberFormat="1" applyFont="1" applyFill="1" applyBorder="1" applyAlignment="1"/>
    <xf numFmtId="172" fontId="3" fillId="0" borderId="0" xfId="7" applyNumberFormat="1" applyFont="1" applyBorder="1" applyAlignment="1"/>
    <xf numFmtId="173" fontId="3" fillId="0" borderId="0" xfId="7" applyNumberFormat="1" applyFont="1" applyBorder="1" applyAlignment="1"/>
    <xf numFmtId="0" fontId="11" fillId="4" borderId="47" xfId="7" applyNumberFormat="1" applyFont="1" applyFill="1" applyBorder="1"/>
    <xf numFmtId="0" fontId="11" fillId="4" borderId="29" xfId="8" applyNumberFormat="1" applyFont="1" applyFill="1" applyBorder="1"/>
    <xf numFmtId="0" fontId="11" fillId="4" borderId="29" xfId="8" applyNumberFormat="1" applyFont="1" applyFill="1" applyBorder="1" applyAlignment="1"/>
    <xf numFmtId="173" fontId="3" fillId="2" borderId="47" xfId="8" applyNumberFormat="1" applyFont="1" applyFill="1" applyBorder="1" applyAlignment="1"/>
    <xf numFmtId="173" fontId="3" fillId="4" borderId="29" xfId="8" applyNumberFormat="1" applyFont="1" applyFill="1" applyBorder="1" applyAlignment="1"/>
    <xf numFmtId="173" fontId="3" fillId="0" borderId="0" xfId="8" applyNumberFormat="1" applyFont="1" applyBorder="1" applyAlignment="1"/>
    <xf numFmtId="0" fontId="11" fillId="10" borderId="47" xfId="7" applyNumberFormat="1" applyFont="1" applyFill="1" applyBorder="1"/>
    <xf numFmtId="0" fontId="11" fillId="10" borderId="29" xfId="8" applyNumberFormat="1" applyFont="1" applyFill="1" applyBorder="1"/>
    <xf numFmtId="0" fontId="11" fillId="10" borderId="29" xfId="8" applyNumberFormat="1" applyFont="1" applyFill="1" applyBorder="1" applyAlignment="1"/>
    <xf numFmtId="173" fontId="10" fillId="2" borderId="47" xfId="8" applyNumberFormat="1" applyFont="1" applyFill="1" applyBorder="1" applyAlignment="1"/>
    <xf numFmtId="173" fontId="10" fillId="10" borderId="29" xfId="8" applyNumberFormat="1" applyFont="1" applyFill="1" applyBorder="1" applyAlignment="1"/>
    <xf numFmtId="173" fontId="3" fillId="0" borderId="0" xfId="7" applyNumberFormat="1" applyFont="1" applyBorder="1"/>
    <xf numFmtId="170" fontId="11" fillId="0" borderId="8" xfId="8" applyNumberFormat="1" applyFont="1" applyBorder="1"/>
    <xf numFmtId="170" fontId="11" fillId="0" borderId="0" xfId="7" applyNumberFormat="1" applyFont="1" applyBorder="1"/>
    <xf numFmtId="170" fontId="11" fillId="0" borderId="0" xfId="8" applyNumberFormat="1" applyFont="1" applyBorder="1" applyAlignment="1"/>
    <xf numFmtId="170" fontId="35" fillId="0" borderId="8" xfId="7" applyNumberFormat="1" applyFont="1" applyBorder="1"/>
    <xf numFmtId="170" fontId="4" fillId="0" borderId="0" xfId="7" applyNumberFormat="1" applyFont="1" applyBorder="1"/>
    <xf numFmtId="170" fontId="4" fillId="0" borderId="0" xfId="8" applyNumberFormat="1" applyFont="1" applyBorder="1" applyAlignment="1"/>
    <xf numFmtId="170" fontId="35" fillId="0" borderId="8" xfId="8" applyNumberFormat="1" applyFont="1" applyBorder="1"/>
    <xf numFmtId="172" fontId="39" fillId="0" borderId="0" xfId="8" applyNumberFormat="1" applyFont="1" applyBorder="1" applyAlignment="1"/>
    <xf numFmtId="170" fontId="35" fillId="0" borderId="7" xfId="8" applyNumberFormat="1" applyFont="1" applyBorder="1"/>
    <xf numFmtId="170" fontId="4" fillId="0" borderId="13" xfId="7" applyNumberFormat="1" applyFont="1" applyBorder="1"/>
    <xf numFmtId="170" fontId="4" fillId="0" borderId="13" xfId="8" applyNumberFormat="1" applyFont="1" applyBorder="1" applyAlignment="1"/>
    <xf numFmtId="0" fontId="20" fillId="2" borderId="7" xfId="7" applyFont="1" applyFill="1" applyBorder="1"/>
    <xf numFmtId="173" fontId="3" fillId="0" borderId="13" xfId="8" applyNumberFormat="1" applyFont="1" applyBorder="1" applyAlignment="1"/>
    <xf numFmtId="0" fontId="20" fillId="0" borderId="13" xfId="7" applyFont="1" applyBorder="1"/>
    <xf numFmtId="170" fontId="11" fillId="0" borderId="0" xfId="8" applyNumberFormat="1" applyFont="1"/>
    <xf numFmtId="170" fontId="11" fillId="0" borderId="0" xfId="7" applyNumberFormat="1" applyFont="1"/>
    <xf numFmtId="170" fontId="11" fillId="0" borderId="0" xfId="8" applyNumberFormat="1" applyFont="1" applyAlignment="1"/>
    <xf numFmtId="173" fontId="3" fillId="0" borderId="0" xfId="8" applyNumberFormat="1" applyFont="1" applyAlignment="1"/>
    <xf numFmtId="173" fontId="3" fillId="0" borderId="0" xfId="7" applyNumberFormat="1" applyFont="1"/>
    <xf numFmtId="0" fontId="3" fillId="0" borderId="0" xfId="7"/>
    <xf numFmtId="178" fontId="3" fillId="0" borderId="0" xfId="7" applyNumberFormat="1" applyFont="1"/>
    <xf numFmtId="185" fontId="60" fillId="9" borderId="0" xfId="8" applyNumberFormat="1" applyFont="1" applyFill="1" applyBorder="1" applyAlignment="1"/>
    <xf numFmtId="0" fontId="12" fillId="44" borderId="31" xfId="0" applyFont="1" applyFill="1" applyBorder="1" applyAlignment="1">
      <alignment horizontal="center"/>
    </xf>
    <xf numFmtId="0" fontId="13" fillId="0" borderId="31" xfId="0" applyFont="1" applyFill="1" applyBorder="1" applyAlignment="1">
      <alignment horizontal="center"/>
    </xf>
    <xf numFmtId="0" fontId="13" fillId="0" borderId="0" xfId="0" applyFont="1" applyFill="1" applyBorder="1" applyAlignment="1">
      <alignment horizontal="center"/>
    </xf>
    <xf numFmtId="0" fontId="16" fillId="0" borderId="0" xfId="0" applyFont="1" applyFill="1"/>
    <xf numFmtId="37" fontId="15" fillId="0" borderId="26" xfId="0" applyNumberFormat="1" applyFont="1" applyBorder="1"/>
    <xf numFmtId="170" fontId="12" fillId="0" borderId="0" xfId="0" quotePrefix="1" applyNumberFormat="1" applyFont="1"/>
    <xf numFmtId="0" fontId="14" fillId="45" borderId="0" xfId="0" applyFont="1" applyFill="1" applyBorder="1" applyAlignment="1">
      <alignment horizontal="right"/>
    </xf>
    <xf numFmtId="0" fontId="12" fillId="45" borderId="0" xfId="0" applyFont="1" applyFill="1" applyBorder="1" applyAlignment="1">
      <alignment horizontal="center"/>
    </xf>
    <xf numFmtId="0" fontId="14" fillId="45" borderId="0" xfId="0" applyFont="1" applyFill="1" applyBorder="1" applyAlignment="1">
      <alignment horizontal="center"/>
    </xf>
    <xf numFmtId="0" fontId="13" fillId="45" borderId="0" xfId="0" applyFont="1" applyFill="1" applyBorder="1" applyAlignment="1">
      <alignment horizontal="right"/>
    </xf>
    <xf numFmtId="37" fontId="12" fillId="0" borderId="34" xfId="0" applyNumberFormat="1" applyFont="1" applyFill="1" applyBorder="1"/>
    <xf numFmtId="37" fontId="12" fillId="0" borderId="7" xfId="0" applyNumberFormat="1" applyFont="1" applyFill="1" applyBorder="1"/>
    <xf numFmtId="170" fontId="17" fillId="0" borderId="0" xfId="0" applyNumberFormat="1" applyFont="1" applyFill="1"/>
    <xf numFmtId="0" fontId="12" fillId="46" borderId="0" xfId="0" applyFont="1" applyFill="1" applyBorder="1"/>
    <xf numFmtId="168" fontId="39" fillId="47" borderId="0" xfId="7" applyNumberFormat="1" applyFont="1" applyFill="1" applyBorder="1" applyAlignment="1"/>
    <xf numFmtId="0" fontId="20" fillId="47" borderId="0" xfId="7" applyFont="1" applyFill="1" applyBorder="1"/>
    <xf numFmtId="168" fontId="39" fillId="47" borderId="0" xfId="8" applyNumberFormat="1" applyFont="1" applyFill="1" applyBorder="1" applyAlignment="1"/>
    <xf numFmtId="0" fontId="20" fillId="47" borderId="0" xfId="7" applyFont="1" applyFill="1"/>
    <xf numFmtId="169" fontId="3" fillId="47" borderId="0" xfId="9" applyNumberFormat="1" applyFont="1" applyFill="1" applyBorder="1" applyAlignment="1"/>
    <xf numFmtId="168" fontId="3" fillId="47" borderId="0" xfId="7" applyNumberFormat="1" applyFont="1" applyFill="1" applyBorder="1" applyAlignment="1"/>
    <xf numFmtId="0" fontId="3" fillId="47" borderId="0" xfId="9" applyNumberFormat="1" applyFont="1" applyFill="1" applyBorder="1" applyAlignment="1"/>
    <xf numFmtId="168" fontId="20" fillId="47" borderId="0" xfId="7" applyNumberFormat="1" applyFont="1" applyFill="1" applyBorder="1"/>
    <xf numFmtId="7" fontId="20" fillId="47" borderId="0" xfId="7" applyNumberFormat="1" applyFont="1" applyFill="1" applyBorder="1"/>
    <xf numFmtId="0" fontId="39" fillId="47" borderId="0" xfId="7" applyFont="1" applyFill="1" applyBorder="1" applyAlignment="1"/>
    <xf numFmtId="172" fontId="3" fillId="47" borderId="0" xfId="7" applyNumberFormat="1" applyFont="1" applyFill="1" applyBorder="1" applyAlignment="1"/>
    <xf numFmtId="173" fontId="3" fillId="47" borderId="0" xfId="7" applyNumberFormat="1" applyFont="1" applyFill="1" applyBorder="1" applyAlignment="1"/>
    <xf numFmtId="37" fontId="13" fillId="0" borderId="26" xfId="0" applyNumberFormat="1" applyFont="1" applyBorder="1"/>
    <xf numFmtId="0" fontId="61" fillId="0" borderId="0" xfId="0" applyFont="1" applyBorder="1"/>
    <xf numFmtId="37" fontId="14" fillId="0" borderId="0" xfId="0" applyNumberFormat="1" applyFont="1" applyBorder="1" applyAlignment="1">
      <alignment horizontal="right"/>
    </xf>
    <xf numFmtId="186" fontId="15" fillId="0" borderId="0" xfId="0" applyNumberFormat="1" applyFont="1"/>
    <xf numFmtId="171" fontId="6" fillId="0" borderId="14" xfId="0" applyNumberFormat="1" applyFont="1" applyBorder="1"/>
    <xf numFmtId="166" fontId="12" fillId="0" borderId="0" xfId="0" applyNumberFormat="1" applyFont="1" applyBorder="1"/>
    <xf numFmtId="172" fontId="12" fillId="0" borderId="0" xfId="0" applyNumberFormat="1" applyFont="1"/>
    <xf numFmtId="0" fontId="14" fillId="0" borderId="0" xfId="0" applyFont="1" applyBorder="1" applyAlignment="1">
      <alignment horizontal="center" wrapText="1"/>
    </xf>
    <xf numFmtId="0" fontId="12" fillId="7" borderId="0" xfId="0" applyFont="1" applyFill="1" applyBorder="1"/>
    <xf numFmtId="0" fontId="14" fillId="7" borderId="29" xfId="0" applyFont="1" applyFill="1" applyBorder="1" applyAlignment="1">
      <alignment horizontal="centerContinuous"/>
    </xf>
    <xf numFmtId="0" fontId="12" fillId="7" borderId="29" xfId="0" applyFont="1" applyFill="1" applyBorder="1" applyAlignment="1">
      <alignment horizontal="centerContinuous"/>
    </xf>
    <xf numFmtId="0" fontId="12" fillId="48" borderId="0" xfId="0" applyFont="1" applyFill="1" applyBorder="1"/>
    <xf numFmtId="0" fontId="62" fillId="0" borderId="0" xfId="0" applyFont="1" applyBorder="1"/>
    <xf numFmtId="0" fontId="37" fillId="0" borderId="0" xfId="0" applyFont="1" applyBorder="1"/>
    <xf numFmtId="167" fontId="14" fillId="0" borderId="31" xfId="1" applyNumberFormat="1" applyFont="1" applyFill="1" applyBorder="1"/>
    <xf numFmtId="167" fontId="14" fillId="0" borderId="32" xfId="1" applyNumberFormat="1" applyFont="1" applyFill="1" applyBorder="1"/>
    <xf numFmtId="4" fontId="12" fillId="0" borderId="0" xfId="0" applyNumberFormat="1" applyFont="1" applyBorder="1"/>
    <xf numFmtId="43" fontId="12" fillId="0" borderId="0" xfId="1" applyFont="1"/>
    <xf numFmtId="3" fontId="12" fillId="0" borderId="0" xfId="5" applyFont="1" applyFill="1" applyBorder="1" applyAlignment="1">
      <alignment horizontal="centerContinuous"/>
    </xf>
    <xf numFmtId="17" fontId="12" fillId="0" borderId="0" xfId="5" applyNumberFormat="1" applyFont="1" applyFill="1" applyBorder="1" applyAlignment="1">
      <alignment horizontal="centerContinuous"/>
    </xf>
    <xf numFmtId="171" fontId="12" fillId="49" borderId="0" xfId="0" applyNumberFormat="1" applyFont="1" applyFill="1" applyBorder="1"/>
    <xf numFmtId="0" fontId="14" fillId="0" borderId="0" xfId="0" applyFont="1" applyFill="1" applyBorder="1" applyAlignment="1">
      <alignment horizontal="right"/>
    </xf>
    <xf numFmtId="14" fontId="12" fillId="0" borderId="41" xfId="0" applyNumberFormat="1" applyFont="1" applyBorder="1" applyAlignment="1">
      <alignment horizontal="center"/>
    </xf>
    <xf numFmtId="0" fontId="14" fillId="0" borderId="42" xfId="0" applyFont="1" applyFill="1" applyBorder="1" applyAlignment="1">
      <alignment horizontal="center"/>
    </xf>
    <xf numFmtId="0" fontId="14" fillId="0" borderId="44" xfId="0" applyFont="1" applyFill="1" applyBorder="1" applyAlignment="1">
      <alignment horizontal="center"/>
    </xf>
    <xf numFmtId="166" fontId="12" fillId="0" borderId="42" xfId="6" applyNumberFormat="1" applyFont="1" applyBorder="1"/>
    <xf numFmtId="166" fontId="12" fillId="0" borderId="45" xfId="6" applyNumberFormat="1" applyFont="1" applyBorder="1"/>
    <xf numFmtId="39" fontId="12" fillId="0" borderId="43" xfId="0" applyNumberFormat="1" applyFont="1" applyBorder="1"/>
    <xf numFmtId="0" fontId="14" fillId="49" borderId="13" xfId="0" applyFont="1" applyFill="1" applyBorder="1" applyAlignment="1">
      <alignment horizontal="center" wrapText="1"/>
    </xf>
    <xf numFmtId="0" fontId="14" fillId="49" borderId="0" xfId="0" applyFont="1" applyFill="1" applyBorder="1" applyAlignment="1">
      <alignment horizontal="center"/>
    </xf>
    <xf numFmtId="0" fontId="14" fillId="49" borderId="15" xfId="0" applyFont="1" applyFill="1" applyBorder="1" applyAlignment="1">
      <alignment horizontal="center"/>
    </xf>
    <xf numFmtId="171" fontId="12" fillId="49" borderId="15" xfId="0" applyNumberFormat="1" applyFont="1" applyFill="1" applyBorder="1"/>
    <xf numFmtId="171" fontId="12" fillId="49" borderId="29" xfId="0" applyNumberFormat="1" applyFont="1" applyFill="1" applyBorder="1" applyAlignment="1"/>
    <xf numFmtId="171" fontId="12" fillId="49" borderId="15" xfId="0" applyNumberFormat="1" applyFont="1" applyFill="1" applyBorder="1" applyAlignment="1"/>
    <xf numFmtId="0" fontId="14" fillId="0" borderId="13" xfId="0" applyFont="1" applyFill="1" applyBorder="1" applyAlignment="1">
      <alignment horizontal="center" wrapText="1"/>
    </xf>
    <xf numFmtId="0" fontId="14" fillId="0" borderId="0" xfId="0" applyFont="1" applyFill="1" applyAlignment="1">
      <alignment horizontal="right"/>
    </xf>
    <xf numFmtId="168" fontId="12" fillId="0" borderId="15" xfId="0" applyNumberFormat="1" applyFont="1" applyFill="1" applyBorder="1" applyAlignment="1"/>
    <xf numFmtId="0" fontId="17" fillId="0" borderId="31" xfId="0" applyFont="1" applyFill="1" applyBorder="1" applyAlignment="1">
      <alignment horizontal="center"/>
    </xf>
    <xf numFmtId="37" fontId="12" fillId="0" borderId="0" xfId="0" applyNumberFormat="1" applyFont="1" applyAlignment="1" applyProtection="1">
      <alignment horizontal="left" vertical="top"/>
    </xf>
    <xf numFmtId="0" fontId="0" fillId="0" borderId="0" xfId="0" applyAlignment="1">
      <alignment vertical="top"/>
    </xf>
    <xf numFmtId="186" fontId="14" fillId="0" borderId="0" xfId="0" applyNumberFormat="1" applyFont="1" applyBorder="1" applyAlignment="1">
      <alignment horizontal="right"/>
    </xf>
    <xf numFmtId="171" fontId="12" fillId="0" borderId="0" xfId="0" applyNumberFormat="1" applyFont="1" applyFill="1"/>
    <xf numFmtId="172" fontId="12" fillId="0" borderId="15" xfId="0" applyNumberFormat="1" applyFont="1" applyFill="1" applyBorder="1"/>
    <xf numFmtId="172" fontId="12" fillId="0" borderId="15" xfId="0" applyNumberFormat="1" applyFont="1" applyBorder="1"/>
    <xf numFmtId="172" fontId="12" fillId="0" borderId="0" xfId="0" applyNumberFormat="1" applyFont="1" applyBorder="1"/>
    <xf numFmtId="172" fontId="12" fillId="0" borderId="0" xfId="0" applyNumberFormat="1" applyFont="1" applyBorder="1" applyAlignment="1"/>
    <xf numFmtId="172" fontId="12" fillId="0" borderId="0" xfId="0" applyNumberFormat="1" applyFont="1" applyFill="1" applyBorder="1" applyAlignment="1"/>
    <xf numFmtId="172" fontId="12" fillId="0" borderId="15" xfId="0" applyNumberFormat="1" applyFont="1" applyFill="1" applyBorder="1" applyAlignment="1"/>
    <xf numFmtId="172" fontId="12" fillId="0" borderId="29" xfId="0" applyNumberFormat="1" applyFont="1" applyFill="1" applyBorder="1" applyAlignment="1"/>
    <xf numFmtId="172" fontId="12" fillId="0" borderId="15" xfId="0" applyNumberFormat="1" applyFont="1" applyBorder="1" applyAlignment="1"/>
    <xf numFmtId="172" fontId="17" fillId="0" borderId="0" xfId="0" applyNumberFormat="1" applyFont="1"/>
    <xf numFmtId="173" fontId="12" fillId="0" borderId="15" xfId="0" applyNumberFormat="1" applyFont="1" applyBorder="1"/>
    <xf numFmtId="173" fontId="17" fillId="0" borderId="0" xfId="0" applyNumberFormat="1" applyFont="1"/>
    <xf numFmtId="168" fontId="12" fillId="0" borderId="15" xfId="0" applyNumberFormat="1" applyFont="1" applyBorder="1"/>
    <xf numFmtId="168" fontId="12" fillId="0" borderId="0" xfId="3" applyNumberFormat="1" applyFont="1" applyBorder="1"/>
    <xf numFmtId="168" fontId="12" fillId="0" borderId="0" xfId="3" quotePrefix="1" applyNumberFormat="1" applyFont="1" applyBorder="1"/>
    <xf numFmtId="5" fontId="12" fillId="0" borderId="0" xfId="0" applyNumberFormat="1" applyFont="1"/>
    <xf numFmtId="178" fontId="12" fillId="0" borderId="0" xfId="0" applyNumberFormat="1" applyFont="1"/>
    <xf numFmtId="5" fontId="17" fillId="0" borderId="0" xfId="0" applyNumberFormat="1" applyFont="1" applyAlignment="1">
      <alignment horizontal="center"/>
    </xf>
    <xf numFmtId="168" fontId="12" fillId="0" borderId="12" xfId="0" applyNumberFormat="1" applyFont="1" applyBorder="1"/>
    <xf numFmtId="168" fontId="12" fillId="0" borderId="9" xfId="0" applyNumberFormat="1" applyFont="1" applyBorder="1"/>
    <xf numFmtId="168" fontId="14" fillId="0" borderId="15" xfId="0" applyNumberFormat="1" applyFont="1" applyBorder="1"/>
    <xf numFmtId="168" fontId="12" fillId="0" borderId="0" xfId="0" applyNumberFormat="1" applyFont="1" applyBorder="1" applyAlignment="1"/>
    <xf numFmtId="168" fontId="12" fillId="0" borderId="0" xfId="0" applyNumberFormat="1" applyFont="1" applyFill="1" applyBorder="1" applyAlignment="1"/>
    <xf numFmtId="168" fontId="12" fillId="0" borderId="29" xfId="0" applyNumberFormat="1" applyFont="1" applyFill="1" applyBorder="1" applyAlignment="1"/>
    <xf numFmtId="7" fontId="14" fillId="0" borderId="15" xfId="0" applyNumberFormat="1" applyFont="1" applyBorder="1"/>
    <xf numFmtId="168" fontId="14" fillId="0" borderId="0" xfId="0" applyNumberFormat="1" applyFont="1" applyBorder="1"/>
    <xf numFmtId="168" fontId="12" fillId="0" borderId="29" xfId="0" applyNumberFormat="1" applyFont="1" applyBorder="1"/>
    <xf numFmtId="7" fontId="17" fillId="0" borderId="15" xfId="0" applyNumberFormat="1" applyFont="1" applyBorder="1"/>
    <xf numFmtId="7" fontId="17" fillId="0" borderId="0" xfId="0" applyNumberFormat="1" applyFont="1" applyBorder="1"/>
    <xf numFmtId="7" fontId="18" fillId="0" borderId="15" xfId="0" applyNumberFormat="1" applyFont="1" applyBorder="1"/>
    <xf numFmtId="7" fontId="18" fillId="0" borderId="0" xfId="0" applyNumberFormat="1" applyFont="1" applyBorder="1"/>
    <xf numFmtId="7" fontId="17" fillId="0" borderId="0" xfId="0" applyNumberFormat="1" applyFont="1" applyFill="1" applyBorder="1" applyAlignment="1"/>
    <xf numFmtId="7" fontId="17" fillId="0" borderId="29" xfId="0" applyNumberFormat="1" applyFont="1" applyFill="1" applyBorder="1" applyAlignment="1"/>
    <xf numFmtId="0" fontId="11" fillId="0" borderId="0" xfId="0" applyFont="1" applyBorder="1" applyAlignment="1">
      <alignment horizontal="centerContinuous"/>
    </xf>
    <xf numFmtId="0" fontId="11" fillId="0" borderId="0" xfId="0" applyFont="1" applyBorder="1" applyAlignment="1">
      <alignment horizontal="left"/>
    </xf>
    <xf numFmtId="3" fontId="0" fillId="0" borderId="0" xfId="0" applyNumberFormat="1"/>
    <xf numFmtId="170" fontId="25" fillId="0" borderId="0" xfId="0" applyNumberFormat="1" applyFont="1" applyFill="1" applyBorder="1" applyAlignment="1"/>
    <xf numFmtId="170" fontId="25" fillId="0" borderId="15" xfId="0" applyNumberFormat="1" applyFont="1" applyFill="1" applyBorder="1" applyAlignment="1"/>
    <xf numFmtId="170" fontId="25" fillId="0" borderId="29" xfId="0" applyNumberFormat="1" applyFont="1" applyFill="1" applyBorder="1" applyAlignment="1"/>
    <xf numFmtId="44" fontId="12" fillId="0" borderId="0" xfId="2" applyFont="1" applyBorder="1"/>
    <xf numFmtId="167" fontId="17" fillId="0" borderId="0" xfId="1" applyNumberFormat="1" applyFont="1"/>
    <xf numFmtId="167" fontId="17" fillId="0" borderId="0" xfId="1" applyNumberFormat="1" applyFont="1" applyAlignment="1">
      <alignment horizontal="center"/>
    </xf>
    <xf numFmtId="0" fontId="12" fillId="49" borderId="0" xfId="0" applyFont="1" applyFill="1"/>
    <xf numFmtId="171" fontId="12" fillId="49" borderId="0" xfId="0" applyNumberFormat="1" applyFont="1" applyFill="1"/>
    <xf numFmtId="0" fontId="12" fillId="49" borderId="0" xfId="0" applyFont="1" applyFill="1" applyBorder="1" applyAlignment="1">
      <alignment horizontal="center"/>
    </xf>
    <xf numFmtId="0" fontId="12" fillId="49" borderId="0" xfId="0" applyFont="1" applyFill="1" applyAlignment="1">
      <alignment horizontal="center"/>
    </xf>
    <xf numFmtId="0" fontId="12" fillId="49" borderId="13" xfId="0" applyFont="1" applyFill="1" applyBorder="1" applyAlignment="1">
      <alignment horizontal="center"/>
    </xf>
    <xf numFmtId="171" fontId="12" fillId="49" borderId="0" xfId="0" applyNumberFormat="1" applyFont="1" applyFill="1" applyBorder="1" applyAlignment="1"/>
    <xf numFmtId="0" fontId="17" fillId="49" borderId="31" xfId="0" applyFont="1" applyFill="1" applyBorder="1" applyAlignment="1">
      <alignment horizontal="center"/>
    </xf>
    <xf numFmtId="0" fontId="12" fillId="49" borderId="31" xfId="0" applyFont="1" applyFill="1" applyBorder="1" applyAlignment="1">
      <alignment horizontal="center"/>
    </xf>
    <xf numFmtId="0" fontId="0" fillId="49" borderId="0" xfId="0" applyFill="1" applyAlignment="1">
      <alignment vertical="top"/>
    </xf>
    <xf numFmtId="0" fontId="14" fillId="49" borderId="0" xfId="0" applyFont="1" applyFill="1" applyAlignment="1">
      <alignment horizontal="center"/>
    </xf>
    <xf numFmtId="14" fontId="14" fillId="49" borderId="0" xfId="0" applyNumberFormat="1" applyFont="1" applyFill="1" applyAlignment="1">
      <alignment horizontal="center"/>
    </xf>
    <xf numFmtId="0" fontId="14" fillId="49" borderId="13" xfId="0" applyFont="1" applyFill="1" applyBorder="1" applyAlignment="1">
      <alignment horizontal="center"/>
    </xf>
    <xf numFmtId="0" fontId="12" fillId="49" borderId="31" xfId="0" applyFont="1" applyFill="1" applyBorder="1"/>
    <xf numFmtId="7" fontId="11" fillId="0" borderId="0" xfId="0" applyNumberFormat="1" applyFont="1" applyBorder="1" applyAlignment="1">
      <alignment horizontal="center"/>
    </xf>
    <xf numFmtId="37" fontId="12" fillId="0" borderId="38" xfId="0" applyNumberFormat="1" applyFont="1" applyBorder="1"/>
    <xf numFmtId="0" fontId="18" fillId="0" borderId="13" xfId="0" applyFont="1" applyFill="1" applyBorder="1" applyAlignment="1">
      <alignment horizontal="center"/>
    </xf>
    <xf numFmtId="170" fontId="38" fillId="0" borderId="29" xfId="0" applyNumberFormat="1" applyFont="1" applyFill="1" applyBorder="1" applyAlignment="1"/>
    <xf numFmtId="170" fontId="38" fillId="0" borderId="15" xfId="0" applyNumberFormat="1" applyFont="1" applyFill="1" applyBorder="1" applyAlignment="1"/>
    <xf numFmtId="170" fontId="38" fillId="0" borderId="0" xfId="0" applyNumberFormat="1" applyFont="1" applyFill="1" applyBorder="1" applyAlignment="1"/>
    <xf numFmtId="176" fontId="17" fillId="0" borderId="0" xfId="0" applyNumberFormat="1" applyFont="1" applyFill="1"/>
    <xf numFmtId="171" fontId="17" fillId="0" borderId="15" xfId="0" applyNumberFormat="1" applyFont="1" applyFill="1" applyBorder="1"/>
    <xf numFmtId="171" fontId="38" fillId="0" borderId="15" xfId="0" applyNumberFormat="1" applyFont="1" applyFill="1" applyBorder="1"/>
    <xf numFmtId="171" fontId="17" fillId="0" borderId="0" xfId="0" applyNumberFormat="1" applyFont="1" applyFill="1" applyBorder="1"/>
    <xf numFmtId="171" fontId="38" fillId="0" borderId="0" xfId="0" applyNumberFormat="1" applyFont="1" applyFill="1" applyBorder="1"/>
    <xf numFmtId="171" fontId="17" fillId="0" borderId="0" xfId="0" applyNumberFormat="1" applyFont="1" applyFill="1" applyBorder="1" applyAlignment="1"/>
    <xf numFmtId="171" fontId="17" fillId="0" borderId="29" xfId="0" applyNumberFormat="1" applyFont="1" applyFill="1" applyBorder="1" applyAlignment="1"/>
    <xf numFmtId="171" fontId="37" fillId="0" borderId="15" xfId="0" applyNumberFormat="1" applyFont="1" applyFill="1" applyBorder="1"/>
    <xf numFmtId="171" fontId="37" fillId="0" borderId="15" xfId="0" applyNumberFormat="1" applyFont="1" applyBorder="1"/>
    <xf numFmtId="14" fontId="37" fillId="0" borderId="0" xfId="0" applyNumberFormat="1" applyFont="1" applyFill="1" applyAlignment="1">
      <alignment horizontal="center"/>
    </xf>
    <xf numFmtId="168" fontId="12" fillId="0" borderId="15" xfId="0" applyNumberFormat="1" applyFont="1" applyFill="1" applyBorder="1"/>
    <xf numFmtId="168" fontId="12" fillId="0" borderId="0" xfId="0" applyNumberFormat="1" applyFont="1" applyFill="1" applyBorder="1"/>
    <xf numFmtId="168" fontId="14" fillId="0" borderId="15" xfId="0" applyNumberFormat="1" applyFont="1" applyFill="1" applyBorder="1"/>
    <xf numFmtId="168" fontId="14" fillId="0" borderId="0" xfId="0" applyNumberFormat="1" applyFont="1" applyFill="1" applyBorder="1"/>
    <xf numFmtId="168" fontId="12" fillId="0" borderId="29" xfId="0" applyNumberFormat="1" applyFont="1" applyFill="1" applyBorder="1"/>
    <xf numFmtId="39" fontId="12" fillId="0" borderId="15" xfId="0" applyNumberFormat="1" applyFont="1" applyFill="1" applyBorder="1"/>
    <xf numFmtId="39" fontId="12" fillId="0" borderId="0" xfId="0" applyNumberFormat="1" applyFont="1" applyFill="1"/>
    <xf numFmtId="7" fontId="12" fillId="0" borderId="0" xfId="0" applyNumberFormat="1" applyFont="1" applyFill="1"/>
    <xf numFmtId="0" fontId="13" fillId="0" borderId="0" xfId="0" applyFont="1"/>
    <xf numFmtId="7" fontId="11" fillId="0" borderId="0" xfId="0" applyNumberFormat="1" applyFont="1" applyBorder="1" applyAlignment="1">
      <alignment horizontal="centerContinuous"/>
    </xf>
    <xf numFmtId="0" fontId="14" fillId="0" borderId="11" xfId="0" applyFont="1" applyBorder="1" applyAlignment="1">
      <alignment horizontal="center"/>
    </xf>
    <xf numFmtId="0" fontId="12" fillId="0" borderId="10" xfId="0" applyFont="1" applyBorder="1" applyAlignment="1">
      <alignment horizontal="center"/>
    </xf>
    <xf numFmtId="171" fontId="12" fillId="0" borderId="16" xfId="0" applyNumberFormat="1" applyFont="1" applyBorder="1" applyAlignment="1">
      <alignment horizontal="center"/>
    </xf>
    <xf numFmtId="171" fontId="14" fillId="0" borderId="12" xfId="0" applyNumberFormat="1" applyFont="1" applyBorder="1" applyAlignment="1">
      <alignment horizontal="center"/>
    </xf>
    <xf numFmtId="168" fontId="12" fillId="0" borderId="9" xfId="3" applyNumberFormat="1" applyFont="1" applyBorder="1"/>
    <xf numFmtId="168" fontId="12" fillId="0" borderId="9" xfId="3" quotePrefix="1" applyNumberFormat="1" applyFont="1" applyBorder="1"/>
    <xf numFmtId="170" fontId="17" fillId="0" borderId="28" xfId="0" applyNumberFormat="1" applyFont="1" applyBorder="1" applyAlignment="1">
      <alignment horizontal="center"/>
    </xf>
    <xf numFmtId="168" fontId="12" fillId="0" borderId="30" xfId="0" applyNumberFormat="1" applyFont="1" applyBorder="1"/>
    <xf numFmtId="171" fontId="12" fillId="0" borderId="39" xfId="0" applyNumberFormat="1" applyFont="1" applyBorder="1"/>
    <xf numFmtId="171" fontId="12" fillId="0" borderId="39" xfId="0" applyNumberFormat="1" applyFont="1" applyBorder="1" applyAlignment="1">
      <alignment horizontal="left"/>
    </xf>
    <xf numFmtId="171" fontId="12" fillId="0" borderId="27" xfId="0" applyNumberFormat="1" applyFont="1" applyBorder="1"/>
    <xf numFmtId="171" fontId="12" fillId="0" borderId="0" xfId="0" applyNumberFormat="1" applyFont="1" applyFill="1" applyBorder="1" applyAlignment="1">
      <alignment horizontal="center"/>
    </xf>
    <xf numFmtId="0" fontId="12" fillId="0" borderId="36" xfId="0" applyFont="1" applyBorder="1"/>
    <xf numFmtId="171" fontId="12" fillId="0" borderId="37" xfId="0" applyNumberFormat="1" applyFont="1" applyBorder="1"/>
    <xf numFmtId="171" fontId="12" fillId="0" borderId="9" xfId="0" applyNumberFormat="1" applyFont="1" applyBorder="1" applyAlignment="1">
      <alignment horizontal="center"/>
    </xf>
    <xf numFmtId="171" fontId="12" fillId="0" borderId="9" xfId="3" applyNumberFormat="1" applyFont="1" applyBorder="1"/>
    <xf numFmtId="171" fontId="12" fillId="0" borderId="9" xfId="3" quotePrefix="1" applyNumberFormat="1" applyFont="1" applyBorder="1"/>
    <xf numFmtId="171" fontId="12" fillId="0" borderId="30" xfId="0" applyNumberFormat="1" applyFont="1" applyBorder="1"/>
    <xf numFmtId="5" fontId="12" fillId="0" borderId="15" xfId="0" applyNumberFormat="1" applyFont="1" applyBorder="1"/>
    <xf numFmtId="5" fontId="12" fillId="0" borderId="0" xfId="3" applyNumberFormat="1" applyFont="1" applyBorder="1"/>
    <xf numFmtId="5" fontId="12" fillId="0" borderId="0" xfId="3" quotePrefix="1" applyNumberFormat="1" applyFont="1" applyBorder="1"/>
    <xf numFmtId="5" fontId="12" fillId="0" borderId="0" xfId="0" applyNumberFormat="1" applyFont="1" applyBorder="1"/>
    <xf numFmtId="37" fontId="12" fillId="0" borderId="35" xfId="0" applyNumberFormat="1" applyFont="1" applyBorder="1"/>
    <xf numFmtId="0" fontId="14" fillId="0" borderId="22" xfId="0" applyFont="1" applyFill="1" applyBorder="1" applyAlignment="1">
      <alignment horizontal="center"/>
    </xf>
    <xf numFmtId="0" fontId="14" fillId="0" borderId="41" xfId="0" applyFont="1" applyBorder="1" applyAlignment="1">
      <alignment horizontal="right"/>
    </xf>
    <xf numFmtId="0" fontId="37" fillId="50" borderId="0" xfId="0" applyFont="1" applyFill="1" applyBorder="1" applyAlignment="1">
      <alignment horizontal="center"/>
    </xf>
    <xf numFmtId="0" fontId="37" fillId="45" borderId="0" xfId="0" applyFont="1" applyFill="1" applyBorder="1" applyAlignment="1">
      <alignment horizontal="center"/>
    </xf>
    <xf numFmtId="0" fontId="14" fillId="0" borderId="41" xfId="0" applyFont="1" applyFill="1" applyBorder="1" applyAlignment="1">
      <alignment horizontal="center"/>
    </xf>
    <xf numFmtId="39" fontId="12" fillId="0" borderId="0" xfId="0" applyNumberFormat="1" applyFont="1" applyFill="1" applyBorder="1"/>
    <xf numFmtId="7" fontId="11" fillId="0" borderId="0" xfId="0" applyNumberFormat="1" applyFont="1" applyFill="1" applyBorder="1" applyAlignment="1">
      <alignment horizontal="center"/>
    </xf>
    <xf numFmtId="14" fontId="12" fillId="0" borderId="0" xfId="0" applyNumberFormat="1" applyFont="1" applyFill="1" applyAlignment="1">
      <alignment horizontal="center"/>
    </xf>
    <xf numFmtId="0" fontId="12" fillId="0" borderId="0" xfId="0" applyFont="1" applyFill="1" applyAlignment="1">
      <alignment horizontal="center"/>
    </xf>
    <xf numFmtId="167" fontId="12" fillId="0" borderId="0" xfId="0" applyNumberFormat="1" applyFont="1"/>
    <xf numFmtId="37" fontId="12" fillId="0" borderId="0" xfId="0" applyNumberFormat="1" applyFont="1" applyFill="1" applyBorder="1"/>
    <xf numFmtId="7" fontId="11" fillId="0" borderId="0" xfId="2" applyNumberFormat="1" applyFont="1" applyBorder="1" applyAlignment="1">
      <alignment horizontal="center"/>
    </xf>
    <xf numFmtId="171" fontId="14" fillId="0" borderId="37" xfId="0" applyNumberFormat="1" applyFont="1" applyBorder="1" applyAlignment="1">
      <alignment horizontal="centerContinuous"/>
    </xf>
    <xf numFmtId="39" fontId="12" fillId="0" borderId="12" xfId="0" applyNumberFormat="1" applyFont="1" applyBorder="1"/>
    <xf numFmtId="178" fontId="12" fillId="0" borderId="15" xfId="0" applyNumberFormat="1" applyFont="1" applyFill="1" applyBorder="1"/>
    <xf numFmtId="178" fontId="12" fillId="0" borderId="15" xfId="0" applyNumberFormat="1" applyFont="1" applyBorder="1"/>
    <xf numFmtId="178" fontId="12" fillId="0" borderId="0" xfId="3" quotePrefix="1" applyNumberFormat="1" applyFont="1" applyBorder="1"/>
    <xf numFmtId="178" fontId="12" fillId="0" borderId="0" xfId="0" applyNumberFormat="1" applyFont="1" applyBorder="1"/>
    <xf numFmtId="178" fontId="12" fillId="0" borderId="0" xfId="3" applyNumberFormat="1" applyFont="1" applyBorder="1"/>
    <xf numFmtId="172" fontId="17" fillId="0" borderId="0" xfId="0" applyNumberFormat="1" applyFont="1" applyFill="1"/>
    <xf numFmtId="187" fontId="37" fillId="50" borderId="0" xfId="0" applyNumberFormat="1" applyFont="1" applyFill="1" applyBorder="1" applyAlignment="1">
      <alignment horizontal="center"/>
    </xf>
    <xf numFmtId="164" fontId="12" fillId="0" borderId="23" xfId="0" applyNumberFormat="1" applyFont="1" applyFill="1" applyBorder="1" applyAlignment="1">
      <alignment horizontal="center"/>
    </xf>
    <xf numFmtId="0" fontId="36" fillId="0" borderId="0" xfId="0" applyFont="1" applyBorder="1" applyAlignment="1">
      <alignment wrapText="1"/>
    </xf>
    <xf numFmtId="0" fontId="2" fillId="0" borderId="0" xfId="0" applyFont="1" applyAlignment="1">
      <alignment wrapText="1"/>
    </xf>
    <xf numFmtId="0" fontId="0" fillId="0" borderId="0" xfId="0" applyAlignment="1">
      <alignment wrapText="1"/>
    </xf>
    <xf numFmtId="37" fontId="36" fillId="0" borderId="0" xfId="0" applyNumberFormat="1" applyFont="1" applyAlignment="1" applyProtection="1">
      <alignment horizontal="left" wrapText="1"/>
    </xf>
    <xf numFmtId="0" fontId="14" fillId="45" borderId="0" xfId="0" applyFont="1" applyFill="1" applyBorder="1" applyAlignment="1">
      <alignment horizontal="center" wrapText="1"/>
    </xf>
    <xf numFmtId="0" fontId="13" fillId="46" borderId="0" xfId="0" applyFont="1" applyFill="1" applyBorder="1" applyAlignment="1">
      <alignment horizontal="center" wrapText="1"/>
    </xf>
    <xf numFmtId="37" fontId="14" fillId="7" borderId="35" xfId="0" applyNumberFormat="1" applyFont="1" applyFill="1" applyBorder="1" applyAlignment="1">
      <alignment horizontal="center"/>
    </xf>
    <xf numFmtId="37" fontId="14" fillId="7" borderId="36" xfId="0" applyNumberFormat="1" applyFont="1" applyFill="1" applyBorder="1" applyAlignment="1">
      <alignment horizontal="center"/>
    </xf>
    <xf numFmtId="37" fontId="14" fillId="7" borderId="37" xfId="0" applyNumberFormat="1" applyFont="1" applyFill="1" applyBorder="1" applyAlignment="1">
      <alignment horizontal="center"/>
    </xf>
    <xf numFmtId="0" fontId="14" fillId="0" borderId="20" xfId="0" applyFont="1" applyBorder="1" applyAlignment="1">
      <alignment horizontal="center" wrapText="1"/>
    </xf>
    <xf numFmtId="0" fontId="0" fillId="0" borderId="9" xfId="0" applyBorder="1" applyAlignment="1">
      <alignment horizontal="center" wrapText="1"/>
    </xf>
    <xf numFmtId="37" fontId="14" fillId="0" borderId="11" xfId="0" applyNumberFormat="1" applyFont="1" applyBorder="1" applyAlignment="1">
      <alignment horizontal="center"/>
    </xf>
    <xf numFmtId="37" fontId="14" fillId="0" borderId="10" xfId="0" applyNumberFormat="1" applyFont="1" applyBorder="1" applyAlignment="1">
      <alignment horizontal="center"/>
    </xf>
    <xf numFmtId="37" fontId="14" fillId="0" borderId="16" xfId="0" applyNumberFormat="1" applyFont="1" applyBorder="1" applyAlignment="1">
      <alignment horizontal="center"/>
    </xf>
    <xf numFmtId="37" fontId="14" fillId="0" borderId="35" xfId="0" applyNumberFormat="1" applyFont="1" applyBorder="1" applyAlignment="1">
      <alignment horizontal="center"/>
    </xf>
    <xf numFmtId="37" fontId="14" fillId="0" borderId="36" xfId="0" applyNumberFormat="1" applyFont="1" applyBorder="1" applyAlignment="1">
      <alignment horizontal="center"/>
    </xf>
    <xf numFmtId="37" fontId="14" fillId="0" borderId="37" xfId="0" applyNumberFormat="1" applyFont="1" applyBorder="1" applyAlignment="1">
      <alignment horizontal="center"/>
    </xf>
  </cellXfs>
  <cellStyles count="101">
    <cellStyle name="Accent1 - 20%" xfId="10"/>
    <cellStyle name="Accent1 - 40%" xfId="11"/>
    <cellStyle name="Accent1 - 60%" xfId="12"/>
    <cellStyle name="Accent2 - 20%" xfId="13"/>
    <cellStyle name="Accent2 - 40%" xfId="14"/>
    <cellStyle name="Accent2 - 60%" xfId="15"/>
    <cellStyle name="Accent3 - 20%" xfId="16"/>
    <cellStyle name="Accent3 - 40%" xfId="17"/>
    <cellStyle name="Accent3 - 60%" xfId="18"/>
    <cellStyle name="Accent4 - 20%" xfId="19"/>
    <cellStyle name="Accent4 - 40%" xfId="20"/>
    <cellStyle name="Accent4 - 60%" xfId="21"/>
    <cellStyle name="Accent5 - 20%" xfId="22"/>
    <cellStyle name="Accent5 - 40%" xfId="23"/>
    <cellStyle name="Accent5 - 60%" xfId="24"/>
    <cellStyle name="Accent6 - 20%" xfId="25"/>
    <cellStyle name="Accent6 - 40%" xfId="26"/>
    <cellStyle name="Accent6 - 60%" xfId="27"/>
    <cellStyle name="ColumnHeading" xfId="28"/>
    <cellStyle name="Comma" xfId="1" builtinId="3"/>
    <cellStyle name="Comma 2" xfId="8"/>
    <cellStyle name="Comma 3" xfId="29"/>
    <cellStyle name="Comma 4" xfId="30"/>
    <cellStyle name="Comma0" xfId="31"/>
    <cellStyle name="Comma4" xfId="32"/>
    <cellStyle name="CountryTitle" xfId="33"/>
    <cellStyle name="Currency" xfId="2" builtinId="4"/>
    <cellStyle name="currency 0" xfId="34"/>
    <cellStyle name="Currency 2" xfId="35"/>
    <cellStyle name="Currency 3" xfId="36"/>
    <cellStyle name="Currency 4" xfId="37"/>
    <cellStyle name="Currency0" xfId="38"/>
    <cellStyle name="Currency4" xfId="39"/>
    <cellStyle name="Date" xfId="40"/>
    <cellStyle name="Emphasis 1" xfId="41"/>
    <cellStyle name="Emphasis 2" xfId="42"/>
    <cellStyle name="Emphasis 3" xfId="43"/>
    <cellStyle name="Fixed" xfId="44"/>
    <cellStyle name="Footnote" xfId="45"/>
    <cellStyle name="Heading1" xfId="46"/>
    <cellStyle name="Heading2" xfId="47"/>
    <cellStyle name="Normal" xfId="0" builtinId="0"/>
    <cellStyle name="Normal [0]" xfId="48"/>
    <cellStyle name="Normal [2]" xfId="49"/>
    <cellStyle name="Normal 2" xfId="7"/>
    <cellStyle name="Normal 3" xfId="50"/>
    <cellStyle name="Normal_Book3" xfId="3"/>
    <cellStyle name="Normal_Book5" xfId="4"/>
    <cellStyle name="Normal_DISTBYrateMay2002" xfId="5"/>
    <cellStyle name="Percent" xfId="6" builtinId="5"/>
    <cellStyle name="Percent 2" xfId="9"/>
    <cellStyle name="Percent2" xfId="51"/>
    <cellStyle name="RowHeading" xfId="52"/>
    <cellStyle name="SAPBEXaggData" xfId="53"/>
    <cellStyle name="SAPBEXaggDataEmph" xfId="54"/>
    <cellStyle name="SAPBEXaggItem" xfId="55"/>
    <cellStyle name="SAPBEXaggItemX" xfId="56"/>
    <cellStyle name="SAPBEXchaText" xfId="57"/>
    <cellStyle name="SAPBEXexcBad7" xfId="58"/>
    <cellStyle name="SAPBEXexcBad8" xfId="59"/>
    <cellStyle name="SAPBEXexcBad9" xfId="60"/>
    <cellStyle name="SAPBEXexcCritical4" xfId="61"/>
    <cellStyle name="SAPBEXexcCritical5" xfId="62"/>
    <cellStyle name="SAPBEXexcCritical6" xfId="63"/>
    <cellStyle name="SAPBEXexcGood1" xfId="64"/>
    <cellStyle name="SAPBEXexcGood2" xfId="65"/>
    <cellStyle name="SAPBEXexcGood3" xfId="66"/>
    <cellStyle name="SAPBEXfilterDrill" xfId="67"/>
    <cellStyle name="SAPBEXfilterItem" xfId="68"/>
    <cellStyle name="SAPBEXfilterText" xfId="69"/>
    <cellStyle name="SAPBEXformats" xfId="70"/>
    <cellStyle name="SAPBEXheaderItem" xfId="71"/>
    <cellStyle name="SAPBEXheaderText" xfId="72"/>
    <cellStyle name="SAPBEXHLevel0" xfId="73"/>
    <cellStyle name="SAPBEXHLevel0X" xfId="74"/>
    <cellStyle name="SAPBEXHLevel1" xfId="75"/>
    <cellStyle name="SAPBEXHLevel1X" xfId="76"/>
    <cellStyle name="SAPBEXHLevel2" xfId="77"/>
    <cellStyle name="SAPBEXHLevel2X" xfId="78"/>
    <cellStyle name="SAPBEXHLevel3" xfId="79"/>
    <cellStyle name="SAPBEXHLevel3X" xfId="80"/>
    <cellStyle name="SAPBEXinputData" xfId="81"/>
    <cellStyle name="SAPBEXresData" xfId="82"/>
    <cellStyle name="SAPBEXresDataEmph" xfId="83"/>
    <cellStyle name="SAPBEXresItem" xfId="84"/>
    <cellStyle name="SAPBEXresItemX" xfId="85"/>
    <cellStyle name="SAPBEXstdData" xfId="86"/>
    <cellStyle name="SAPBEXstdDataEmph" xfId="87"/>
    <cellStyle name="SAPBEXstdItem" xfId="88"/>
    <cellStyle name="SAPBEXstdItemX" xfId="89"/>
    <cellStyle name="SAPBEXtitle" xfId="90"/>
    <cellStyle name="SAPBEXundefined" xfId="91"/>
    <cellStyle name="Sheet Title" xfId="92"/>
    <cellStyle name="SubHeading" xfId="93"/>
    <cellStyle name="SubsidTitle" xfId="94"/>
    <cellStyle name="Table Data" xfId="95"/>
    <cellStyle name="Table Headings Bold" xfId="96"/>
    <cellStyle name="Totals" xfId="97"/>
    <cellStyle name="Totals [0]" xfId="98"/>
    <cellStyle name="Totals [2]" xfId="99"/>
    <cellStyle name="Year" xfId="100"/>
  </cellStyles>
  <dxfs count="0"/>
  <tableStyles count="0" defaultTableStyle="TableStyleMedium9" defaultPivotStyle="PivotStyleLight16"/>
  <colors>
    <mruColors>
      <color rgb="FFFFFF99"/>
      <color rgb="FF0000FF"/>
      <color rgb="FFFF3300"/>
      <color rgb="FFF0B8B7"/>
      <color rgb="FFFF9999"/>
      <color rgb="FFFFCCCC"/>
      <color rgb="FF00FF00"/>
      <color rgb="FFFFFF00"/>
      <color rgb="FFFFFF66"/>
      <color rgb="FFFFC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_Affairs/PGA%20-%20OREGON/2010/October%20Filings/Rate%20Development%20File%20&amp;%20Support/NWN%202010-11%20Oregon%20PGA%20rate%20development%20file%20October%20fi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snt01\groups\Documents%20and%20Settings\jzs\Local%20Settings\Temporary%20Internet%20Files\OLK17C\Income%20Statement%20Budget%20-%20Version%2005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psnt01\groups\Financial%20Planning%20and%20Analysis\Forecast%20-%20Board\201009%20Forecast\Margin\FCST%20Margin%2009_02_10%20Board%20BASE%20C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ulatory_Affairs/PGA%20-%20OREGON/2012/October%20filings/Gas%20Cost%20Development%20file%20and%20support/NWN%202012-13%20PGA%20gas%20cost%20development%20file%20October%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Average Bill by RS"/>
      <sheetName val="Rates in summary"/>
      <sheetName val="Rates in detail"/>
      <sheetName val="Elasticity"/>
      <sheetName val="Permanents"/>
      <sheetName val="Temporaries"/>
      <sheetName val="Allocation equal ¢ per therm"/>
      <sheetName val="Allocation equal % of margin"/>
      <sheetName val="Inputs"/>
      <sheetName val="Oregon volumes"/>
      <sheetName val="Amortization Rates"/>
      <sheetName val="PGA Summary UM1286 Req'd"/>
      <sheetName val="Rates for MAS GS"/>
      <sheetName val="Inputs for FCST MGN"/>
      <sheetName val="Rates for Tariff Sheets"/>
      <sheetName val="Cover"/>
      <sheetName val="OR Index"/>
      <sheetName val="F Goldenrod"/>
      <sheetName val="Statement of Rates"/>
      <sheetName val="Statement of Rates Mult. Co"/>
      <sheetName val="Summary of Sales Rates"/>
      <sheetName val="Sales Summary-Mult. Co."/>
      <sheetName val="Summary of Transportation Rates"/>
      <sheetName val="Transp. Summary-Mult. Co"/>
      <sheetName val="Summary of Changes in Rates"/>
      <sheetName val="Adjs. to  Residential Rates"/>
      <sheetName val="Rate Case History"/>
      <sheetName val="Annual WACOG History"/>
      <sheetName val="Winter WACOG History"/>
      <sheetName val="RS 1 Billing Rate History"/>
      <sheetName val="RS 2 Billing Rate History"/>
      <sheetName val="RS 3 Sales Billing Rate History"/>
      <sheetName val="RS 19 Sales Billing Rate His"/>
      <sheetName val="RS 31 FirmSalesHistory"/>
      <sheetName val="RS 31 IntpSalesHistory"/>
      <sheetName val="RS 32 FirmSalesHistory"/>
      <sheetName val="RS 32 IntpSalesHistory"/>
      <sheetName val="RS 31 Transp History"/>
      <sheetName val="RS 32 Transp History"/>
      <sheetName val="RS 33 Transp History"/>
      <sheetName val="Break"/>
      <sheetName val="RS1 History 1982-2001"/>
      <sheetName val="RS 2 History 1980-2001"/>
      <sheetName val="RS 3 Sales History 1980-2001"/>
      <sheetName val="RS 3 Transp History 1988-2001"/>
      <sheetName val="RS 3T History 2002-2006"/>
      <sheetName val="RS 1R Perm. Rates"/>
      <sheetName val="RS 2 Perm. Rates"/>
      <sheetName val="RS 3 Perm. Rates"/>
      <sheetName val="OR RS 54 History 2003-2009"/>
      <sheetName val="RS 31 Sales History"/>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ow r="30">
          <cell r="B30">
            <v>2.7990000000000001E-2</v>
          </cell>
        </row>
        <row r="85">
          <cell r="B85">
            <v>40483</v>
          </cell>
        </row>
      </sheetData>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Version 2-10"/>
      <sheetName val="Budget Version 2-14"/>
      <sheetName val="Bud. Ver. 2-10 to 2-14"/>
      <sheetName val="Budget Version 2-21"/>
      <sheetName val="Bud. Ver. 2-14 to 2-21"/>
      <sheetName val="Budget Version 4-19"/>
      <sheetName val="Bud. Ver. 2-21 to 4-19"/>
      <sheetName val="Budget Version 5-2"/>
      <sheetName val="Bud. Ver. 4-19 to 5-2"/>
      <sheetName val="Budget Version 5-31"/>
      <sheetName val="Bud. Ver. 5-2 to 5-31"/>
      <sheetName val="Data"/>
      <sheetName val="YTD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ow r="4">
          <cell r="G4" t="str">
            <v>Jan</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 Others"/>
      <sheetName val="General Inputs - Rates"/>
      <sheetName val="General Inputs - COH"/>
      <sheetName val="Customer&amp;Usage Inputs"/>
      <sheetName val="Customers"/>
      <sheetName val="Volumes"/>
      <sheetName val="Volumes per Customer"/>
      <sheetName val="Customer Charge"/>
      <sheetName val="Temp Com&amp;Dem Def collection"/>
      <sheetName val="Temp collection"/>
      <sheetName val="Temp Amortization"/>
      <sheetName val="perm revenue"/>
      <sheetName val="Decoupling"/>
      <sheetName val="MDDV Service Charge"/>
      <sheetName val="Total Revenue"/>
      <sheetName val="Franchise Tax"/>
      <sheetName val="Other Tax"/>
      <sheetName val="Total CYCLE Revenues"/>
      <sheetName val="Total CYCLE Volumes"/>
      <sheetName val="Unbilled Rev"/>
      <sheetName val="Unbilled Vol"/>
      <sheetName val="Output to Forecast model"/>
      <sheetName val="Margins tab to Forecast model"/>
      <sheetName val="Volumes tab to Forecast model"/>
      <sheetName val="Monthly Margin"/>
      <sheetName val="LUFG Margin allocated"/>
      <sheetName val="Executive Summary"/>
      <sheetName val="BExRepositorySheet"/>
      <sheetName val="Export to Rev Year 2010"/>
      <sheetName val="Export to Rev Year 2011"/>
      <sheetName val="Export to Margin Analysis"/>
      <sheetName val="Export to Lawson Year 2010"/>
      <sheetName val="Export to Lawson Year 2011"/>
      <sheetName val="Export to SAP 2010"/>
      <sheetName val="Export to SAP 2011"/>
      <sheetName val="export to AMORT Model"/>
      <sheetName val="OR WACOG EQ"/>
      <sheetName val="WACOG Deferral"/>
      <sheetName val="Commodity"/>
      <sheetName val="Demand"/>
      <sheetName val="Demand Def Allocated"/>
      <sheetName val="Demand Equal Allocated"/>
      <sheetName val="Seasonalzd Demand TEST"/>
      <sheetName val="Amort of Comm &amp; Demand"/>
      <sheetName val="COG Summary"/>
      <sheetName val="COG &amp; DEM Collected"/>
      <sheetName val="COG Detail"/>
      <sheetName val="WACOG Collected"/>
    </sheetNames>
    <sheetDataSet>
      <sheetData sheetId="0">
        <row r="10">
          <cell r="C10">
            <v>2010</v>
          </cell>
          <cell r="F10">
            <v>2.8999999999999998E-3</v>
          </cell>
        </row>
      </sheetData>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current WA"/>
      <sheetName val="Comparison to current OR"/>
      <sheetName val="Winter WACOG OR&amp;WA"/>
      <sheetName val="Derivation of Demand rates WA"/>
      <sheetName val="Derivation of Demand rates OR"/>
      <sheetName val="Demand Charges"/>
      <sheetName val="Total Commodity Summary"/>
      <sheetName val="Total Commodity Summary old"/>
      <sheetName val="Commodity Cost from Vol Pipe"/>
      <sheetName val="download for JV28A"/>
      <sheetName val="Commodity Cost from Supply VERT"/>
      <sheetName val="Hedged Spot Dispatch &amp; Cost"/>
      <sheetName val="Commodity Cost from Supply"/>
      <sheetName val="Commodity Supply Dispatch"/>
      <sheetName val="Commodity Cost from Gas Reserve"/>
      <sheetName val="Gas Reserves Dispatch"/>
      <sheetName val="Commodity Cost from Storage"/>
      <sheetName val="Storage Dispatch"/>
      <sheetName val="Index Prices"/>
      <sheetName val="Line loss"/>
      <sheetName val="Fuel factors"/>
      <sheetName val="General Inputs"/>
      <sheetName val="Gas Reserve Data"/>
      <sheetName val="Spot contracts"/>
      <sheetName val="Supply Contracts"/>
      <sheetName val="COG Inputs -FCST MGN file"/>
      <sheetName val="PGA Summary UM1286 Req'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0">
          <cell r="E10">
            <v>4.3720000000000002E-2</v>
          </cell>
        </row>
      </sheetData>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6"/>
  <sheetViews>
    <sheetView workbookViewId="0">
      <selection activeCell="H17" sqref="H17"/>
    </sheetView>
  </sheetViews>
  <sheetFormatPr defaultColWidth="9.33203125" defaultRowHeight="13.2" x14ac:dyDescent="0.25"/>
  <cols>
    <col min="1" max="1" width="5.88671875" style="2" customWidth="1"/>
    <col min="2" max="2" width="34.88671875" style="2" customWidth="1"/>
    <col min="3" max="3" width="70.88671875" style="2" customWidth="1"/>
    <col min="4" max="25" width="20.88671875" style="2" customWidth="1"/>
    <col min="26" max="16384" width="9.33203125" style="2"/>
  </cols>
  <sheetData>
    <row r="1" spans="1:6" ht="13.8" x14ac:dyDescent="0.25">
      <c r="A1" s="32" t="str">
        <f>+'Washington volumes'!A1</f>
        <v>NW Natural</v>
      </c>
      <c r="D1" s="210">
        <v>39814</v>
      </c>
    </row>
    <row r="2" spans="1:6" ht="13.8" x14ac:dyDescent="0.25">
      <c r="A2" s="32" t="str">
        <f>+'Washington volumes'!A2</f>
        <v>Rates &amp; Regulatory Affairs</v>
      </c>
    </row>
    <row r="3" spans="1:6" ht="13.8" x14ac:dyDescent="0.25">
      <c r="A3" s="32" t="str">
        <f>+'Washington volumes'!A3</f>
        <v>2018-2019 PGA Filing - Washington: September Filing</v>
      </c>
    </row>
    <row r="4" spans="1:6" ht="13.8" x14ac:dyDescent="0.25">
      <c r="A4" s="32" t="s">
        <v>99</v>
      </c>
    </row>
    <row r="5" spans="1:6" x14ac:dyDescent="0.25">
      <c r="B5" s="35"/>
    </row>
    <row r="6" spans="1:6" x14ac:dyDescent="0.25">
      <c r="A6" s="144" t="s">
        <v>100</v>
      </c>
      <c r="B6" s="145"/>
      <c r="C6" s="145"/>
    </row>
    <row r="7" spans="1:6" x14ac:dyDescent="0.25">
      <c r="B7" s="35"/>
    </row>
    <row r="8" spans="1:6" x14ac:dyDescent="0.25">
      <c r="A8" s="2" t="s">
        <v>214</v>
      </c>
    </row>
    <row r="10" spans="1:6" x14ac:dyDescent="0.25">
      <c r="A10" s="26" t="s">
        <v>101</v>
      </c>
      <c r="C10" s="26" t="s">
        <v>102</v>
      </c>
      <c r="D10" s="26"/>
      <c r="E10" s="26"/>
      <c r="F10" s="26"/>
    </row>
    <row r="11" spans="1:6" ht="13.8" thickBot="1" x14ac:dyDescent="0.3">
      <c r="A11" s="26"/>
      <c r="C11" s="26"/>
      <c r="D11" s="26"/>
      <c r="E11" s="26"/>
      <c r="F11" s="26"/>
    </row>
    <row r="12" spans="1:6" x14ac:dyDescent="0.25">
      <c r="A12" s="146" t="s">
        <v>103</v>
      </c>
      <c r="B12" s="147"/>
      <c r="C12" s="148" t="s">
        <v>104</v>
      </c>
      <c r="D12" s="26"/>
      <c r="E12" s="26"/>
      <c r="F12" s="26"/>
    </row>
    <row r="13" spans="1:6" ht="13.8" thickBot="1" x14ac:dyDescent="0.3">
      <c r="A13" s="149"/>
      <c r="B13" s="150"/>
      <c r="C13" s="151"/>
    </row>
    <row r="14" spans="1:6" x14ac:dyDescent="0.25">
      <c r="A14" s="146" t="s">
        <v>192</v>
      </c>
      <c r="B14" s="147"/>
      <c r="C14" s="148" t="s">
        <v>207</v>
      </c>
    </row>
    <row r="15" spans="1:6" x14ac:dyDescent="0.25">
      <c r="A15" s="152"/>
      <c r="B15" s="3"/>
      <c r="C15" s="102" t="s">
        <v>208</v>
      </c>
    </row>
    <row r="16" spans="1:6" ht="13.8" thickBot="1" x14ac:dyDescent="0.3">
      <c r="A16" s="149"/>
      <c r="B16" s="150"/>
      <c r="C16" s="151"/>
    </row>
    <row r="17" spans="1:3" x14ac:dyDescent="0.25">
      <c r="A17" s="146" t="s">
        <v>184</v>
      </c>
      <c r="B17" s="147"/>
      <c r="C17" s="148" t="s">
        <v>105</v>
      </c>
    </row>
    <row r="18" spans="1:3" x14ac:dyDescent="0.25">
      <c r="A18" s="152"/>
      <c r="B18" s="3"/>
      <c r="C18" s="102" t="s">
        <v>186</v>
      </c>
    </row>
    <row r="19" spans="1:3" x14ac:dyDescent="0.25">
      <c r="A19" s="152"/>
      <c r="B19" s="3"/>
      <c r="C19" s="102" t="s">
        <v>187</v>
      </c>
    </row>
    <row r="20" spans="1:3" ht="13.8" thickBot="1" x14ac:dyDescent="0.3">
      <c r="A20" s="149"/>
      <c r="B20" s="150"/>
      <c r="C20" s="151"/>
    </row>
    <row r="21" spans="1:3" x14ac:dyDescent="0.25">
      <c r="A21" s="146" t="s">
        <v>183</v>
      </c>
      <c r="B21" s="147"/>
      <c r="C21" s="148" t="s">
        <v>185</v>
      </c>
    </row>
    <row r="22" spans="1:3" x14ac:dyDescent="0.25">
      <c r="A22" s="152"/>
      <c r="B22" s="3"/>
      <c r="C22" s="102" t="s">
        <v>188</v>
      </c>
    </row>
    <row r="23" spans="1:3" x14ac:dyDescent="0.25">
      <c r="A23" s="152"/>
      <c r="B23" s="3"/>
      <c r="C23" s="102" t="s">
        <v>187</v>
      </c>
    </row>
    <row r="24" spans="1:3" ht="13.8" thickBot="1" x14ac:dyDescent="0.3">
      <c r="A24" s="149"/>
      <c r="B24" s="150"/>
      <c r="C24" s="151"/>
    </row>
    <row r="25" spans="1:3" x14ac:dyDescent="0.25">
      <c r="A25" s="146" t="s">
        <v>106</v>
      </c>
      <c r="B25" s="147"/>
      <c r="C25" s="148" t="s">
        <v>107</v>
      </c>
    </row>
    <row r="26" spans="1:3" ht="13.8" thickBot="1" x14ac:dyDescent="0.3">
      <c r="A26" s="149"/>
      <c r="B26" s="150"/>
      <c r="C26" s="151"/>
    </row>
    <row r="27" spans="1:3" x14ac:dyDescent="0.25">
      <c r="A27" s="146" t="s">
        <v>108</v>
      </c>
      <c r="B27" s="147"/>
      <c r="C27" s="148" t="s">
        <v>109</v>
      </c>
    </row>
    <row r="28" spans="1:3" x14ac:dyDescent="0.25">
      <c r="A28" s="152"/>
      <c r="B28" s="3"/>
      <c r="C28" s="102" t="s">
        <v>110</v>
      </c>
    </row>
    <row r="29" spans="1:3" ht="13.8" thickBot="1" x14ac:dyDescent="0.3">
      <c r="A29" s="149"/>
      <c r="B29" s="150"/>
      <c r="C29" s="151"/>
    </row>
    <row r="30" spans="1:3" x14ac:dyDescent="0.25">
      <c r="A30" s="146" t="s">
        <v>111</v>
      </c>
      <c r="B30" s="147"/>
      <c r="C30" s="148" t="s">
        <v>109</v>
      </c>
    </row>
    <row r="31" spans="1:3" x14ac:dyDescent="0.25">
      <c r="A31" s="152"/>
      <c r="B31" s="3"/>
      <c r="C31" s="102" t="s">
        <v>112</v>
      </c>
    </row>
    <row r="32" spans="1:3" ht="13.8" thickBot="1" x14ac:dyDescent="0.3">
      <c r="A32" s="149"/>
      <c r="B32" s="150"/>
      <c r="C32" s="151"/>
    </row>
    <row r="33" spans="1:3" x14ac:dyDescent="0.25">
      <c r="A33" s="146" t="s">
        <v>19</v>
      </c>
      <c r="B33" s="147"/>
      <c r="C33" s="148" t="s">
        <v>189</v>
      </c>
    </row>
    <row r="34" spans="1:3" ht="13.8" thickBot="1" x14ac:dyDescent="0.3">
      <c r="A34" s="149"/>
      <c r="B34" s="150"/>
      <c r="C34" s="151"/>
    </row>
    <row r="35" spans="1:3" x14ac:dyDescent="0.25">
      <c r="A35" s="146" t="s">
        <v>119</v>
      </c>
      <c r="B35" s="147"/>
      <c r="C35" s="148" t="s">
        <v>113</v>
      </c>
    </row>
    <row r="36" spans="1:3" x14ac:dyDescent="0.25">
      <c r="A36" s="152"/>
      <c r="B36" s="3"/>
      <c r="C36" s="102" t="s">
        <v>114</v>
      </c>
    </row>
    <row r="37" spans="1:3" x14ac:dyDescent="0.25">
      <c r="A37" s="152"/>
      <c r="B37" s="3"/>
      <c r="C37" s="102" t="s">
        <v>115</v>
      </c>
    </row>
    <row r="38" spans="1:3" ht="13.8" thickBot="1" x14ac:dyDescent="0.3">
      <c r="A38" s="153"/>
      <c r="B38" s="150"/>
      <c r="C38" s="151"/>
    </row>
    <row r="41" spans="1:3" x14ac:dyDescent="0.25">
      <c r="A41" s="154" t="s">
        <v>116</v>
      </c>
      <c r="B41" s="155"/>
      <c r="C41" s="155"/>
    </row>
    <row r="43" spans="1:3" x14ac:dyDescent="0.25">
      <c r="A43" s="2">
        <v>1</v>
      </c>
      <c r="B43" s="2" t="s">
        <v>117</v>
      </c>
    </row>
    <row r="44" spans="1:3" x14ac:dyDescent="0.25">
      <c r="A44" s="2">
        <v>2</v>
      </c>
      <c r="B44" s="2" t="s">
        <v>209</v>
      </c>
    </row>
    <row r="45" spans="1:3" x14ac:dyDescent="0.25">
      <c r="B45" s="2" t="s">
        <v>210</v>
      </c>
    </row>
    <row r="46" spans="1:3" x14ac:dyDescent="0.25">
      <c r="A46" s="2">
        <v>3</v>
      </c>
      <c r="B46" s="2" t="s">
        <v>118</v>
      </c>
    </row>
  </sheetData>
  <phoneticPr fontId="2" type="noConversion"/>
  <printOptions horizontalCentered="1"/>
  <pageMargins left="0.5" right="0.5" top="0.5" bottom="0.5" header="0.25" footer="0.25"/>
  <pageSetup paperSize="28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C283"/>
  <sheetViews>
    <sheetView zoomScale="90" zoomScaleNormal="90" workbookViewId="0">
      <pane xSplit="3" ySplit="7" topLeftCell="D136" activePane="bottomRight" state="frozen"/>
      <selection activeCell="F34" sqref="F34"/>
      <selection pane="topRight" activeCell="F34" sqref="F34"/>
      <selection pane="bottomLeft" activeCell="F34" sqref="F34"/>
      <selection pane="bottomRight" activeCell="H4" sqref="H4"/>
    </sheetView>
  </sheetViews>
  <sheetFormatPr defaultColWidth="9.33203125" defaultRowHeight="13.8" x14ac:dyDescent="0.25"/>
  <cols>
    <col min="1" max="1" width="9.33203125" style="438"/>
    <col min="2" max="2" width="9.88671875" style="438" customWidth="1"/>
    <col min="3" max="3" width="37.33203125" style="438" bestFit="1" customWidth="1"/>
    <col min="4" max="4" width="17.109375" style="438" customWidth="1"/>
    <col min="5" max="18" width="21.88671875" style="438" customWidth="1"/>
    <col min="19" max="19" width="25.88671875" style="438" customWidth="1"/>
    <col min="20" max="22" width="21.88671875" style="438" customWidth="1"/>
    <col min="23" max="28" width="21.88671875" style="447" customWidth="1"/>
    <col min="29" max="29" width="21.88671875" style="438" customWidth="1"/>
    <col min="30" max="53" width="17.109375" style="438" customWidth="1"/>
    <col min="54" max="16384" width="9.33203125" style="438"/>
  </cols>
  <sheetData>
    <row r="1" spans="1:29" x14ac:dyDescent="0.25">
      <c r="A1" s="437" t="s">
        <v>0</v>
      </c>
      <c r="W1" s="438"/>
      <c r="X1" s="438"/>
      <c r="Y1" s="438"/>
      <c r="Z1" s="438"/>
      <c r="AA1" s="438"/>
      <c r="AB1" s="438"/>
    </row>
    <row r="2" spans="1:29" x14ac:dyDescent="0.25">
      <c r="A2" s="437" t="s">
        <v>383</v>
      </c>
      <c r="W2" s="438"/>
      <c r="X2" s="438"/>
      <c r="Y2" s="438"/>
      <c r="Z2" s="438"/>
      <c r="AA2" s="438"/>
      <c r="AB2" s="438"/>
    </row>
    <row r="3" spans="1:29" x14ac:dyDescent="0.25">
      <c r="A3" s="439" t="s">
        <v>384</v>
      </c>
      <c r="W3" s="438"/>
      <c r="X3" s="438"/>
      <c r="Y3" s="438"/>
      <c r="Z3" s="438"/>
      <c r="AA3" s="438"/>
      <c r="AB3" s="438"/>
    </row>
    <row r="4" spans="1:29" x14ac:dyDescent="0.25">
      <c r="A4" s="437" t="s">
        <v>385</v>
      </c>
      <c r="W4" s="438"/>
      <c r="X4" s="438"/>
      <c r="Y4" s="438"/>
      <c r="Z4" s="438"/>
      <c r="AA4" s="438"/>
      <c r="AB4" s="438"/>
    </row>
    <row r="5" spans="1:29" ht="14.4" thickBot="1" x14ac:dyDescent="0.3">
      <c r="A5" s="440" t="s">
        <v>386</v>
      </c>
      <c r="P5" s="441"/>
      <c r="Q5" s="441"/>
      <c r="R5" s="441"/>
      <c r="S5" s="441"/>
      <c r="W5" s="438"/>
      <c r="X5" s="438"/>
      <c r="Y5" s="438"/>
      <c r="Z5" s="438"/>
      <c r="AA5" s="438"/>
      <c r="AB5" s="438"/>
    </row>
    <row r="6" spans="1:29" ht="58.2" customHeight="1" x14ac:dyDescent="0.25">
      <c r="A6" s="442" t="s">
        <v>387</v>
      </c>
      <c r="B6" s="443"/>
      <c r="C6" s="443"/>
      <c r="D6" s="444" t="s">
        <v>388</v>
      </c>
      <c r="E6" s="445" t="s">
        <v>231</v>
      </c>
      <c r="F6" s="445" t="s">
        <v>235</v>
      </c>
      <c r="G6" s="445" t="s">
        <v>389</v>
      </c>
      <c r="H6" s="445" t="s">
        <v>390</v>
      </c>
      <c r="I6" s="445" t="s">
        <v>391</v>
      </c>
      <c r="J6" s="445" t="s">
        <v>392</v>
      </c>
      <c r="K6" s="445" t="s">
        <v>393</v>
      </c>
      <c r="L6" s="445" t="s">
        <v>394</v>
      </c>
      <c r="M6" s="445" t="s">
        <v>395</v>
      </c>
      <c r="N6" s="445" t="s">
        <v>396</v>
      </c>
      <c r="O6" s="445" t="s">
        <v>397</v>
      </c>
      <c r="P6" s="446" t="s">
        <v>398</v>
      </c>
      <c r="R6" s="445" t="s">
        <v>235</v>
      </c>
    </row>
    <row r="7" spans="1:29" x14ac:dyDescent="0.25">
      <c r="A7" s="448"/>
      <c r="B7" s="447"/>
      <c r="C7" s="447"/>
      <c r="D7" s="449" t="s">
        <v>399</v>
      </c>
      <c r="E7" s="450" t="s">
        <v>231</v>
      </c>
      <c r="F7" s="450" t="s">
        <v>400</v>
      </c>
      <c r="G7" s="450" t="s">
        <v>401</v>
      </c>
      <c r="H7" s="450" t="s">
        <v>402</v>
      </c>
      <c r="I7" s="450" t="s">
        <v>403</v>
      </c>
      <c r="J7" s="450" t="s">
        <v>404</v>
      </c>
      <c r="K7" s="450" t="s">
        <v>405</v>
      </c>
      <c r="L7" s="450" t="s">
        <v>405</v>
      </c>
      <c r="M7" s="450" t="s">
        <v>406</v>
      </c>
      <c r="N7" s="450" t="s">
        <v>407</v>
      </c>
      <c r="O7" s="450" t="s">
        <v>406</v>
      </c>
      <c r="P7" s="451" t="s">
        <v>408</v>
      </c>
      <c r="R7" s="450" t="s">
        <v>400</v>
      </c>
    </row>
    <row r="8" spans="1:29" x14ac:dyDescent="0.25">
      <c r="A8" s="448"/>
      <c r="B8" s="447"/>
      <c r="C8" s="452" t="s">
        <v>409</v>
      </c>
      <c r="D8" s="453"/>
      <c r="E8" s="454" t="s">
        <v>410</v>
      </c>
      <c r="F8" s="454" t="s">
        <v>411</v>
      </c>
      <c r="G8" s="454" t="s">
        <v>411</v>
      </c>
      <c r="H8" s="454" t="s">
        <v>411</v>
      </c>
      <c r="I8" s="454" t="s">
        <v>411</v>
      </c>
      <c r="J8" s="454" t="s">
        <v>411</v>
      </c>
      <c r="K8" s="454" t="s">
        <v>412</v>
      </c>
      <c r="L8" s="454" t="s">
        <v>412</v>
      </c>
      <c r="M8" s="454" t="s">
        <v>412</v>
      </c>
      <c r="N8" s="454" t="s">
        <v>413</v>
      </c>
      <c r="O8" s="454" t="s">
        <v>413</v>
      </c>
      <c r="P8" s="455"/>
      <c r="R8" s="454" t="s">
        <v>411</v>
      </c>
    </row>
    <row r="9" spans="1:29" x14ac:dyDescent="0.25">
      <c r="A9" s="448"/>
      <c r="B9" s="447"/>
      <c r="C9" s="452" t="s">
        <v>414</v>
      </c>
      <c r="D9" s="453"/>
      <c r="E9" s="454" t="s">
        <v>415</v>
      </c>
      <c r="F9" s="454" t="s">
        <v>415</v>
      </c>
      <c r="G9" s="454" t="s">
        <v>415</v>
      </c>
      <c r="H9" s="454" t="s">
        <v>415</v>
      </c>
      <c r="I9" s="454" t="s">
        <v>415</v>
      </c>
      <c r="J9" s="454" t="s">
        <v>415</v>
      </c>
      <c r="K9" s="454" t="s">
        <v>416</v>
      </c>
      <c r="L9" s="454" t="s">
        <v>416</v>
      </c>
      <c r="M9" s="456" t="s">
        <v>417</v>
      </c>
      <c r="N9" s="456" t="s">
        <v>418</v>
      </c>
      <c r="O9" s="456" t="s">
        <v>418</v>
      </c>
      <c r="P9" s="455"/>
      <c r="R9" s="454" t="s">
        <v>415</v>
      </c>
    </row>
    <row r="10" spans="1:29" x14ac:dyDescent="0.25">
      <c r="A10" s="448"/>
      <c r="B10" s="447"/>
      <c r="C10" s="452"/>
      <c r="D10" s="453"/>
      <c r="E10" s="454"/>
      <c r="F10" s="454"/>
      <c r="G10" s="454"/>
      <c r="H10" s="454"/>
      <c r="I10" s="454"/>
      <c r="J10" s="454"/>
      <c r="K10" s="454"/>
      <c r="L10" s="454"/>
      <c r="M10" s="457"/>
      <c r="N10" s="458" t="s">
        <v>419</v>
      </c>
      <c r="O10" s="458" t="s">
        <v>419</v>
      </c>
      <c r="P10" s="455"/>
      <c r="R10" s="454"/>
    </row>
    <row r="11" spans="1:29" x14ac:dyDescent="0.25">
      <c r="A11" s="459" t="s">
        <v>284</v>
      </c>
      <c r="B11" s="460" t="s">
        <v>249</v>
      </c>
      <c r="C11" s="461" t="s">
        <v>46</v>
      </c>
      <c r="D11" s="462"/>
      <c r="E11" s="462"/>
      <c r="F11" s="462"/>
      <c r="G11" s="462"/>
      <c r="H11" s="462"/>
      <c r="I11" s="462"/>
      <c r="J11" s="462"/>
      <c r="K11" s="462"/>
      <c r="L11" s="462"/>
      <c r="M11" s="462"/>
      <c r="N11" s="462"/>
      <c r="O11" s="462"/>
      <c r="P11" s="462"/>
      <c r="Q11" s="464">
        <v>0.61834492714719791</v>
      </c>
    </row>
    <row r="12" spans="1:29" x14ac:dyDescent="0.25">
      <c r="A12" s="465"/>
      <c r="B12" s="460"/>
      <c r="C12" s="466" t="s">
        <v>420</v>
      </c>
      <c r="D12" s="462"/>
      <c r="E12" s="462"/>
      <c r="F12" s="462"/>
      <c r="G12" s="462"/>
      <c r="H12" s="462"/>
      <c r="I12" s="462"/>
      <c r="J12" s="462"/>
      <c r="K12" s="462"/>
      <c r="L12" s="462"/>
      <c r="M12" s="462"/>
      <c r="N12" s="462"/>
      <c r="O12" s="462"/>
      <c r="P12" s="462"/>
      <c r="Q12" s="464">
        <v>0.20829263632252135</v>
      </c>
      <c r="AC12" s="437"/>
    </row>
    <row r="13" spans="1:29" x14ac:dyDescent="0.25">
      <c r="A13" s="465"/>
      <c r="B13" s="460"/>
      <c r="C13" s="466"/>
      <c r="D13" s="462"/>
      <c r="E13" s="462"/>
      <c r="F13" s="462"/>
      <c r="G13" s="462"/>
      <c r="H13" s="462"/>
      <c r="I13" s="462"/>
      <c r="J13" s="462"/>
      <c r="K13" s="462"/>
      <c r="L13" s="462"/>
      <c r="M13" s="462"/>
      <c r="N13" s="462"/>
      <c r="O13" s="462"/>
      <c r="P13" s="462"/>
      <c r="Q13" s="464"/>
      <c r="AC13" s="437"/>
    </row>
    <row r="14" spans="1:29" x14ac:dyDescent="0.25">
      <c r="A14" s="465"/>
      <c r="B14" s="460"/>
      <c r="C14" s="468" t="s">
        <v>421</v>
      </c>
      <c r="D14" s="462"/>
      <c r="E14" s="462"/>
      <c r="F14" s="462"/>
      <c r="G14" s="462"/>
      <c r="H14" s="462"/>
      <c r="I14" s="462"/>
      <c r="J14" s="462"/>
      <c r="K14" s="462"/>
      <c r="L14" s="462"/>
      <c r="M14" s="462"/>
      <c r="N14" s="462"/>
      <c r="O14" s="462"/>
      <c r="P14" s="462"/>
      <c r="Q14" s="464"/>
      <c r="AC14" s="437"/>
    </row>
    <row r="15" spans="1:29" x14ac:dyDescent="0.25">
      <c r="A15" s="465"/>
      <c r="B15" s="460"/>
      <c r="C15" s="468" t="s">
        <v>422</v>
      </c>
      <c r="D15" s="462"/>
      <c r="E15" s="462"/>
      <c r="F15" s="462"/>
      <c r="G15" s="462"/>
      <c r="H15" s="462"/>
      <c r="I15" s="462"/>
      <c r="J15" s="462"/>
      <c r="K15" s="462"/>
      <c r="L15" s="462"/>
      <c r="M15" s="462"/>
      <c r="N15" s="462"/>
      <c r="O15" s="462"/>
      <c r="P15" s="462"/>
      <c r="Q15" s="464"/>
      <c r="AC15" s="437"/>
    </row>
    <row r="16" spans="1:29" x14ac:dyDescent="0.25">
      <c r="A16" s="465"/>
      <c r="B16" s="460"/>
      <c r="C16" s="466" t="s">
        <v>423</v>
      </c>
      <c r="D16" s="462"/>
      <c r="E16" s="462"/>
      <c r="F16" s="462"/>
      <c r="G16" s="462"/>
      <c r="H16" s="462"/>
      <c r="I16" s="462"/>
      <c r="J16" s="462"/>
      <c r="K16" s="462"/>
      <c r="L16" s="462"/>
      <c r="M16" s="462"/>
      <c r="N16" s="462"/>
      <c r="O16" s="462"/>
      <c r="P16" s="462"/>
      <c r="Q16" s="464">
        <v>6.764328223996513E-2</v>
      </c>
      <c r="AC16" s="437"/>
    </row>
    <row r="17" spans="1:29" x14ac:dyDescent="0.25">
      <c r="A17" s="465"/>
      <c r="B17" s="460"/>
      <c r="C17" s="466"/>
      <c r="D17" s="462"/>
      <c r="E17" s="462"/>
      <c r="F17" s="462"/>
      <c r="G17" s="462"/>
      <c r="H17" s="462"/>
      <c r="I17" s="462"/>
      <c r="J17" s="462"/>
      <c r="K17" s="462"/>
      <c r="L17" s="462"/>
      <c r="M17" s="462"/>
      <c r="N17" s="462"/>
      <c r="O17" s="462"/>
      <c r="P17" s="462"/>
      <c r="Q17" s="464"/>
      <c r="AC17" s="437"/>
    </row>
    <row r="18" spans="1:29" x14ac:dyDescent="0.25">
      <c r="A18" s="465"/>
      <c r="B18" s="460"/>
      <c r="C18" s="468" t="s">
        <v>424</v>
      </c>
      <c r="D18" s="462"/>
      <c r="E18" s="462"/>
      <c r="F18" s="462"/>
      <c r="G18" s="462"/>
      <c r="H18" s="462"/>
      <c r="I18" s="462"/>
      <c r="J18" s="462"/>
      <c r="K18" s="462"/>
      <c r="L18" s="462"/>
      <c r="M18" s="462"/>
      <c r="N18" s="462"/>
      <c r="O18" s="462"/>
      <c r="P18" s="462"/>
      <c r="Q18" s="464"/>
      <c r="AC18" s="437"/>
    </row>
    <row r="19" spans="1:29" x14ac:dyDescent="0.25">
      <c r="A19" s="465"/>
      <c r="B19" s="460"/>
      <c r="C19" s="468" t="s">
        <v>425</v>
      </c>
      <c r="D19" s="462"/>
      <c r="E19" s="462"/>
      <c r="F19" s="462"/>
      <c r="G19" s="462"/>
      <c r="H19" s="462"/>
      <c r="I19" s="462"/>
      <c r="J19" s="462"/>
      <c r="K19" s="462"/>
      <c r="L19" s="462"/>
      <c r="M19" s="462"/>
      <c r="N19" s="462"/>
      <c r="O19" s="462"/>
      <c r="P19" s="462"/>
      <c r="Q19" s="464"/>
      <c r="AC19" s="437"/>
    </row>
    <row r="20" spans="1:29" x14ac:dyDescent="0.25">
      <c r="A20" s="465"/>
      <c r="B20" s="460"/>
      <c r="C20" s="468" t="s">
        <v>426</v>
      </c>
      <c r="D20" s="462"/>
      <c r="E20" s="462"/>
      <c r="F20" s="462"/>
      <c r="G20" s="462"/>
      <c r="H20" s="462"/>
      <c r="I20" s="462"/>
      <c r="J20" s="462"/>
      <c r="K20" s="462"/>
      <c r="L20" s="462"/>
      <c r="M20" s="462"/>
      <c r="N20" s="462"/>
      <c r="O20" s="462"/>
      <c r="P20" s="462"/>
      <c r="Q20" s="464"/>
      <c r="AC20" s="437"/>
    </row>
    <row r="21" spans="1:29" x14ac:dyDescent="0.25">
      <c r="A21" s="465"/>
      <c r="B21" s="460"/>
      <c r="C21" s="468" t="s">
        <v>427</v>
      </c>
      <c r="D21" s="462"/>
      <c r="E21" s="462"/>
      <c r="F21" s="462"/>
      <c r="G21" s="462"/>
      <c r="H21" s="462"/>
      <c r="I21" s="462"/>
      <c r="J21" s="462"/>
      <c r="K21" s="462"/>
      <c r="L21" s="462"/>
      <c r="M21" s="462"/>
      <c r="N21" s="462"/>
      <c r="O21" s="462"/>
      <c r="P21" s="462"/>
      <c r="Q21" s="464"/>
      <c r="AC21" s="437"/>
    </row>
    <row r="22" spans="1:29" x14ac:dyDescent="0.25">
      <c r="A22" s="465"/>
      <c r="B22" s="460"/>
      <c r="C22" s="468" t="s">
        <v>428</v>
      </c>
      <c r="D22" s="462"/>
      <c r="E22" s="462"/>
      <c r="F22" s="462"/>
      <c r="G22" s="462"/>
      <c r="H22" s="462"/>
      <c r="I22" s="462"/>
      <c r="J22" s="462"/>
      <c r="K22" s="462"/>
      <c r="L22" s="462"/>
      <c r="M22" s="462"/>
      <c r="N22" s="462"/>
      <c r="O22" s="462"/>
      <c r="P22" s="462"/>
      <c r="Q22" s="464"/>
      <c r="AC22" s="437"/>
    </row>
    <row r="23" spans="1:29" x14ac:dyDescent="0.25">
      <c r="A23" s="465"/>
      <c r="B23" s="460"/>
      <c r="C23" s="468" t="s">
        <v>429</v>
      </c>
      <c r="D23" s="462"/>
      <c r="E23" s="462"/>
      <c r="F23" s="462"/>
      <c r="G23" s="462"/>
      <c r="H23" s="462"/>
      <c r="I23" s="462"/>
      <c r="J23" s="462"/>
      <c r="K23" s="462"/>
      <c r="L23" s="462"/>
      <c r="M23" s="462"/>
      <c r="N23" s="462"/>
      <c r="O23" s="462"/>
      <c r="P23" s="462"/>
      <c r="Q23" s="464"/>
      <c r="AC23" s="464"/>
    </row>
    <row r="24" spans="1:29" x14ac:dyDescent="0.25">
      <c r="A24" s="465"/>
      <c r="B24" s="460"/>
      <c r="C24" s="466" t="s">
        <v>430</v>
      </c>
      <c r="D24" s="462"/>
      <c r="E24" s="462"/>
      <c r="F24" s="462"/>
      <c r="G24" s="462"/>
      <c r="H24" s="462"/>
      <c r="I24" s="462"/>
      <c r="J24" s="462"/>
      <c r="K24" s="462"/>
      <c r="L24" s="462"/>
      <c r="M24" s="462"/>
      <c r="N24" s="462"/>
      <c r="O24" s="462"/>
      <c r="P24" s="462"/>
      <c r="Q24" s="464"/>
      <c r="AC24" s="464"/>
    </row>
    <row r="25" spans="1:29" x14ac:dyDescent="0.25">
      <c r="A25" s="465"/>
      <c r="B25" s="460"/>
      <c r="C25" s="466"/>
      <c r="D25" s="462"/>
      <c r="E25" s="462"/>
      <c r="F25" s="462"/>
      <c r="G25" s="462"/>
      <c r="H25" s="462"/>
      <c r="I25" s="462"/>
      <c r="J25" s="462"/>
      <c r="K25" s="462"/>
      <c r="L25" s="462"/>
      <c r="M25" s="462"/>
      <c r="N25" s="462"/>
      <c r="O25" s="462"/>
      <c r="P25" s="462"/>
      <c r="Q25" s="464"/>
      <c r="AC25" s="464"/>
    </row>
    <row r="26" spans="1:29" x14ac:dyDescent="0.25">
      <c r="A26" s="465"/>
      <c r="B26" s="460"/>
      <c r="C26" s="466" t="s">
        <v>431</v>
      </c>
      <c r="D26" s="462"/>
      <c r="E26" s="462"/>
      <c r="F26" s="462"/>
      <c r="G26" s="462"/>
      <c r="H26" s="462"/>
      <c r="I26" s="462"/>
      <c r="J26" s="462"/>
      <c r="K26" s="462"/>
      <c r="L26" s="462"/>
      <c r="M26" s="462"/>
      <c r="N26" s="462"/>
      <c r="O26" s="462"/>
      <c r="P26" s="462"/>
      <c r="Q26" s="464">
        <v>1.780102074050213E-3</v>
      </c>
      <c r="AC26" s="464"/>
    </row>
    <row r="27" spans="1:29" x14ac:dyDescent="0.25">
      <c r="A27" s="465"/>
      <c r="B27" s="460"/>
      <c r="C27" s="466"/>
      <c r="D27" s="462"/>
      <c r="E27" s="462"/>
      <c r="F27" s="462"/>
      <c r="G27" s="462"/>
      <c r="H27" s="462"/>
      <c r="I27" s="462"/>
      <c r="J27" s="462"/>
      <c r="K27" s="462"/>
      <c r="L27" s="462"/>
      <c r="M27" s="462"/>
      <c r="N27" s="462"/>
      <c r="O27" s="462"/>
      <c r="P27" s="462"/>
      <c r="Q27" s="464"/>
      <c r="AC27" s="464"/>
    </row>
    <row r="28" spans="1:29" x14ac:dyDescent="0.25">
      <c r="A28" s="465"/>
      <c r="B28" s="460"/>
      <c r="C28" s="468" t="s">
        <v>432</v>
      </c>
      <c r="D28" s="462"/>
      <c r="E28" s="462"/>
      <c r="F28" s="462"/>
      <c r="G28" s="462"/>
      <c r="H28" s="462"/>
      <c r="I28" s="462"/>
      <c r="J28" s="462"/>
      <c r="K28" s="462"/>
      <c r="L28" s="462"/>
      <c r="M28" s="462"/>
      <c r="N28" s="462"/>
      <c r="O28" s="462"/>
      <c r="P28" s="462"/>
      <c r="Q28" s="464"/>
      <c r="AC28" s="464"/>
    </row>
    <row r="29" spans="1:29" x14ac:dyDescent="0.25">
      <c r="A29" s="465"/>
      <c r="B29" s="460"/>
      <c r="C29" s="468" t="s">
        <v>433</v>
      </c>
      <c r="D29" s="462"/>
      <c r="E29" s="462"/>
      <c r="F29" s="462"/>
      <c r="G29" s="462"/>
      <c r="H29" s="462"/>
      <c r="I29" s="462"/>
      <c r="J29" s="462"/>
      <c r="K29" s="462"/>
      <c r="L29" s="462"/>
      <c r="M29" s="462"/>
      <c r="N29" s="462"/>
      <c r="O29" s="462"/>
      <c r="P29" s="462"/>
      <c r="Q29" s="464"/>
      <c r="AC29" s="464"/>
    </row>
    <row r="30" spans="1:29" x14ac:dyDescent="0.25">
      <c r="A30" s="465"/>
      <c r="B30" s="460"/>
      <c r="C30" s="466" t="s">
        <v>434</v>
      </c>
      <c r="D30" s="462"/>
      <c r="E30" s="462"/>
      <c r="F30" s="462"/>
      <c r="G30" s="462"/>
      <c r="H30" s="462"/>
      <c r="I30" s="462"/>
      <c r="J30" s="462"/>
      <c r="K30" s="462"/>
      <c r="L30" s="462"/>
      <c r="M30" s="462"/>
      <c r="N30" s="462"/>
      <c r="O30" s="462"/>
      <c r="P30" s="462"/>
      <c r="Q30" s="464">
        <v>5.6060799137393853E-3</v>
      </c>
      <c r="AC30" s="464"/>
    </row>
    <row r="31" spans="1:29" x14ac:dyDescent="0.25">
      <c r="A31" s="465"/>
      <c r="B31" s="460"/>
      <c r="C31" s="466"/>
      <c r="D31" s="462"/>
      <c r="E31" s="462"/>
      <c r="F31" s="462"/>
      <c r="G31" s="462"/>
      <c r="H31" s="462"/>
      <c r="I31" s="462"/>
      <c r="J31" s="462"/>
      <c r="K31" s="462"/>
      <c r="L31" s="462"/>
      <c r="M31" s="462"/>
      <c r="N31" s="462"/>
      <c r="O31" s="462"/>
      <c r="P31" s="462"/>
      <c r="Q31" s="464"/>
      <c r="AC31" s="464"/>
    </row>
    <row r="32" spans="1:29" x14ac:dyDescent="0.25">
      <c r="A32" s="465"/>
      <c r="B32" s="460"/>
      <c r="C32" s="468" t="s">
        <v>435</v>
      </c>
      <c r="D32" s="462"/>
      <c r="E32" s="462"/>
      <c r="F32" s="462"/>
      <c r="G32" s="462"/>
      <c r="H32" s="462"/>
      <c r="I32" s="462"/>
      <c r="J32" s="462"/>
      <c r="K32" s="462"/>
      <c r="L32" s="462"/>
      <c r="M32" s="462"/>
      <c r="N32" s="462"/>
      <c r="O32" s="462"/>
      <c r="P32" s="462"/>
      <c r="Q32" s="464"/>
      <c r="AC32" s="464"/>
    </row>
    <row r="33" spans="1:29" x14ac:dyDescent="0.25">
      <c r="A33" s="465"/>
      <c r="B33" s="460"/>
      <c r="C33" s="468" t="s">
        <v>436</v>
      </c>
      <c r="D33" s="462"/>
      <c r="E33" s="462"/>
      <c r="F33" s="462"/>
      <c r="G33" s="462"/>
      <c r="H33" s="462"/>
      <c r="I33" s="462"/>
      <c r="J33" s="462"/>
      <c r="K33" s="462"/>
      <c r="L33" s="462"/>
      <c r="M33" s="462"/>
      <c r="N33" s="462"/>
      <c r="O33" s="462"/>
      <c r="P33" s="462"/>
      <c r="Q33" s="464"/>
      <c r="AC33" s="464"/>
    </row>
    <row r="34" spans="1:29" x14ac:dyDescent="0.25">
      <c r="A34" s="465"/>
      <c r="B34" s="460"/>
      <c r="C34" s="468" t="s">
        <v>437</v>
      </c>
      <c r="D34" s="462"/>
      <c r="E34" s="462"/>
      <c r="F34" s="462"/>
      <c r="G34" s="462"/>
      <c r="H34" s="462"/>
      <c r="I34" s="462"/>
      <c r="J34" s="462"/>
      <c r="K34" s="462"/>
      <c r="L34" s="462"/>
      <c r="M34" s="462"/>
      <c r="N34" s="462"/>
      <c r="O34" s="462"/>
      <c r="P34" s="462"/>
      <c r="Q34" s="464"/>
      <c r="AC34" s="464"/>
    </row>
    <row r="35" spans="1:29" x14ac:dyDescent="0.25">
      <c r="A35" s="465"/>
      <c r="B35" s="460"/>
      <c r="C35" s="468" t="s">
        <v>438</v>
      </c>
      <c r="D35" s="462"/>
      <c r="E35" s="462"/>
      <c r="F35" s="462"/>
      <c r="G35" s="462"/>
      <c r="H35" s="462"/>
      <c r="I35" s="462"/>
      <c r="J35" s="462"/>
      <c r="K35" s="462"/>
      <c r="L35" s="462"/>
      <c r="M35" s="462"/>
      <c r="N35" s="462"/>
      <c r="O35" s="462"/>
      <c r="P35" s="462"/>
      <c r="Q35" s="464"/>
      <c r="AC35" s="464"/>
    </row>
    <row r="36" spans="1:29" x14ac:dyDescent="0.25">
      <c r="A36" s="465"/>
      <c r="B36" s="460"/>
      <c r="C36" s="468" t="s">
        <v>439</v>
      </c>
      <c r="D36" s="462"/>
      <c r="E36" s="462"/>
      <c r="F36" s="462"/>
      <c r="G36" s="462"/>
      <c r="H36" s="462"/>
      <c r="I36" s="462"/>
      <c r="J36" s="462"/>
      <c r="K36" s="462"/>
      <c r="L36" s="462"/>
      <c r="M36" s="462"/>
      <c r="N36" s="462"/>
      <c r="O36" s="462"/>
      <c r="P36" s="462"/>
      <c r="Q36" s="464"/>
    </row>
    <row r="37" spans="1:29" x14ac:dyDescent="0.25">
      <c r="A37" s="465"/>
      <c r="B37" s="460"/>
      <c r="C37" s="468" t="s">
        <v>440</v>
      </c>
      <c r="D37" s="462"/>
      <c r="E37" s="462"/>
      <c r="F37" s="462"/>
      <c r="G37" s="462"/>
      <c r="H37" s="462"/>
      <c r="I37" s="462"/>
      <c r="J37" s="462"/>
      <c r="K37" s="462"/>
      <c r="L37" s="462"/>
      <c r="M37" s="462"/>
      <c r="N37" s="462"/>
      <c r="O37" s="462"/>
      <c r="P37" s="462"/>
      <c r="Q37" s="464"/>
    </row>
    <row r="38" spans="1:29" x14ac:dyDescent="0.25">
      <c r="A38" s="465"/>
      <c r="B38" s="460"/>
      <c r="C38" s="466" t="s">
        <v>441</v>
      </c>
      <c r="D38" s="462"/>
      <c r="E38" s="462"/>
      <c r="F38" s="462"/>
      <c r="G38" s="462"/>
      <c r="H38" s="462"/>
      <c r="I38" s="462"/>
      <c r="J38" s="462"/>
      <c r="K38" s="462"/>
      <c r="L38" s="462"/>
      <c r="M38" s="462"/>
      <c r="N38" s="462"/>
      <c r="O38" s="462"/>
      <c r="P38" s="462"/>
      <c r="Q38" s="464"/>
    </row>
    <row r="39" spans="1:29" x14ac:dyDescent="0.25">
      <c r="A39" s="465"/>
      <c r="B39" s="460"/>
      <c r="C39" s="466"/>
      <c r="D39" s="462"/>
      <c r="E39" s="462"/>
      <c r="F39" s="462"/>
      <c r="G39" s="462"/>
      <c r="H39" s="462"/>
      <c r="I39" s="462"/>
      <c r="J39" s="462"/>
      <c r="K39" s="462"/>
      <c r="L39" s="462"/>
      <c r="M39" s="462"/>
      <c r="N39" s="462"/>
      <c r="O39" s="462"/>
      <c r="P39" s="462"/>
      <c r="Q39" s="464"/>
    </row>
    <row r="40" spans="1:29" x14ac:dyDescent="0.25">
      <c r="A40" s="465"/>
      <c r="B40" s="460"/>
      <c r="C40" s="468" t="s">
        <v>442</v>
      </c>
      <c r="D40" s="462"/>
      <c r="E40" s="462"/>
      <c r="F40" s="462"/>
      <c r="G40" s="462"/>
      <c r="H40" s="462"/>
      <c r="I40" s="462"/>
      <c r="J40" s="462"/>
      <c r="K40" s="462"/>
      <c r="L40" s="462"/>
      <c r="M40" s="462"/>
      <c r="N40" s="462"/>
      <c r="O40" s="462"/>
      <c r="P40" s="462"/>
      <c r="Q40" s="464"/>
    </row>
    <row r="41" spans="1:29" x14ac:dyDescent="0.25">
      <c r="A41" s="465"/>
      <c r="B41" s="460"/>
      <c r="C41" s="468" t="s">
        <v>443</v>
      </c>
      <c r="D41" s="462"/>
      <c r="E41" s="462"/>
      <c r="F41" s="462"/>
      <c r="G41" s="462"/>
      <c r="H41" s="462"/>
      <c r="I41" s="462"/>
      <c r="J41" s="462"/>
      <c r="K41" s="462"/>
      <c r="L41" s="462"/>
      <c r="M41" s="462"/>
      <c r="N41" s="462"/>
      <c r="O41" s="462"/>
      <c r="P41" s="462"/>
      <c r="Q41" s="464"/>
    </row>
    <row r="42" spans="1:29" x14ac:dyDescent="0.25">
      <c r="A42" s="465"/>
      <c r="B42" s="460"/>
      <c r="C42" s="461" t="s">
        <v>444</v>
      </c>
      <c r="D42" s="462"/>
      <c r="E42" s="462"/>
      <c r="F42" s="462"/>
      <c r="G42" s="462"/>
      <c r="H42" s="462"/>
      <c r="I42" s="462"/>
      <c r="J42" s="462"/>
      <c r="K42" s="462"/>
      <c r="L42" s="462"/>
      <c r="M42" s="462"/>
      <c r="N42" s="462"/>
      <c r="O42" s="462"/>
      <c r="P42" s="462"/>
      <c r="Q42" s="464"/>
    </row>
    <row r="43" spans="1:29" x14ac:dyDescent="0.25">
      <c r="A43" s="465"/>
      <c r="B43" s="460"/>
      <c r="C43" s="461"/>
      <c r="D43" s="462"/>
      <c r="E43" s="462"/>
      <c r="F43" s="462"/>
      <c r="G43" s="462"/>
      <c r="H43" s="462"/>
      <c r="I43" s="462"/>
      <c r="J43" s="462"/>
      <c r="K43" s="462"/>
      <c r="L43" s="462"/>
      <c r="M43" s="462"/>
      <c r="N43" s="462"/>
      <c r="O43" s="462"/>
      <c r="P43" s="462"/>
      <c r="Q43" s="464"/>
    </row>
    <row r="44" spans="1:29" x14ac:dyDescent="0.25">
      <c r="A44" s="465"/>
      <c r="B44" s="460"/>
      <c r="C44" s="468" t="s">
        <v>445</v>
      </c>
      <c r="D44" s="462"/>
      <c r="E44" s="462"/>
      <c r="F44" s="462"/>
      <c r="G44" s="462"/>
      <c r="H44" s="462"/>
      <c r="I44" s="462"/>
      <c r="J44" s="462"/>
      <c r="K44" s="462"/>
      <c r="L44" s="462"/>
      <c r="M44" s="462"/>
      <c r="N44" s="462"/>
      <c r="O44" s="462"/>
      <c r="P44" s="462"/>
      <c r="Q44" s="464"/>
    </row>
    <row r="45" spans="1:29" x14ac:dyDescent="0.25">
      <c r="A45" s="465"/>
      <c r="B45" s="460"/>
      <c r="C45" s="468" t="s">
        <v>446</v>
      </c>
      <c r="D45" s="462"/>
      <c r="E45" s="462"/>
      <c r="F45" s="462"/>
      <c r="G45" s="462"/>
      <c r="H45" s="462"/>
      <c r="I45" s="462"/>
      <c r="J45" s="462"/>
      <c r="K45" s="462"/>
      <c r="L45" s="462"/>
      <c r="M45" s="462"/>
      <c r="N45" s="462"/>
      <c r="O45" s="462"/>
      <c r="P45" s="462"/>
      <c r="Q45" s="470"/>
      <c r="R45" s="471"/>
      <c r="S45" s="471"/>
      <c r="T45" s="472"/>
      <c r="U45" s="447"/>
      <c r="V45" s="447"/>
    </row>
    <row r="46" spans="1:29" x14ac:dyDescent="0.25">
      <c r="A46" s="465"/>
      <c r="B46" s="460"/>
      <c r="C46" s="468" t="s">
        <v>447</v>
      </c>
      <c r="D46" s="462"/>
      <c r="E46" s="462"/>
      <c r="F46" s="462"/>
      <c r="G46" s="462"/>
      <c r="H46" s="462"/>
      <c r="I46" s="462"/>
      <c r="J46" s="462"/>
      <c r="K46" s="462"/>
      <c r="L46" s="462"/>
      <c r="M46" s="462"/>
      <c r="N46" s="462"/>
      <c r="O46" s="462"/>
      <c r="P46" s="462"/>
      <c r="Q46" s="470"/>
      <c r="R46" s="471"/>
      <c r="S46" s="471"/>
      <c r="T46" s="472"/>
      <c r="U46" s="447"/>
      <c r="V46" s="447"/>
    </row>
    <row r="47" spans="1:29" x14ac:dyDescent="0.25">
      <c r="A47" s="465"/>
      <c r="B47" s="460"/>
      <c r="C47" s="468" t="s">
        <v>448</v>
      </c>
      <c r="D47" s="462"/>
      <c r="E47" s="462"/>
      <c r="F47" s="462"/>
      <c r="G47" s="462"/>
      <c r="H47" s="462"/>
      <c r="I47" s="462"/>
      <c r="J47" s="462"/>
      <c r="K47" s="462"/>
      <c r="L47" s="462"/>
      <c r="M47" s="462"/>
      <c r="N47" s="462"/>
      <c r="O47" s="462"/>
      <c r="P47" s="462"/>
      <c r="Q47" s="470"/>
      <c r="R47" s="471"/>
      <c r="S47" s="471"/>
      <c r="T47" s="472"/>
      <c r="U47" s="447"/>
      <c r="V47" s="447"/>
    </row>
    <row r="48" spans="1:29" x14ac:dyDescent="0.25">
      <c r="A48" s="465"/>
      <c r="B48" s="460"/>
      <c r="C48" s="468" t="s">
        <v>449</v>
      </c>
      <c r="D48" s="462"/>
      <c r="E48" s="462"/>
      <c r="F48" s="462"/>
      <c r="G48" s="462"/>
      <c r="H48" s="462"/>
      <c r="I48" s="462"/>
      <c r="J48" s="462"/>
      <c r="K48" s="462"/>
      <c r="L48" s="462"/>
      <c r="M48" s="462"/>
      <c r="N48" s="462"/>
      <c r="O48" s="462"/>
      <c r="P48" s="462"/>
      <c r="Q48" s="470"/>
      <c r="R48" s="471"/>
      <c r="S48" s="471"/>
      <c r="T48" s="472"/>
      <c r="U48" s="447"/>
      <c r="V48" s="447"/>
    </row>
    <row r="49" spans="1:22" x14ac:dyDescent="0.25">
      <c r="A49" s="465"/>
      <c r="B49" s="460"/>
      <c r="C49" s="468" t="s">
        <v>450</v>
      </c>
      <c r="D49" s="462"/>
      <c r="E49" s="462"/>
      <c r="F49" s="462"/>
      <c r="G49" s="462"/>
      <c r="H49" s="462"/>
      <c r="I49" s="462"/>
      <c r="J49" s="462"/>
      <c r="K49" s="462"/>
      <c r="L49" s="462"/>
      <c r="M49" s="462"/>
      <c r="N49" s="462"/>
      <c r="O49" s="462"/>
      <c r="P49" s="462"/>
      <c r="Q49" s="470"/>
      <c r="R49" s="471"/>
      <c r="S49" s="471"/>
      <c r="T49" s="472"/>
      <c r="U49" s="447"/>
      <c r="V49" s="447"/>
    </row>
    <row r="50" spans="1:22" x14ac:dyDescent="0.25">
      <c r="A50" s="465"/>
      <c r="B50" s="460"/>
      <c r="C50" s="461" t="s">
        <v>451</v>
      </c>
      <c r="D50" s="462"/>
      <c r="E50" s="462"/>
      <c r="F50" s="462"/>
      <c r="G50" s="462"/>
      <c r="H50" s="462"/>
      <c r="I50" s="462"/>
      <c r="J50" s="462"/>
      <c r="K50" s="462"/>
      <c r="L50" s="462"/>
      <c r="M50" s="462"/>
      <c r="N50" s="462"/>
      <c r="O50" s="462"/>
      <c r="P50" s="462"/>
      <c r="Q50" s="473"/>
      <c r="R50" s="474"/>
      <c r="S50" s="474"/>
      <c r="T50" s="472"/>
      <c r="U50" s="447"/>
      <c r="V50" s="447"/>
    </row>
    <row r="51" spans="1:22" x14ac:dyDescent="0.25">
      <c r="A51" s="465"/>
      <c r="B51" s="460"/>
      <c r="C51" s="461"/>
      <c r="D51" s="462"/>
      <c r="E51" s="462"/>
      <c r="F51" s="462"/>
      <c r="G51" s="462"/>
      <c r="H51" s="462"/>
      <c r="I51" s="462"/>
      <c r="J51" s="462"/>
      <c r="K51" s="462"/>
      <c r="L51" s="462"/>
      <c r="M51" s="462"/>
      <c r="N51" s="462"/>
      <c r="O51" s="462"/>
      <c r="P51" s="462"/>
      <c r="Q51" s="473"/>
      <c r="R51" s="474"/>
      <c r="S51" s="474"/>
      <c r="T51" s="474"/>
      <c r="U51" s="447"/>
      <c r="V51" s="447"/>
    </row>
    <row r="52" spans="1:22" x14ac:dyDescent="0.25">
      <c r="A52" s="465"/>
      <c r="B52" s="475"/>
      <c r="C52" s="466"/>
      <c r="D52" s="462"/>
      <c r="E52" s="462"/>
      <c r="F52" s="462"/>
      <c r="G52" s="462"/>
      <c r="H52" s="462"/>
      <c r="I52" s="462"/>
      <c r="J52" s="462"/>
      <c r="K52" s="462"/>
      <c r="L52" s="462"/>
      <c r="M52" s="462"/>
      <c r="N52" s="462"/>
      <c r="O52" s="462"/>
      <c r="P52" s="462"/>
      <c r="Q52" s="473"/>
      <c r="R52" s="474"/>
      <c r="S52" s="474"/>
      <c r="T52" s="476"/>
      <c r="U52" s="447"/>
      <c r="V52" s="447"/>
    </row>
    <row r="53" spans="1:22" x14ac:dyDescent="0.25">
      <c r="A53" s="465"/>
      <c r="B53" s="477" t="s">
        <v>452</v>
      </c>
      <c r="C53" s="468" t="s">
        <v>453</v>
      </c>
      <c r="D53" s="462"/>
      <c r="E53" s="462"/>
      <c r="F53" s="462"/>
      <c r="G53" s="462"/>
      <c r="H53" s="462"/>
      <c r="I53" s="462"/>
      <c r="J53" s="462"/>
      <c r="K53" s="462"/>
      <c r="L53" s="462"/>
      <c r="M53" s="462"/>
      <c r="N53" s="462"/>
      <c r="O53" s="462"/>
      <c r="P53" s="462"/>
      <c r="Q53" s="473"/>
      <c r="R53" s="474"/>
      <c r="S53" s="474"/>
      <c r="T53" s="472"/>
      <c r="U53" s="447"/>
      <c r="V53" s="447"/>
    </row>
    <row r="54" spans="1:22" x14ac:dyDescent="0.25">
      <c r="A54" s="465"/>
      <c r="B54" s="475"/>
      <c r="C54" s="468" t="s">
        <v>454</v>
      </c>
      <c r="D54" s="462"/>
      <c r="E54" s="462"/>
      <c r="F54" s="462"/>
      <c r="G54" s="462"/>
      <c r="H54" s="462"/>
      <c r="I54" s="462"/>
      <c r="J54" s="462"/>
      <c r="K54" s="462"/>
      <c r="L54" s="462"/>
      <c r="M54" s="462"/>
      <c r="N54" s="462"/>
      <c r="O54" s="462"/>
      <c r="P54" s="462"/>
      <c r="Q54" s="473"/>
      <c r="R54" s="474"/>
      <c r="S54" s="474"/>
      <c r="T54" s="472"/>
      <c r="U54" s="447"/>
      <c r="V54" s="447"/>
    </row>
    <row r="55" spans="1:22" x14ac:dyDescent="0.25">
      <c r="A55" s="465"/>
      <c r="B55" s="475"/>
      <c r="C55" s="468" t="s">
        <v>455</v>
      </c>
      <c r="D55" s="462"/>
      <c r="E55" s="462"/>
      <c r="F55" s="462"/>
      <c r="G55" s="462"/>
      <c r="H55" s="462"/>
      <c r="I55" s="462"/>
      <c r="J55" s="462"/>
      <c r="K55" s="462"/>
      <c r="L55" s="462"/>
      <c r="M55" s="462"/>
      <c r="N55" s="462"/>
      <c r="O55" s="462"/>
      <c r="P55" s="462"/>
      <c r="Q55" s="473"/>
      <c r="R55" s="474"/>
      <c r="S55" s="474"/>
      <c r="T55" s="472"/>
      <c r="U55" s="447"/>
      <c r="V55" s="447"/>
    </row>
    <row r="56" spans="1:22" x14ac:dyDescent="0.25">
      <c r="A56" s="465"/>
      <c r="B56" s="475"/>
      <c r="C56" s="468" t="s">
        <v>456</v>
      </c>
      <c r="D56" s="462"/>
      <c r="E56" s="462"/>
      <c r="F56" s="462"/>
      <c r="G56" s="462"/>
      <c r="H56" s="462"/>
      <c r="I56" s="462"/>
      <c r="J56" s="462"/>
      <c r="K56" s="462"/>
      <c r="L56" s="462"/>
      <c r="M56" s="462"/>
      <c r="N56" s="462"/>
      <c r="O56" s="462"/>
      <c r="P56" s="462"/>
      <c r="Q56" s="473"/>
      <c r="R56" s="474"/>
      <c r="S56" s="474"/>
      <c r="T56" s="472"/>
      <c r="U56" s="447"/>
      <c r="V56" s="447"/>
    </row>
    <row r="57" spans="1:22" x14ac:dyDescent="0.25">
      <c r="A57" s="465"/>
      <c r="B57" s="475"/>
      <c r="C57" s="468" t="s">
        <v>457</v>
      </c>
      <c r="D57" s="462"/>
      <c r="E57" s="462"/>
      <c r="F57" s="462"/>
      <c r="G57" s="462"/>
      <c r="H57" s="462"/>
      <c r="I57" s="462"/>
      <c r="J57" s="462"/>
      <c r="K57" s="462"/>
      <c r="L57" s="462"/>
      <c r="M57" s="462"/>
      <c r="N57" s="462"/>
      <c r="O57" s="462"/>
      <c r="P57" s="462"/>
      <c r="Q57" s="473"/>
      <c r="R57" s="474"/>
      <c r="S57" s="474"/>
      <c r="T57" s="472"/>
      <c r="U57" s="447"/>
      <c r="V57" s="447"/>
    </row>
    <row r="58" spans="1:22" x14ac:dyDescent="0.25">
      <c r="A58" s="465"/>
      <c r="B58" s="475"/>
      <c r="C58" s="468" t="s">
        <v>458</v>
      </c>
      <c r="D58" s="462"/>
      <c r="E58" s="462"/>
      <c r="F58" s="462"/>
      <c r="G58" s="462"/>
      <c r="H58" s="462"/>
      <c r="I58" s="462"/>
      <c r="J58" s="462"/>
      <c r="K58" s="462"/>
      <c r="L58" s="462"/>
      <c r="M58" s="462"/>
      <c r="N58" s="462"/>
      <c r="O58" s="462"/>
      <c r="P58" s="462"/>
      <c r="Q58" s="473"/>
      <c r="R58" s="474"/>
      <c r="S58" s="474"/>
      <c r="T58" s="472"/>
      <c r="U58" s="447"/>
      <c r="V58" s="447"/>
    </row>
    <row r="59" spans="1:22" x14ac:dyDescent="0.25">
      <c r="A59" s="465"/>
      <c r="B59" s="477"/>
      <c r="C59" s="461" t="s">
        <v>430</v>
      </c>
      <c r="D59" s="462"/>
      <c r="E59" s="462"/>
      <c r="F59" s="462"/>
      <c r="G59" s="462"/>
      <c r="H59" s="462"/>
      <c r="I59" s="462"/>
      <c r="J59" s="462"/>
      <c r="K59" s="462"/>
      <c r="L59" s="462"/>
      <c r="M59" s="462"/>
      <c r="N59" s="462"/>
      <c r="O59" s="462"/>
      <c r="P59" s="462"/>
      <c r="Q59" s="473"/>
      <c r="R59" s="474"/>
      <c r="S59" s="474"/>
      <c r="T59" s="472"/>
      <c r="U59" s="447"/>
      <c r="V59" s="447"/>
    </row>
    <row r="60" spans="1:22" x14ac:dyDescent="0.25">
      <c r="A60" s="465"/>
      <c r="B60" s="477"/>
      <c r="C60" s="461"/>
      <c r="D60" s="462"/>
      <c r="E60" s="462"/>
      <c r="F60" s="462"/>
      <c r="G60" s="462"/>
      <c r="H60" s="462"/>
      <c r="I60" s="462"/>
      <c r="J60" s="462"/>
      <c r="K60" s="462"/>
      <c r="L60" s="462"/>
      <c r="M60" s="462"/>
      <c r="N60" s="462"/>
      <c r="O60" s="462"/>
      <c r="P60" s="462"/>
      <c r="Q60" s="473"/>
      <c r="R60" s="474"/>
      <c r="S60" s="474"/>
      <c r="T60" s="474"/>
      <c r="U60" s="447"/>
      <c r="V60" s="447"/>
    </row>
    <row r="61" spans="1:22" x14ac:dyDescent="0.25">
      <c r="A61" s="465"/>
      <c r="B61" s="477"/>
      <c r="C61" s="468" t="s">
        <v>459</v>
      </c>
      <c r="D61" s="462"/>
      <c r="E61" s="462"/>
      <c r="F61" s="462"/>
      <c r="G61" s="462"/>
      <c r="H61" s="462"/>
      <c r="I61" s="462"/>
      <c r="J61" s="462"/>
      <c r="K61" s="462"/>
      <c r="L61" s="462"/>
      <c r="M61" s="462"/>
      <c r="N61" s="462"/>
      <c r="O61" s="462"/>
      <c r="P61" s="462"/>
      <c r="Q61" s="473"/>
      <c r="R61" s="474"/>
      <c r="S61" s="474"/>
      <c r="T61" s="472"/>
      <c r="U61" s="447"/>
      <c r="V61" s="447"/>
    </row>
    <row r="62" spans="1:22" x14ac:dyDescent="0.25">
      <c r="A62" s="465"/>
      <c r="B62" s="477"/>
      <c r="C62" s="468" t="s">
        <v>460</v>
      </c>
      <c r="D62" s="462"/>
      <c r="E62" s="462"/>
      <c r="F62" s="462"/>
      <c r="G62" s="462"/>
      <c r="H62" s="462"/>
      <c r="I62" s="462"/>
      <c r="J62" s="462"/>
      <c r="K62" s="462"/>
      <c r="L62" s="462"/>
      <c r="M62" s="462"/>
      <c r="N62" s="462"/>
      <c r="O62" s="462"/>
      <c r="P62" s="462"/>
      <c r="Q62" s="473"/>
      <c r="R62" s="474"/>
      <c r="S62" s="474"/>
      <c r="T62" s="472"/>
      <c r="U62" s="447"/>
      <c r="V62" s="447"/>
    </row>
    <row r="63" spans="1:22" x14ac:dyDescent="0.25">
      <c r="A63" s="465"/>
      <c r="B63" s="477"/>
      <c r="C63" s="461" t="s">
        <v>461</v>
      </c>
      <c r="D63" s="462"/>
      <c r="E63" s="462"/>
      <c r="F63" s="462"/>
      <c r="G63" s="462"/>
      <c r="H63" s="462"/>
      <c r="I63" s="462"/>
      <c r="J63" s="462"/>
      <c r="K63" s="462"/>
      <c r="L63" s="462"/>
      <c r="M63" s="462"/>
      <c r="N63" s="462"/>
      <c r="O63" s="462"/>
      <c r="P63" s="462"/>
      <c r="Q63" s="473"/>
      <c r="R63" s="474"/>
      <c r="S63" s="474"/>
      <c r="T63" s="472"/>
      <c r="U63" s="447"/>
      <c r="V63" s="447"/>
    </row>
    <row r="64" spans="1:22" x14ac:dyDescent="0.25">
      <c r="A64" s="465"/>
      <c r="B64" s="477"/>
      <c r="C64" s="461"/>
      <c r="D64" s="462"/>
      <c r="E64" s="462"/>
      <c r="F64" s="462"/>
      <c r="G64" s="462"/>
      <c r="H64" s="462"/>
      <c r="I64" s="462"/>
      <c r="J64" s="462"/>
      <c r="K64" s="462"/>
      <c r="L64" s="462"/>
      <c r="M64" s="462"/>
      <c r="N64" s="462"/>
      <c r="O64" s="462"/>
      <c r="P64" s="462"/>
      <c r="Q64" s="473"/>
      <c r="R64" s="474"/>
      <c r="S64" s="474"/>
      <c r="T64" s="474"/>
      <c r="U64" s="447"/>
      <c r="V64" s="447"/>
    </row>
    <row r="65" spans="1:22" x14ac:dyDescent="0.25">
      <c r="A65" s="465"/>
      <c r="B65" s="477"/>
      <c r="C65" s="468" t="s">
        <v>462</v>
      </c>
      <c r="D65" s="462"/>
      <c r="E65" s="462"/>
      <c r="F65" s="462"/>
      <c r="G65" s="462"/>
      <c r="H65" s="462"/>
      <c r="I65" s="462"/>
      <c r="J65" s="462"/>
      <c r="K65" s="462"/>
      <c r="L65" s="462"/>
      <c r="M65" s="462"/>
      <c r="N65" s="462"/>
      <c r="O65" s="462"/>
      <c r="P65" s="462"/>
      <c r="Q65" s="473"/>
      <c r="R65" s="474"/>
      <c r="S65" s="474"/>
      <c r="T65" s="472"/>
      <c r="U65" s="447"/>
      <c r="V65" s="447"/>
    </row>
    <row r="66" spans="1:22" x14ac:dyDescent="0.25">
      <c r="A66" s="465"/>
      <c r="B66" s="477"/>
      <c r="C66" s="468" t="s">
        <v>463</v>
      </c>
      <c r="D66" s="462"/>
      <c r="E66" s="462"/>
      <c r="F66" s="462"/>
      <c r="G66" s="462"/>
      <c r="H66" s="462"/>
      <c r="I66" s="462"/>
      <c r="J66" s="462"/>
      <c r="K66" s="462"/>
      <c r="L66" s="462"/>
      <c r="M66" s="462"/>
      <c r="N66" s="462"/>
      <c r="O66" s="462"/>
      <c r="P66" s="462"/>
      <c r="Q66" s="473"/>
      <c r="R66" s="474"/>
      <c r="S66" s="474"/>
      <c r="T66" s="472"/>
      <c r="U66" s="447"/>
      <c r="V66" s="447"/>
    </row>
    <row r="67" spans="1:22" x14ac:dyDescent="0.25">
      <c r="A67" s="465"/>
      <c r="B67" s="477"/>
      <c r="C67" s="468" t="s">
        <v>464</v>
      </c>
      <c r="D67" s="462"/>
      <c r="E67" s="462"/>
      <c r="F67" s="462"/>
      <c r="G67" s="462"/>
      <c r="H67" s="462"/>
      <c r="I67" s="462"/>
      <c r="J67" s="462"/>
      <c r="K67" s="462"/>
      <c r="L67" s="462"/>
      <c r="M67" s="462"/>
      <c r="N67" s="462"/>
      <c r="O67" s="462"/>
      <c r="P67" s="462"/>
      <c r="Q67" s="473"/>
      <c r="R67" s="474"/>
      <c r="S67" s="474"/>
      <c r="T67" s="472"/>
      <c r="U67" s="447"/>
      <c r="V67" s="447"/>
    </row>
    <row r="68" spans="1:22" x14ac:dyDescent="0.25">
      <c r="A68" s="465"/>
      <c r="B68" s="477"/>
      <c r="C68" s="468" t="s">
        <v>465</v>
      </c>
      <c r="D68" s="462"/>
      <c r="E68" s="462"/>
      <c r="F68" s="462"/>
      <c r="G68" s="462"/>
      <c r="H68" s="462"/>
      <c r="I68" s="462"/>
      <c r="J68" s="462"/>
      <c r="K68" s="462"/>
      <c r="L68" s="462"/>
      <c r="M68" s="462"/>
      <c r="N68" s="462"/>
      <c r="O68" s="462"/>
      <c r="P68" s="462"/>
      <c r="Q68" s="473"/>
      <c r="R68" s="474"/>
      <c r="S68" s="474"/>
      <c r="T68" s="472"/>
      <c r="U68" s="447"/>
      <c r="V68" s="447"/>
    </row>
    <row r="69" spans="1:22" x14ac:dyDescent="0.25">
      <c r="A69" s="465"/>
      <c r="B69" s="477"/>
      <c r="C69" s="468" t="s">
        <v>466</v>
      </c>
      <c r="D69" s="462"/>
      <c r="E69" s="462"/>
      <c r="F69" s="462"/>
      <c r="G69" s="462"/>
      <c r="H69" s="462"/>
      <c r="I69" s="462"/>
      <c r="J69" s="462"/>
      <c r="K69" s="462"/>
      <c r="L69" s="462"/>
      <c r="M69" s="462"/>
      <c r="N69" s="462"/>
      <c r="O69" s="462"/>
      <c r="P69" s="462"/>
      <c r="Q69" s="473"/>
      <c r="R69" s="474"/>
      <c r="S69" s="474"/>
      <c r="T69" s="472"/>
      <c r="U69" s="447"/>
      <c r="V69" s="447"/>
    </row>
    <row r="70" spans="1:22" x14ac:dyDescent="0.25">
      <c r="A70" s="465"/>
      <c r="B70" s="477"/>
      <c r="C70" s="468" t="s">
        <v>467</v>
      </c>
      <c r="D70" s="462"/>
      <c r="E70" s="462"/>
      <c r="F70" s="462"/>
      <c r="G70" s="462"/>
      <c r="H70" s="462"/>
      <c r="I70" s="462"/>
      <c r="J70" s="462"/>
      <c r="K70" s="462"/>
      <c r="L70" s="462"/>
      <c r="M70" s="462"/>
      <c r="N70" s="462"/>
      <c r="O70" s="462"/>
      <c r="P70" s="462"/>
      <c r="Q70" s="473"/>
      <c r="R70" s="474"/>
      <c r="S70" s="474"/>
      <c r="T70" s="472"/>
      <c r="U70" s="447"/>
      <c r="V70" s="447"/>
    </row>
    <row r="71" spans="1:22" x14ac:dyDescent="0.25">
      <c r="A71" s="465"/>
      <c r="B71" s="477"/>
      <c r="C71" s="461" t="s">
        <v>468</v>
      </c>
      <c r="D71" s="462"/>
      <c r="E71" s="462"/>
      <c r="F71" s="462"/>
      <c r="G71" s="462"/>
      <c r="H71" s="462"/>
      <c r="I71" s="462"/>
      <c r="J71" s="462"/>
      <c r="K71" s="462"/>
      <c r="L71" s="462"/>
      <c r="M71" s="462"/>
      <c r="N71" s="462"/>
      <c r="O71" s="462"/>
      <c r="P71" s="462"/>
      <c r="Q71" s="473"/>
      <c r="R71" s="474"/>
      <c r="S71" s="474"/>
      <c r="T71" s="474"/>
      <c r="U71" s="447"/>
      <c r="V71" s="447"/>
    </row>
    <row r="72" spans="1:22" x14ac:dyDescent="0.25">
      <c r="A72" s="465"/>
      <c r="B72" s="477"/>
      <c r="C72" s="461"/>
      <c r="D72" s="462"/>
      <c r="E72" s="462"/>
      <c r="F72" s="462"/>
      <c r="G72" s="462"/>
      <c r="H72" s="462"/>
      <c r="I72" s="462"/>
      <c r="J72" s="462"/>
      <c r="K72" s="462"/>
      <c r="L72" s="462"/>
      <c r="M72" s="462"/>
      <c r="N72" s="462"/>
      <c r="O72" s="462"/>
      <c r="P72" s="462"/>
      <c r="Q72" s="473"/>
      <c r="R72" s="474"/>
      <c r="S72" s="474"/>
      <c r="T72" s="474"/>
      <c r="U72" s="447"/>
      <c r="V72" s="447"/>
    </row>
    <row r="73" spans="1:22" x14ac:dyDescent="0.25">
      <c r="A73" s="465"/>
      <c r="B73" s="477"/>
      <c r="C73" s="468" t="s">
        <v>469</v>
      </c>
      <c r="D73" s="462"/>
      <c r="E73" s="462"/>
      <c r="F73" s="462"/>
      <c r="G73" s="462"/>
      <c r="H73" s="462"/>
      <c r="I73" s="462"/>
      <c r="J73" s="462"/>
      <c r="K73" s="462"/>
      <c r="L73" s="462"/>
      <c r="M73" s="462"/>
      <c r="N73" s="462"/>
      <c r="O73" s="462"/>
      <c r="P73" s="462"/>
      <c r="Q73" s="473"/>
      <c r="R73" s="474"/>
      <c r="S73" s="474"/>
      <c r="T73" s="472"/>
      <c r="U73" s="447"/>
      <c r="V73" s="447"/>
    </row>
    <row r="74" spans="1:22" x14ac:dyDescent="0.25">
      <c r="A74" s="465"/>
      <c r="B74" s="477"/>
      <c r="C74" s="468" t="s">
        <v>470</v>
      </c>
      <c r="D74" s="462"/>
      <c r="E74" s="462"/>
      <c r="F74" s="462"/>
      <c r="G74" s="462"/>
      <c r="H74" s="462"/>
      <c r="I74" s="462"/>
      <c r="J74" s="462"/>
      <c r="K74" s="462"/>
      <c r="L74" s="462"/>
      <c r="M74" s="462"/>
      <c r="N74" s="462"/>
      <c r="O74" s="462"/>
      <c r="P74" s="462"/>
      <c r="Q74" s="473"/>
      <c r="R74" s="474"/>
      <c r="S74" s="474"/>
      <c r="T74" s="472"/>
      <c r="U74" s="447"/>
      <c r="V74" s="447"/>
    </row>
    <row r="75" spans="1:22" x14ac:dyDescent="0.25">
      <c r="A75" s="465"/>
      <c r="B75" s="477"/>
      <c r="C75" s="468" t="s">
        <v>471</v>
      </c>
      <c r="D75" s="462"/>
      <c r="E75" s="462"/>
      <c r="F75" s="462"/>
      <c r="G75" s="462"/>
      <c r="H75" s="462"/>
      <c r="I75" s="462"/>
      <c r="J75" s="462"/>
      <c r="K75" s="462"/>
      <c r="L75" s="462"/>
      <c r="M75" s="462"/>
      <c r="N75" s="462"/>
      <c r="O75" s="462"/>
      <c r="P75" s="462"/>
      <c r="Q75" s="473"/>
      <c r="R75" s="474"/>
      <c r="S75" s="474"/>
      <c r="T75" s="472"/>
      <c r="U75" s="447"/>
      <c r="V75" s="447"/>
    </row>
    <row r="76" spans="1:22" x14ac:dyDescent="0.25">
      <c r="A76" s="465"/>
      <c r="B76" s="477"/>
      <c r="C76" s="468" t="s">
        <v>472</v>
      </c>
      <c r="D76" s="462"/>
      <c r="E76" s="462"/>
      <c r="F76" s="462"/>
      <c r="G76" s="462"/>
      <c r="H76" s="462"/>
      <c r="I76" s="462"/>
      <c r="J76" s="462"/>
      <c r="K76" s="462"/>
      <c r="L76" s="462"/>
      <c r="M76" s="462"/>
      <c r="N76" s="462"/>
      <c r="O76" s="462"/>
      <c r="P76" s="462"/>
      <c r="Q76" s="473"/>
      <c r="R76" s="474"/>
      <c r="S76" s="474"/>
      <c r="T76" s="472"/>
      <c r="U76" s="447"/>
      <c r="V76" s="447"/>
    </row>
    <row r="77" spans="1:22" x14ac:dyDescent="0.25">
      <c r="A77" s="465"/>
      <c r="B77" s="477"/>
      <c r="C77" s="468" t="s">
        <v>473</v>
      </c>
      <c r="D77" s="462"/>
      <c r="E77" s="462"/>
      <c r="F77" s="462"/>
      <c r="G77" s="462"/>
      <c r="H77" s="462"/>
      <c r="I77" s="462"/>
      <c r="J77" s="462"/>
      <c r="K77" s="462"/>
      <c r="L77" s="462"/>
      <c r="M77" s="462"/>
      <c r="N77" s="462"/>
      <c r="O77" s="462"/>
      <c r="P77" s="462"/>
      <c r="Q77" s="473"/>
      <c r="R77" s="474"/>
      <c r="S77" s="474"/>
      <c r="T77" s="472"/>
      <c r="U77" s="447"/>
      <c r="V77" s="447"/>
    </row>
    <row r="78" spans="1:22" x14ac:dyDescent="0.25">
      <c r="A78" s="465"/>
      <c r="B78" s="477"/>
      <c r="C78" s="468" t="s">
        <v>474</v>
      </c>
      <c r="D78" s="462"/>
      <c r="E78" s="462"/>
      <c r="F78" s="462"/>
      <c r="G78" s="462"/>
      <c r="H78" s="462"/>
      <c r="I78" s="462"/>
      <c r="J78" s="462"/>
      <c r="K78" s="462"/>
      <c r="L78" s="462"/>
      <c r="M78" s="462"/>
      <c r="N78" s="462"/>
      <c r="O78" s="462"/>
      <c r="P78" s="462"/>
      <c r="Q78" s="473"/>
      <c r="R78" s="474"/>
      <c r="S78" s="474"/>
      <c r="T78" s="472"/>
      <c r="U78" s="447"/>
      <c r="V78" s="447"/>
    </row>
    <row r="79" spans="1:22" x14ac:dyDescent="0.25">
      <c r="A79" s="465"/>
      <c r="B79" s="477"/>
      <c r="C79" s="461" t="s">
        <v>451</v>
      </c>
      <c r="D79" s="462"/>
      <c r="E79" s="462"/>
      <c r="F79" s="462"/>
      <c r="G79" s="462"/>
      <c r="H79" s="462"/>
      <c r="I79" s="462"/>
      <c r="J79" s="462"/>
      <c r="K79" s="462"/>
      <c r="L79" s="462"/>
      <c r="M79" s="462"/>
      <c r="N79" s="462"/>
      <c r="O79" s="462"/>
      <c r="P79" s="462"/>
      <c r="Q79" s="473"/>
      <c r="R79" s="474"/>
      <c r="S79" s="474"/>
      <c r="T79" s="472"/>
      <c r="U79" s="447"/>
      <c r="V79" s="447"/>
    </row>
    <row r="80" spans="1:22" x14ac:dyDescent="0.25">
      <c r="A80" s="465"/>
      <c r="B80" s="477"/>
      <c r="C80" s="461"/>
      <c r="D80" s="462"/>
      <c r="E80" s="462"/>
      <c r="F80" s="462"/>
      <c r="G80" s="462"/>
      <c r="H80" s="462"/>
      <c r="I80" s="462"/>
      <c r="J80" s="462"/>
      <c r="K80" s="462"/>
      <c r="L80" s="462"/>
      <c r="M80" s="462"/>
      <c r="N80" s="462"/>
      <c r="O80" s="462"/>
      <c r="P80" s="462"/>
      <c r="Q80" s="473"/>
      <c r="R80" s="474"/>
      <c r="S80" s="474"/>
      <c r="T80" s="474"/>
      <c r="U80" s="447"/>
      <c r="V80" s="447"/>
    </row>
    <row r="81" spans="1:28" x14ac:dyDescent="0.25">
      <c r="A81" s="465"/>
      <c r="B81" s="477"/>
      <c r="C81" s="461" t="s">
        <v>475</v>
      </c>
      <c r="D81" s="462"/>
      <c r="E81" s="462"/>
      <c r="F81" s="462"/>
      <c r="G81" s="462"/>
      <c r="H81" s="462"/>
      <c r="I81" s="462"/>
      <c r="J81" s="462"/>
      <c r="K81" s="462"/>
      <c r="L81" s="462"/>
      <c r="M81" s="462"/>
      <c r="N81" s="462"/>
      <c r="O81" s="462"/>
      <c r="P81" s="462"/>
      <c r="Q81" s="473"/>
      <c r="R81" s="474"/>
      <c r="S81" s="474"/>
      <c r="T81" s="472"/>
      <c r="U81" s="447"/>
      <c r="V81" s="447"/>
    </row>
    <row r="82" spans="1:28" x14ac:dyDescent="0.25">
      <c r="A82" s="465"/>
      <c r="B82" s="477"/>
      <c r="C82" s="461" t="s">
        <v>476</v>
      </c>
      <c r="D82" s="462"/>
      <c r="E82" s="462"/>
      <c r="F82" s="462"/>
      <c r="G82" s="462"/>
      <c r="H82" s="462"/>
      <c r="I82" s="462"/>
      <c r="J82" s="462"/>
      <c r="K82" s="462"/>
      <c r="L82" s="462"/>
      <c r="M82" s="462"/>
      <c r="N82" s="462"/>
      <c r="O82" s="462"/>
      <c r="P82" s="462"/>
      <c r="Q82" s="473"/>
      <c r="R82" s="474"/>
      <c r="S82" s="474"/>
      <c r="T82" s="472"/>
      <c r="U82" s="447"/>
      <c r="V82" s="447"/>
    </row>
    <row r="83" spans="1:28" x14ac:dyDescent="0.25">
      <c r="A83" s="465"/>
      <c r="B83" s="477"/>
      <c r="C83" s="461"/>
      <c r="D83" s="462"/>
      <c r="E83" s="462"/>
      <c r="F83" s="462"/>
      <c r="G83" s="462"/>
      <c r="H83" s="462"/>
      <c r="I83" s="462"/>
      <c r="J83" s="462"/>
      <c r="K83" s="462"/>
      <c r="L83" s="462"/>
      <c r="M83" s="462"/>
      <c r="N83" s="462"/>
      <c r="O83" s="462"/>
      <c r="P83" s="462"/>
      <c r="Q83" s="473"/>
      <c r="R83" s="532" t="s">
        <v>569</v>
      </c>
      <c r="S83" s="532"/>
      <c r="T83" s="532"/>
      <c r="U83" s="533"/>
      <c r="V83" s="533"/>
      <c r="W83" s="533"/>
      <c r="X83" s="533"/>
      <c r="Y83" s="533"/>
      <c r="Z83" s="533"/>
      <c r="AA83" s="533"/>
      <c r="AB83" s="533"/>
    </row>
    <row r="84" spans="1:28" x14ac:dyDescent="0.25">
      <c r="A84" s="478"/>
      <c r="B84" s="460"/>
      <c r="C84" s="466"/>
      <c r="D84" s="462"/>
      <c r="E84" s="462"/>
      <c r="F84" s="479" t="s">
        <v>532</v>
      </c>
      <c r="G84" s="517">
        <f ca="1">NOW()</f>
        <v>43766.592570370369</v>
      </c>
      <c r="H84" s="479"/>
      <c r="I84" s="479"/>
      <c r="J84" s="462"/>
      <c r="K84" s="462"/>
      <c r="L84" s="462"/>
      <c r="M84" s="462"/>
      <c r="N84" s="462"/>
      <c r="O84" s="462"/>
      <c r="P84" s="462"/>
      <c r="Q84" s="473"/>
      <c r="R84" s="532"/>
      <c r="S84" s="532"/>
      <c r="T84" s="534"/>
      <c r="U84" s="533"/>
      <c r="V84" s="533"/>
      <c r="W84" s="533"/>
      <c r="X84" s="533"/>
      <c r="Y84" s="533"/>
      <c r="Z84" s="533"/>
      <c r="AA84" s="533"/>
      <c r="AB84" s="533"/>
    </row>
    <row r="85" spans="1:28" x14ac:dyDescent="0.25">
      <c r="A85" s="465" t="s">
        <v>181</v>
      </c>
      <c r="B85" s="460" t="s">
        <v>249</v>
      </c>
      <c r="C85" s="466" t="s">
        <v>46</v>
      </c>
      <c r="D85" s="462"/>
      <c r="E85" s="462"/>
      <c r="F85" s="463">
        <f>+'Rates in detail'!V15</f>
        <v>0.73545999999999978</v>
      </c>
      <c r="G85" s="463">
        <f>+F85-Inputs!$B$16-Inputs!$B$18-H85-I85</f>
        <v>0.41378999999999977</v>
      </c>
      <c r="H85" s="463">
        <f>+Temporaries!F15+Temporaries!G15</f>
        <v>-5.3129999999999997E-2</v>
      </c>
      <c r="I85" s="463">
        <f>+Temporaries!AK15</f>
        <v>3.9940000000000003E-2</v>
      </c>
      <c r="J85" s="462"/>
      <c r="K85" s="462"/>
      <c r="L85" s="462"/>
      <c r="M85" s="462"/>
      <c r="N85" s="462"/>
      <c r="O85" s="462"/>
      <c r="P85" s="462"/>
      <c r="Q85" s="464">
        <v>7.1669472780636498E-2</v>
      </c>
      <c r="R85" s="532">
        <f>+F85-Inputs!$B$18+'Rates in detail'!$F$15</f>
        <v>0.74573999999999985</v>
      </c>
      <c r="S85" s="532">
        <f>+R85-F85+'Rates in summary'!$F$15</f>
        <v>6.9388939039072284E-17</v>
      </c>
      <c r="T85" s="535"/>
      <c r="U85" s="533"/>
      <c r="V85" s="533"/>
      <c r="W85" s="533"/>
      <c r="X85" s="533"/>
      <c r="Y85" s="533"/>
      <c r="Z85" s="533"/>
      <c r="AA85" s="533"/>
      <c r="AB85" s="533"/>
    </row>
    <row r="86" spans="1:28" x14ac:dyDescent="0.25">
      <c r="A86" s="465"/>
      <c r="B86" s="460"/>
      <c r="C86" s="466" t="s">
        <v>420</v>
      </c>
      <c r="D86" s="462"/>
      <c r="E86" s="462"/>
      <c r="F86" s="463">
        <f>+'Rates in detail'!V16</f>
        <v>0.7353400000000001</v>
      </c>
      <c r="G86" s="463">
        <f>+F86-Inputs!$B$16-Inputs!$B$18-H86-I86</f>
        <v>0.41791000000000011</v>
      </c>
      <c r="H86" s="467">
        <f>+$H$85</f>
        <v>-5.3129999999999997E-2</v>
      </c>
      <c r="I86" s="463">
        <f>+Temporaries!AK16</f>
        <v>3.5700000000000003E-2</v>
      </c>
      <c r="J86" s="462"/>
      <c r="K86" s="462"/>
      <c r="L86" s="462"/>
      <c r="M86" s="462"/>
      <c r="N86" s="462"/>
      <c r="O86" s="462"/>
      <c r="P86" s="462"/>
      <c r="Q86" s="464">
        <v>2.4492716086943242E-2</v>
      </c>
      <c r="R86" s="532">
        <f>+F86-Inputs!$B$18+'Rates in detail'!$F$15</f>
        <v>0.74562000000000017</v>
      </c>
      <c r="S86" s="532">
        <f>+R86-F86+'Rates in summary'!$F$15</f>
        <v>6.9388939039072284E-17</v>
      </c>
      <c r="T86" s="536"/>
      <c r="U86" s="533"/>
      <c r="V86" s="533"/>
      <c r="W86" s="533"/>
      <c r="X86" s="533"/>
      <c r="Y86" s="533"/>
      <c r="Z86" s="533"/>
      <c r="AA86" s="533"/>
      <c r="AB86" s="533"/>
    </row>
    <row r="87" spans="1:28" x14ac:dyDescent="0.25">
      <c r="A87" s="465"/>
      <c r="B87" s="460"/>
      <c r="C87" s="466"/>
      <c r="D87" s="462"/>
      <c r="E87" s="462"/>
      <c r="F87" s="463"/>
      <c r="G87" s="463"/>
      <c r="H87" s="463"/>
      <c r="I87" s="463"/>
      <c r="J87" s="462"/>
      <c r="K87" s="462"/>
      <c r="L87" s="462"/>
      <c r="M87" s="462"/>
      <c r="N87" s="462"/>
      <c r="O87" s="462"/>
      <c r="P87" s="462"/>
      <c r="Q87" s="473"/>
      <c r="R87" s="532"/>
      <c r="S87" s="532"/>
      <c r="T87" s="534"/>
      <c r="U87" s="533"/>
      <c r="V87" s="533"/>
      <c r="W87" s="533"/>
      <c r="X87" s="533"/>
      <c r="Y87" s="533"/>
      <c r="Z87" s="533"/>
      <c r="AA87" s="533"/>
      <c r="AB87" s="533"/>
    </row>
    <row r="88" spans="1:28" x14ac:dyDescent="0.25">
      <c r="A88" s="465"/>
      <c r="B88" s="460"/>
      <c r="C88" s="468" t="s">
        <v>477</v>
      </c>
      <c r="D88" s="462"/>
      <c r="E88" s="462"/>
      <c r="F88" s="463"/>
      <c r="G88" s="463"/>
      <c r="H88" s="480"/>
      <c r="I88" s="463"/>
      <c r="J88" s="462"/>
      <c r="K88" s="462"/>
      <c r="L88" s="462"/>
      <c r="M88" s="462"/>
      <c r="N88" s="462"/>
      <c r="O88" s="462"/>
      <c r="P88" s="462"/>
      <c r="Q88" s="470"/>
      <c r="R88" s="532"/>
      <c r="S88" s="537"/>
      <c r="T88" s="536"/>
      <c r="U88" s="533"/>
      <c r="V88" s="533"/>
      <c r="W88" s="533"/>
      <c r="X88" s="533"/>
      <c r="Y88" s="533"/>
      <c r="Z88" s="533"/>
      <c r="AA88" s="533"/>
      <c r="AB88" s="533"/>
    </row>
    <row r="89" spans="1:28" x14ac:dyDescent="0.25">
      <c r="A89" s="465"/>
      <c r="B89" s="460"/>
      <c r="C89" s="468" t="s">
        <v>478</v>
      </c>
      <c r="D89" s="462"/>
      <c r="E89" s="462"/>
      <c r="F89" s="463"/>
      <c r="G89" s="463"/>
      <c r="H89" s="467"/>
      <c r="I89" s="463"/>
      <c r="J89" s="462"/>
      <c r="K89" s="462"/>
      <c r="L89" s="462"/>
      <c r="M89" s="462"/>
      <c r="N89" s="462"/>
      <c r="O89" s="462"/>
      <c r="P89" s="462"/>
      <c r="Q89" s="470"/>
      <c r="R89" s="532"/>
      <c r="S89" s="537"/>
      <c r="T89" s="536"/>
      <c r="U89" s="533"/>
      <c r="V89" s="533"/>
      <c r="W89" s="533"/>
      <c r="X89" s="533"/>
      <c r="Y89" s="533"/>
      <c r="Z89" s="533"/>
      <c r="AA89" s="533"/>
      <c r="AB89" s="533"/>
    </row>
    <row r="90" spans="1:28" x14ac:dyDescent="0.25">
      <c r="A90" s="465"/>
      <c r="B90" s="460"/>
      <c r="C90" s="468" t="s">
        <v>479</v>
      </c>
      <c r="D90" s="462"/>
      <c r="E90" s="462"/>
      <c r="F90" s="463"/>
      <c r="G90" s="463"/>
      <c r="H90" s="467"/>
      <c r="I90" s="463"/>
      <c r="J90" s="462"/>
      <c r="K90" s="462"/>
      <c r="L90" s="462"/>
      <c r="M90" s="462"/>
      <c r="N90" s="462"/>
      <c r="O90" s="462"/>
      <c r="P90" s="462"/>
      <c r="Q90" s="470"/>
      <c r="R90" s="532"/>
      <c r="S90" s="537"/>
      <c r="T90" s="536"/>
      <c r="U90" s="533"/>
      <c r="V90" s="533"/>
      <c r="W90" s="533"/>
      <c r="X90" s="533"/>
      <c r="Y90" s="533"/>
      <c r="Z90" s="533"/>
      <c r="AA90" s="533"/>
      <c r="AB90" s="533"/>
    </row>
    <row r="91" spans="1:28" x14ac:dyDescent="0.25">
      <c r="A91" s="465"/>
      <c r="B91" s="460"/>
      <c r="C91" s="468" t="s">
        <v>480</v>
      </c>
      <c r="D91" s="462"/>
      <c r="E91" s="462"/>
      <c r="F91" s="463"/>
      <c r="G91" s="463"/>
      <c r="H91" s="467"/>
      <c r="I91" s="463"/>
      <c r="J91" s="462"/>
      <c r="K91" s="462"/>
      <c r="L91" s="462"/>
      <c r="M91" s="462"/>
      <c r="N91" s="462"/>
      <c r="O91" s="462"/>
      <c r="P91" s="462"/>
      <c r="Q91" s="470"/>
      <c r="R91" s="532"/>
      <c r="S91" s="537"/>
      <c r="T91" s="536"/>
      <c r="U91" s="533"/>
      <c r="V91" s="533"/>
      <c r="W91" s="533"/>
      <c r="X91" s="533"/>
      <c r="Y91" s="533"/>
      <c r="Z91" s="533"/>
      <c r="AA91" s="533"/>
      <c r="AB91" s="533"/>
    </row>
    <row r="92" spans="1:28" x14ac:dyDescent="0.25">
      <c r="A92" s="465"/>
      <c r="B92" s="460"/>
      <c r="C92" s="466" t="s">
        <v>481</v>
      </c>
      <c r="D92" s="462"/>
      <c r="E92" s="462"/>
      <c r="F92" s="463"/>
      <c r="G92" s="463"/>
      <c r="H92" s="463"/>
      <c r="I92" s="463"/>
      <c r="J92" s="462"/>
      <c r="K92" s="462"/>
      <c r="L92" s="462"/>
      <c r="M92" s="462"/>
      <c r="N92" s="462"/>
      <c r="O92" s="462"/>
      <c r="P92" s="462"/>
      <c r="Q92" s="473"/>
      <c r="R92" s="532"/>
      <c r="S92" s="532"/>
      <c r="T92" s="536"/>
      <c r="U92" s="533"/>
      <c r="V92" s="533"/>
      <c r="W92" s="533"/>
      <c r="X92" s="533"/>
      <c r="Y92" s="533"/>
      <c r="Z92" s="533"/>
      <c r="AA92" s="533"/>
      <c r="AB92" s="533"/>
    </row>
    <row r="93" spans="1:28" x14ac:dyDescent="0.25">
      <c r="A93" s="465"/>
      <c r="B93" s="460"/>
      <c r="C93" s="466"/>
      <c r="D93" s="462"/>
      <c r="E93" s="462"/>
      <c r="F93" s="463"/>
      <c r="G93" s="463"/>
      <c r="H93" s="463"/>
      <c r="I93" s="463"/>
      <c r="J93" s="462"/>
      <c r="K93" s="462"/>
      <c r="L93" s="462"/>
      <c r="M93" s="462"/>
      <c r="N93" s="462"/>
      <c r="O93" s="462"/>
      <c r="P93" s="462"/>
      <c r="Q93" s="473"/>
      <c r="R93" s="532"/>
      <c r="S93" s="532"/>
      <c r="T93" s="534"/>
      <c r="U93" s="533"/>
      <c r="V93" s="533"/>
      <c r="W93" s="533"/>
      <c r="X93" s="533"/>
      <c r="Y93" s="533"/>
      <c r="Z93" s="533"/>
      <c r="AA93" s="533"/>
      <c r="AB93" s="533"/>
    </row>
    <row r="94" spans="1:28" x14ac:dyDescent="0.25">
      <c r="A94" s="465"/>
      <c r="B94" s="460"/>
      <c r="C94" s="468" t="s">
        <v>482</v>
      </c>
      <c r="D94" s="462"/>
      <c r="E94" s="462"/>
      <c r="F94" s="463">
        <f>+'Rates in detail'!V19+Inputs!$B$18</f>
        <v>0.61056000000000021</v>
      </c>
      <c r="G94" s="463">
        <f>+F94-Inputs!$B$16-Inputs!$B$18-H94-I94</f>
        <v>0.30112000000000022</v>
      </c>
      <c r="H94" s="467">
        <f>+$H$85</f>
        <v>-5.3129999999999997E-2</v>
      </c>
      <c r="I94" s="463">
        <f>+Temporaries!AK19</f>
        <v>2.7709999999999999E-2</v>
      </c>
      <c r="J94" s="462"/>
      <c r="K94" s="462"/>
      <c r="L94" s="462"/>
      <c r="M94" s="462"/>
      <c r="N94" s="462"/>
      <c r="O94" s="462"/>
      <c r="P94" s="462"/>
      <c r="Q94" s="470"/>
      <c r="R94" s="532">
        <f>+F94-Inputs!$B$18+'Rates in detail'!$F$15</f>
        <v>0.62084000000000017</v>
      </c>
      <c r="S94" s="532">
        <f>+R94-F94+'Rates in summary'!$F$15</f>
        <v>-4.163336342344337E-17</v>
      </c>
      <c r="T94" s="536"/>
      <c r="U94" s="533"/>
      <c r="V94" s="533"/>
      <c r="W94" s="533"/>
      <c r="X94" s="533"/>
      <c r="Y94" s="533"/>
      <c r="Z94" s="533"/>
      <c r="AA94" s="533"/>
      <c r="AB94" s="533"/>
    </row>
    <row r="95" spans="1:28" x14ac:dyDescent="0.25">
      <c r="A95" s="465"/>
      <c r="B95" s="460"/>
      <c r="C95" s="468" t="s">
        <v>483</v>
      </c>
      <c r="D95" s="462"/>
      <c r="E95" s="462"/>
      <c r="F95" s="463">
        <f>+'Rates in detail'!V20+Inputs!$B$18</f>
        <v>0.57147999999999999</v>
      </c>
      <c r="G95" s="463">
        <f>+F95-Inputs!$B$16-Inputs!$B$18-H95-I95</f>
        <v>0.26533000000000001</v>
      </c>
      <c r="H95" s="467">
        <f>+$H$85</f>
        <v>-5.3129999999999997E-2</v>
      </c>
      <c r="I95" s="463">
        <f>+Temporaries!AK20</f>
        <v>2.4420000000000001E-2</v>
      </c>
      <c r="J95" s="462"/>
      <c r="K95" s="462"/>
      <c r="L95" s="462"/>
      <c r="M95" s="462"/>
      <c r="N95" s="462"/>
      <c r="O95" s="462"/>
      <c r="P95" s="462"/>
      <c r="Q95" s="470"/>
      <c r="R95" s="532">
        <f>+F95-Inputs!$B$18+'Rates in detail'!$F$15</f>
        <v>0.58175999999999994</v>
      </c>
      <c r="S95" s="532">
        <f>+R95-F95+'Rates in summary'!$F$15</f>
        <v>-4.163336342344337E-17</v>
      </c>
      <c r="T95" s="536"/>
      <c r="U95" s="533"/>
      <c r="V95" s="533"/>
      <c r="W95" s="533"/>
      <c r="X95" s="533"/>
      <c r="Y95" s="533"/>
      <c r="Z95" s="533"/>
      <c r="AA95" s="533"/>
      <c r="AB95" s="533"/>
    </row>
    <row r="96" spans="1:28" x14ac:dyDescent="0.25">
      <c r="A96" s="465"/>
      <c r="B96" s="460"/>
      <c r="C96" s="466" t="s">
        <v>484</v>
      </c>
      <c r="D96" s="462"/>
      <c r="E96" s="462"/>
      <c r="F96" s="463"/>
      <c r="G96" s="463"/>
      <c r="H96" s="463"/>
      <c r="I96" s="463"/>
      <c r="J96" s="462"/>
      <c r="K96" s="462"/>
      <c r="L96" s="462"/>
      <c r="M96" s="462"/>
      <c r="N96" s="462"/>
      <c r="O96" s="462"/>
      <c r="P96" s="462"/>
      <c r="Q96" s="464">
        <v>1.8325384379116478E-3</v>
      </c>
      <c r="R96" s="532"/>
      <c r="S96" s="532"/>
      <c r="T96" s="536"/>
      <c r="U96" s="533"/>
      <c r="V96" s="533"/>
      <c r="W96" s="533"/>
      <c r="X96" s="533"/>
      <c r="Y96" s="533"/>
      <c r="Z96" s="533"/>
      <c r="AA96" s="533"/>
      <c r="AB96" s="533"/>
    </row>
    <row r="97" spans="1:28" x14ac:dyDescent="0.25">
      <c r="A97" s="465"/>
      <c r="B97" s="460"/>
      <c r="C97" s="466"/>
      <c r="D97" s="462"/>
      <c r="E97" s="462"/>
      <c r="F97" s="463"/>
      <c r="G97" s="463"/>
      <c r="H97" s="463"/>
      <c r="I97" s="463"/>
      <c r="J97" s="462"/>
      <c r="K97" s="462"/>
      <c r="L97" s="462"/>
      <c r="M97" s="462"/>
      <c r="N97" s="462"/>
      <c r="O97" s="462"/>
      <c r="P97" s="462"/>
      <c r="Q97" s="473"/>
      <c r="R97" s="532"/>
      <c r="S97" s="532"/>
      <c r="T97" s="534"/>
      <c r="U97" s="533"/>
      <c r="V97" s="533"/>
      <c r="W97" s="533"/>
      <c r="X97" s="533"/>
      <c r="Y97" s="533"/>
      <c r="Z97" s="533"/>
      <c r="AA97" s="533"/>
      <c r="AB97" s="533"/>
    </row>
    <row r="98" spans="1:28" x14ac:dyDescent="0.25">
      <c r="A98" s="465"/>
      <c r="B98" s="460"/>
      <c r="C98" s="468" t="s">
        <v>126</v>
      </c>
      <c r="D98" s="462"/>
      <c r="E98" s="462"/>
      <c r="F98" s="463">
        <f>+'Rates in detail'!V29+Inputs!$B$18</f>
        <v>0.41563999999999995</v>
      </c>
      <c r="G98" s="463">
        <f>+F98-Inputs!$B$16-Inputs!$B$18-H98-I98</f>
        <v>0.11847999999999995</v>
      </c>
      <c r="H98" s="467">
        <f t="shared" ref="H98:H103" si="0">+$H$85</f>
        <v>-5.3129999999999997E-2</v>
      </c>
      <c r="I98" s="463">
        <f>+Temporaries!AK29</f>
        <v>1.5430000000000001E-2</v>
      </c>
      <c r="J98" s="462"/>
      <c r="K98" s="462"/>
      <c r="L98" s="462"/>
      <c r="M98" s="462"/>
      <c r="N98" s="462"/>
      <c r="O98" s="462"/>
      <c r="P98" s="462"/>
      <c r="Q98" s="470"/>
      <c r="R98" s="532">
        <f>+F98-Inputs!$B$18+'Rates in detail'!$F$15</f>
        <v>0.42591999999999997</v>
      </c>
      <c r="S98" s="532">
        <f>+R98-F98+'Rates in summary'!$F$15</f>
        <v>1.3877787807814457E-17</v>
      </c>
      <c r="T98" s="536"/>
      <c r="U98" s="533"/>
      <c r="V98" s="533"/>
      <c r="W98" s="533"/>
      <c r="X98" s="533"/>
      <c r="Y98" s="533"/>
      <c r="Z98" s="533"/>
      <c r="AA98" s="533"/>
      <c r="AB98" s="533"/>
    </row>
    <row r="99" spans="1:28" x14ac:dyDescent="0.25">
      <c r="A99" s="465"/>
      <c r="B99" s="460"/>
      <c r="C99" s="468" t="s">
        <v>127</v>
      </c>
      <c r="D99" s="462"/>
      <c r="E99" s="462"/>
      <c r="F99" s="463">
        <f>+'Rates in detail'!V30+Inputs!$B$18</f>
        <v>0.40159999999999979</v>
      </c>
      <c r="G99" s="463">
        <f>+F99-Inputs!$B$16-Inputs!$B$18-H99-I99</f>
        <v>0.10605999999999978</v>
      </c>
      <c r="H99" s="467">
        <f t="shared" si="0"/>
        <v>-5.3129999999999997E-2</v>
      </c>
      <c r="I99" s="463">
        <f>+Temporaries!AK30</f>
        <v>1.3810000000000001E-2</v>
      </c>
      <c r="J99" s="462"/>
      <c r="K99" s="462"/>
      <c r="L99" s="462"/>
      <c r="M99" s="462"/>
      <c r="N99" s="462"/>
      <c r="O99" s="462"/>
      <c r="P99" s="462"/>
      <c r="Q99" s="470"/>
      <c r="R99" s="532">
        <f>+F99-Inputs!$B$18+'Rates in detail'!$F$15</f>
        <v>0.4118799999999998</v>
      </c>
      <c r="S99" s="532">
        <f>+R99-F99+'Rates in summary'!$F$15</f>
        <v>1.3877787807814457E-17</v>
      </c>
      <c r="T99" s="536"/>
      <c r="U99" s="533"/>
      <c r="V99" s="533"/>
      <c r="W99" s="533"/>
      <c r="X99" s="533"/>
      <c r="Y99" s="533"/>
      <c r="Z99" s="533"/>
      <c r="AA99" s="533"/>
      <c r="AB99" s="533"/>
    </row>
    <row r="100" spans="1:28" x14ac:dyDescent="0.25">
      <c r="A100" s="465"/>
      <c r="B100" s="460"/>
      <c r="C100" s="468" t="s">
        <v>128</v>
      </c>
      <c r="D100" s="462"/>
      <c r="E100" s="462"/>
      <c r="F100" s="463">
        <f>+'Rates in detail'!V31+Inputs!$B$18</f>
        <v>0.37366999999999995</v>
      </c>
      <c r="G100" s="463">
        <f>+F100-Inputs!$B$16-Inputs!$B$18-H100-I100</f>
        <v>8.133999999999994E-2</v>
      </c>
      <c r="H100" s="467">
        <f t="shared" si="0"/>
        <v>-5.3129999999999997E-2</v>
      </c>
      <c r="I100" s="463">
        <f>+Temporaries!AK31</f>
        <v>1.0600000000000002E-2</v>
      </c>
      <c r="J100" s="462"/>
      <c r="K100" s="462"/>
      <c r="L100" s="462"/>
      <c r="M100" s="462"/>
      <c r="N100" s="462"/>
      <c r="O100" s="462"/>
      <c r="P100" s="462"/>
      <c r="Q100" s="470"/>
      <c r="R100" s="532">
        <f>+F100-Inputs!$B$18+'Rates in detail'!$F$15</f>
        <v>0.3839499999999999</v>
      </c>
      <c r="S100" s="532">
        <f>+R100-F100+'Rates in summary'!$F$15</f>
        <v>-4.163336342344337E-17</v>
      </c>
      <c r="T100" s="536"/>
      <c r="U100" s="533"/>
      <c r="V100" s="533"/>
      <c r="W100" s="533"/>
      <c r="X100" s="533"/>
      <c r="Y100" s="533"/>
      <c r="Z100" s="533"/>
      <c r="AA100" s="533"/>
      <c r="AB100" s="533"/>
    </row>
    <row r="101" spans="1:28" x14ac:dyDescent="0.25">
      <c r="A101" s="465"/>
      <c r="B101" s="460"/>
      <c r="C101" s="468" t="s">
        <v>129</v>
      </c>
      <c r="D101" s="462"/>
      <c r="E101" s="462"/>
      <c r="F101" s="463">
        <f>+'Rates in detail'!V32+Inputs!$B$18</f>
        <v>0.35528000000000021</v>
      </c>
      <c r="G101" s="463">
        <f>+F101-Inputs!$B$16-Inputs!$B$18-H101-I101</f>
        <v>6.5070000000000197E-2</v>
      </c>
      <c r="H101" s="467">
        <f t="shared" si="0"/>
        <v>-5.3129999999999997E-2</v>
      </c>
      <c r="I101" s="463">
        <f>+Temporaries!AK32</f>
        <v>8.4799999999999997E-3</v>
      </c>
      <c r="J101" s="462"/>
      <c r="K101" s="462"/>
      <c r="L101" s="462"/>
      <c r="M101" s="462"/>
      <c r="N101" s="462"/>
      <c r="O101" s="462"/>
      <c r="P101" s="462"/>
      <c r="Q101" s="470"/>
      <c r="R101" s="532">
        <f>+F101-Inputs!$B$18+'Rates in detail'!$F$15</f>
        <v>0.36556000000000022</v>
      </c>
      <c r="S101" s="532">
        <f>+R101-F101+'Rates in summary'!$F$15</f>
        <v>1.3877787807814457E-17</v>
      </c>
      <c r="T101" s="536"/>
      <c r="U101" s="533"/>
      <c r="V101" s="533"/>
      <c r="W101" s="533"/>
      <c r="X101" s="533"/>
      <c r="Y101" s="533"/>
      <c r="Z101" s="533"/>
      <c r="AA101" s="533"/>
      <c r="AB101" s="533"/>
    </row>
    <row r="102" spans="1:28" x14ac:dyDescent="0.25">
      <c r="A102" s="465"/>
      <c r="B102" s="460"/>
      <c r="C102" s="468" t="s">
        <v>130</v>
      </c>
      <c r="D102" s="462"/>
      <c r="E102" s="462"/>
      <c r="F102" s="463">
        <f>+'Rates in detail'!V33+Inputs!$B$18</f>
        <v>0.33074999999999993</v>
      </c>
      <c r="G102" s="463">
        <f>+F102-Inputs!$B$16-Inputs!$B$18-H102-I102</f>
        <v>4.3369999999999923E-2</v>
      </c>
      <c r="H102" s="467">
        <f t="shared" si="0"/>
        <v>-5.3129999999999997E-2</v>
      </c>
      <c r="I102" s="463">
        <f>+Temporaries!AK33</f>
        <v>5.6500000000000005E-3</v>
      </c>
      <c r="J102" s="462"/>
      <c r="K102" s="462"/>
      <c r="L102" s="462"/>
      <c r="M102" s="462"/>
      <c r="N102" s="462"/>
      <c r="O102" s="462"/>
      <c r="P102" s="462"/>
      <c r="Q102" s="470"/>
      <c r="R102" s="532">
        <f>+F102-Inputs!$B$18+'Rates in detail'!$F$15</f>
        <v>0.34102999999999994</v>
      </c>
      <c r="S102" s="532">
        <f>+R102-F102+'Rates in summary'!$F$15</f>
        <v>1.3877787807814457E-17</v>
      </c>
      <c r="T102" s="536"/>
      <c r="U102" s="533"/>
      <c r="V102" s="533"/>
      <c r="W102" s="533"/>
      <c r="X102" s="533"/>
      <c r="Y102" s="533"/>
      <c r="Z102" s="533"/>
      <c r="AA102" s="533"/>
      <c r="AB102" s="533"/>
    </row>
    <row r="103" spans="1:28" x14ac:dyDescent="0.25">
      <c r="A103" s="465"/>
      <c r="B103" s="460"/>
      <c r="C103" s="468" t="s">
        <v>131</v>
      </c>
      <c r="D103" s="462"/>
      <c r="E103" s="462"/>
      <c r="F103" s="463">
        <f>+'Rates in detail'!V34+Inputs!$B$18</f>
        <v>0.3001100000000001</v>
      </c>
      <c r="G103" s="463">
        <f>+F103-Inputs!$B$16-Inputs!$B$18-H103-I103</f>
        <v>1.626000000000009E-2</v>
      </c>
      <c r="H103" s="467">
        <f t="shared" si="0"/>
        <v>-5.3129999999999997E-2</v>
      </c>
      <c r="I103" s="463">
        <f>+Temporaries!AK34</f>
        <v>2.1199999999999999E-3</v>
      </c>
      <c r="J103" s="462"/>
      <c r="K103" s="462"/>
      <c r="L103" s="462"/>
      <c r="M103" s="462"/>
      <c r="N103" s="462"/>
      <c r="O103" s="462"/>
      <c r="P103" s="462"/>
      <c r="Q103" s="470"/>
      <c r="R103" s="532">
        <f>+F103-Inputs!$B$18+'Rates in detail'!$F$15</f>
        <v>0.31039000000000005</v>
      </c>
      <c r="S103" s="532">
        <f>+R103-F103+'Rates in summary'!$F$15</f>
        <v>-4.163336342344337E-17</v>
      </c>
      <c r="T103" s="536"/>
      <c r="U103" s="533"/>
      <c r="V103" s="533"/>
      <c r="W103" s="533"/>
      <c r="X103" s="533"/>
      <c r="Y103" s="533"/>
      <c r="Z103" s="533"/>
      <c r="AA103" s="533"/>
      <c r="AB103" s="533"/>
    </row>
    <row r="104" spans="1:28" x14ac:dyDescent="0.25">
      <c r="A104" s="465"/>
      <c r="B104" s="460"/>
      <c r="C104" s="466" t="s">
        <v>485</v>
      </c>
      <c r="D104" s="462"/>
      <c r="E104" s="462"/>
      <c r="F104" s="463"/>
      <c r="G104" s="463"/>
      <c r="H104" s="463"/>
      <c r="I104" s="463"/>
      <c r="J104" s="462"/>
      <c r="K104" s="462"/>
      <c r="L104" s="462"/>
      <c r="M104" s="462"/>
      <c r="N104" s="462"/>
      <c r="O104" s="462"/>
      <c r="P104" s="462"/>
      <c r="Q104" s="473"/>
      <c r="R104" s="532"/>
      <c r="S104" s="532"/>
      <c r="T104" s="536"/>
      <c r="U104" s="533"/>
      <c r="V104" s="533"/>
      <c r="W104" s="533"/>
      <c r="X104" s="533"/>
      <c r="Y104" s="533"/>
      <c r="Z104" s="533"/>
      <c r="AA104" s="533"/>
      <c r="AB104" s="533"/>
    </row>
    <row r="105" spans="1:28" x14ac:dyDescent="0.25">
      <c r="A105" s="465"/>
      <c r="B105" s="460"/>
      <c r="C105" s="466"/>
      <c r="D105" s="462"/>
      <c r="E105" s="462"/>
      <c r="F105" s="463"/>
      <c r="G105" s="463"/>
      <c r="H105" s="463"/>
      <c r="I105" s="463"/>
      <c r="J105" s="462"/>
      <c r="K105" s="462"/>
      <c r="L105" s="462"/>
      <c r="M105" s="462"/>
      <c r="N105" s="462"/>
      <c r="O105" s="462"/>
      <c r="P105" s="462"/>
      <c r="Q105" s="473"/>
      <c r="R105" s="532"/>
      <c r="S105" s="532"/>
      <c r="T105" s="534"/>
      <c r="U105" s="533"/>
      <c r="V105" s="533"/>
      <c r="W105" s="533"/>
      <c r="X105" s="533"/>
      <c r="Y105" s="533"/>
      <c r="Z105" s="533"/>
      <c r="AA105" s="533"/>
      <c r="AB105" s="533"/>
    </row>
    <row r="106" spans="1:28" x14ac:dyDescent="0.25">
      <c r="A106" s="465"/>
      <c r="B106" s="460"/>
      <c r="C106" s="461" t="s">
        <v>486</v>
      </c>
      <c r="D106" s="462"/>
      <c r="E106" s="462"/>
      <c r="F106" s="463">
        <f>+'Rates in detail'!V17</f>
        <v>0.70457999999999954</v>
      </c>
      <c r="G106" s="463">
        <f>+F106-Inputs!$B$16-Inputs!$B$18-H106-I106</f>
        <v>0.41784999999999956</v>
      </c>
      <c r="H106" s="467">
        <f>+$H$85</f>
        <v>-5.3129999999999997E-2</v>
      </c>
      <c r="I106" s="463">
        <f>+Temporaries!AK17</f>
        <v>5.0000000000000001E-3</v>
      </c>
      <c r="J106" s="462"/>
      <c r="K106" s="462"/>
      <c r="L106" s="462"/>
      <c r="M106" s="462"/>
      <c r="N106" s="462"/>
      <c r="O106" s="462"/>
      <c r="P106" s="462"/>
      <c r="Q106" s="464">
        <v>2.591616637209378E-4</v>
      </c>
      <c r="R106" s="532">
        <f>+F106-Inputs!$B$18+'Rates in detail'!$F$15</f>
        <v>0.71485999999999961</v>
      </c>
      <c r="S106" s="532">
        <f>+R106-F106+'Rates in summary'!$F$15</f>
        <v>6.9388939039072284E-17</v>
      </c>
      <c r="T106" s="536"/>
      <c r="U106" s="533"/>
      <c r="V106" s="533"/>
      <c r="W106" s="533"/>
      <c r="X106" s="533"/>
      <c r="Y106" s="533"/>
      <c r="Z106" s="533"/>
      <c r="AA106" s="533"/>
      <c r="AB106" s="533"/>
    </row>
    <row r="107" spans="1:28" x14ac:dyDescent="0.25">
      <c r="A107" s="465"/>
      <c r="B107" s="460"/>
      <c r="C107" s="461"/>
      <c r="D107" s="462"/>
      <c r="E107" s="462"/>
      <c r="F107" s="463"/>
      <c r="G107" s="463"/>
      <c r="H107" s="469"/>
      <c r="I107" s="463"/>
      <c r="J107" s="462"/>
      <c r="K107" s="462"/>
      <c r="L107" s="462"/>
      <c r="M107" s="462"/>
      <c r="N107" s="462"/>
      <c r="O107" s="462"/>
      <c r="P107" s="462"/>
      <c r="Q107" s="473"/>
      <c r="R107" s="532"/>
      <c r="S107" s="532"/>
      <c r="T107" s="536"/>
      <c r="U107" s="533"/>
      <c r="V107" s="533"/>
      <c r="W107" s="533"/>
      <c r="X107" s="533"/>
      <c r="Y107" s="533"/>
      <c r="Z107" s="533"/>
      <c r="AA107" s="533"/>
      <c r="AB107" s="533"/>
    </row>
    <row r="108" spans="1:28" x14ac:dyDescent="0.25">
      <c r="A108" s="465"/>
      <c r="B108" s="460"/>
      <c r="C108" s="468" t="s">
        <v>487</v>
      </c>
      <c r="D108" s="462"/>
      <c r="E108" s="462"/>
      <c r="F108" s="463"/>
      <c r="G108" s="463"/>
      <c r="H108" s="480"/>
      <c r="I108" s="463"/>
      <c r="J108" s="462"/>
      <c r="K108" s="462"/>
      <c r="L108" s="462"/>
      <c r="M108" s="462"/>
      <c r="N108" s="462"/>
      <c r="O108" s="462"/>
      <c r="P108" s="462"/>
      <c r="Q108" s="470"/>
      <c r="R108" s="532"/>
      <c r="S108" s="537"/>
      <c r="T108" s="536"/>
      <c r="U108" s="533"/>
      <c r="V108" s="533"/>
      <c r="W108" s="533"/>
      <c r="X108" s="533"/>
      <c r="Y108" s="533"/>
      <c r="Z108" s="533"/>
      <c r="AA108" s="533"/>
      <c r="AB108" s="533"/>
    </row>
    <row r="109" spans="1:28" x14ac:dyDescent="0.25">
      <c r="A109" s="465"/>
      <c r="B109" s="460"/>
      <c r="C109" s="468" t="s">
        <v>488</v>
      </c>
      <c r="D109" s="462"/>
      <c r="E109" s="462"/>
      <c r="F109" s="463"/>
      <c r="G109" s="463"/>
      <c r="H109" s="467"/>
      <c r="I109" s="463"/>
      <c r="J109" s="462"/>
      <c r="K109" s="462"/>
      <c r="L109" s="462"/>
      <c r="M109" s="462"/>
      <c r="N109" s="462"/>
      <c r="O109" s="462"/>
      <c r="P109" s="462"/>
      <c r="Q109" s="470"/>
      <c r="R109" s="532"/>
      <c r="S109" s="537"/>
      <c r="T109" s="536"/>
      <c r="U109" s="533"/>
      <c r="V109" s="533"/>
      <c r="W109" s="533"/>
      <c r="X109" s="533"/>
      <c r="Y109" s="533"/>
      <c r="Z109" s="533"/>
      <c r="AA109" s="533"/>
      <c r="AB109" s="533"/>
    </row>
    <row r="110" spans="1:28" x14ac:dyDescent="0.25">
      <c r="A110" s="465"/>
      <c r="B110" s="460"/>
      <c r="C110" s="468" t="s">
        <v>489</v>
      </c>
      <c r="D110" s="462"/>
      <c r="E110" s="462"/>
      <c r="F110" s="463"/>
      <c r="G110" s="463"/>
      <c r="H110" s="467"/>
      <c r="I110" s="463"/>
      <c r="J110" s="462"/>
      <c r="K110" s="462"/>
      <c r="L110" s="462"/>
      <c r="M110" s="462"/>
      <c r="N110" s="462"/>
      <c r="O110" s="462"/>
      <c r="P110" s="462"/>
      <c r="Q110" s="470"/>
      <c r="R110" s="532"/>
      <c r="S110" s="537"/>
      <c r="T110" s="536"/>
      <c r="U110" s="533"/>
      <c r="V110" s="533"/>
      <c r="W110" s="533"/>
      <c r="X110" s="533"/>
      <c r="Y110" s="533"/>
      <c r="Z110" s="533"/>
      <c r="AA110" s="533"/>
      <c r="AB110" s="533"/>
    </row>
    <row r="111" spans="1:28" x14ac:dyDescent="0.25">
      <c r="A111" s="465"/>
      <c r="B111" s="460"/>
      <c r="C111" s="468" t="s">
        <v>490</v>
      </c>
      <c r="D111" s="462"/>
      <c r="E111" s="462"/>
      <c r="F111" s="463"/>
      <c r="G111" s="463"/>
      <c r="H111" s="467"/>
      <c r="I111" s="463"/>
      <c r="J111" s="462"/>
      <c r="K111" s="462"/>
      <c r="L111" s="462"/>
      <c r="M111" s="462"/>
      <c r="N111" s="462"/>
      <c r="O111" s="462"/>
      <c r="P111" s="462"/>
      <c r="Q111" s="470"/>
      <c r="R111" s="532"/>
      <c r="S111" s="537"/>
      <c r="T111" s="536"/>
      <c r="U111" s="533"/>
      <c r="V111" s="533"/>
      <c r="W111" s="533"/>
      <c r="X111" s="533"/>
      <c r="Y111" s="533"/>
      <c r="Z111" s="533"/>
      <c r="AA111" s="533"/>
      <c r="AB111" s="533"/>
    </row>
    <row r="112" spans="1:28" x14ac:dyDescent="0.25">
      <c r="A112" s="465"/>
      <c r="B112" s="460"/>
      <c r="C112" s="461" t="s">
        <v>491</v>
      </c>
      <c r="D112" s="462"/>
      <c r="E112" s="462"/>
      <c r="F112" s="463"/>
      <c r="G112" s="463"/>
      <c r="H112" s="469"/>
      <c r="I112" s="463"/>
      <c r="J112" s="462"/>
      <c r="K112" s="462"/>
      <c r="L112" s="462"/>
      <c r="M112" s="462"/>
      <c r="N112" s="462"/>
      <c r="O112" s="462"/>
      <c r="P112" s="462"/>
      <c r="Q112" s="473"/>
      <c r="R112" s="532"/>
      <c r="S112" s="532"/>
      <c r="T112" s="536"/>
      <c r="U112" s="533"/>
      <c r="V112" s="533"/>
      <c r="W112" s="533"/>
      <c r="X112" s="533"/>
      <c r="Y112" s="533"/>
      <c r="Z112" s="533"/>
      <c r="AA112" s="533"/>
      <c r="AB112" s="533"/>
    </row>
    <row r="113" spans="1:28" x14ac:dyDescent="0.25">
      <c r="A113" s="465"/>
      <c r="B113" s="460"/>
      <c r="C113" s="461"/>
      <c r="D113" s="462"/>
      <c r="E113" s="462"/>
      <c r="F113" s="463"/>
      <c r="G113" s="463"/>
      <c r="H113" s="469"/>
      <c r="I113" s="463"/>
      <c r="J113" s="462"/>
      <c r="K113" s="462"/>
      <c r="L113" s="462"/>
      <c r="M113" s="462"/>
      <c r="N113" s="462"/>
      <c r="O113" s="462"/>
      <c r="P113" s="462"/>
      <c r="Q113" s="473"/>
      <c r="R113" s="532"/>
      <c r="S113" s="532"/>
      <c r="T113" s="532"/>
      <c r="U113" s="533"/>
      <c r="V113" s="533"/>
      <c r="W113" s="533"/>
      <c r="X113" s="533"/>
      <c r="Y113" s="533"/>
      <c r="Z113" s="533"/>
      <c r="AA113" s="533"/>
      <c r="AB113" s="533"/>
    </row>
    <row r="114" spans="1:28" x14ac:dyDescent="0.25">
      <c r="A114" s="465"/>
      <c r="B114" s="460"/>
      <c r="C114" s="468" t="s">
        <v>492</v>
      </c>
      <c r="D114" s="462"/>
      <c r="E114" s="462"/>
      <c r="F114" s="463">
        <f>+'Rates in summary'!Q25+Inputs!$B$18</f>
        <v>0.58722000000000019</v>
      </c>
      <c r="G114" s="463">
        <f>+F114-Inputs!$B$16-Inputs!$B$18-H114-I114</f>
        <v>0.30116000000000021</v>
      </c>
      <c r="H114" s="467">
        <f>+$H$85</f>
        <v>-5.3129999999999997E-2</v>
      </c>
      <c r="I114" s="463">
        <f>+Temporaries!AK25</f>
        <v>4.3300000000000005E-3</v>
      </c>
      <c r="J114" s="462"/>
      <c r="K114" s="462"/>
      <c r="L114" s="462"/>
      <c r="M114" s="462"/>
      <c r="N114" s="462"/>
      <c r="O114" s="462"/>
      <c r="P114" s="462"/>
      <c r="Q114" s="470"/>
      <c r="R114" s="532">
        <f>+F114-Inputs!$B$18+'Rates in detail'!$F$15</f>
        <v>0.59750000000000014</v>
      </c>
      <c r="S114" s="532">
        <f>+R114-F114+'Rates in summary'!$F$15</f>
        <v>-4.163336342344337E-17</v>
      </c>
      <c r="T114" s="536"/>
      <c r="U114" s="533"/>
      <c r="V114" s="533"/>
      <c r="W114" s="533"/>
      <c r="X114" s="533"/>
      <c r="Y114" s="533"/>
      <c r="Z114" s="533"/>
      <c r="AA114" s="533"/>
      <c r="AB114" s="533"/>
    </row>
    <row r="115" spans="1:28" x14ac:dyDescent="0.25">
      <c r="A115" s="465"/>
      <c r="B115" s="460"/>
      <c r="C115" s="468" t="s">
        <v>493</v>
      </c>
      <c r="D115" s="462"/>
      <c r="E115" s="462"/>
      <c r="F115" s="463">
        <f>+'Rates in summary'!Q26+Inputs!$B$18</f>
        <v>0.55089999999999983</v>
      </c>
      <c r="G115" s="463">
        <f>+F115-Inputs!$B$16-Inputs!$B$18-H115-I115</f>
        <v>0.26535999999999987</v>
      </c>
      <c r="H115" s="467">
        <f>+$H$85</f>
        <v>-5.3129999999999997E-2</v>
      </c>
      <c r="I115" s="463">
        <f>+Temporaries!AK26</f>
        <v>3.81E-3</v>
      </c>
      <c r="J115" s="462"/>
      <c r="K115" s="462"/>
      <c r="L115" s="462"/>
      <c r="M115" s="462"/>
      <c r="N115" s="462"/>
      <c r="O115" s="462"/>
      <c r="P115" s="462"/>
      <c r="Q115" s="470"/>
      <c r="R115" s="532">
        <f>+F115-Inputs!$B$18+'Rates in detail'!$F$15</f>
        <v>0.56117999999999979</v>
      </c>
      <c r="S115" s="532">
        <f>+R115-F115+'Rates in summary'!$F$15</f>
        <v>-4.163336342344337E-17</v>
      </c>
      <c r="T115" s="536"/>
      <c r="U115" s="533"/>
      <c r="V115" s="533"/>
      <c r="W115" s="533"/>
      <c r="X115" s="533"/>
      <c r="Y115" s="533"/>
      <c r="Z115" s="533"/>
      <c r="AA115" s="533"/>
      <c r="AB115" s="533"/>
    </row>
    <row r="116" spans="1:28" x14ac:dyDescent="0.25">
      <c r="A116" s="465"/>
      <c r="B116" s="460"/>
      <c r="C116" s="461" t="s">
        <v>494</v>
      </c>
      <c r="D116" s="462"/>
      <c r="E116" s="462"/>
      <c r="F116" s="463"/>
      <c r="G116" s="463"/>
      <c r="H116" s="469"/>
      <c r="I116" s="463"/>
      <c r="J116" s="462"/>
      <c r="K116" s="462"/>
      <c r="L116" s="462"/>
      <c r="M116" s="462"/>
      <c r="N116" s="462"/>
      <c r="O116" s="462"/>
      <c r="P116" s="462"/>
      <c r="Q116" s="464">
        <v>7.9083333313654673E-5</v>
      </c>
      <c r="R116" s="532"/>
      <c r="S116" s="532"/>
      <c r="T116" s="536"/>
      <c r="U116" s="533"/>
      <c r="V116" s="533"/>
      <c r="W116" s="533"/>
      <c r="X116" s="533"/>
      <c r="Y116" s="533"/>
      <c r="Z116" s="533"/>
      <c r="AA116" s="533"/>
      <c r="AB116" s="533"/>
    </row>
    <row r="117" spans="1:28" x14ac:dyDescent="0.25">
      <c r="A117" s="465"/>
      <c r="B117" s="460"/>
      <c r="C117" s="461"/>
      <c r="D117" s="462"/>
      <c r="E117" s="462"/>
      <c r="F117" s="463"/>
      <c r="G117" s="463"/>
      <c r="H117" s="469"/>
      <c r="I117" s="463"/>
      <c r="J117" s="462"/>
      <c r="K117" s="462"/>
      <c r="L117" s="462"/>
      <c r="M117" s="462"/>
      <c r="N117" s="462"/>
      <c r="O117" s="462"/>
      <c r="P117" s="462"/>
      <c r="Q117" s="474"/>
      <c r="R117" s="532"/>
      <c r="S117" s="532"/>
      <c r="T117" s="532"/>
      <c r="U117" s="533"/>
      <c r="V117" s="533"/>
      <c r="W117" s="533"/>
      <c r="X117" s="533"/>
      <c r="Y117" s="533"/>
      <c r="Z117" s="533"/>
      <c r="AA117" s="533"/>
      <c r="AB117" s="533"/>
    </row>
    <row r="118" spans="1:28" x14ac:dyDescent="0.25">
      <c r="A118" s="465"/>
      <c r="B118" s="460"/>
      <c r="C118" s="468" t="s">
        <v>132</v>
      </c>
      <c r="D118" s="462"/>
      <c r="E118" s="462"/>
      <c r="F118" s="463">
        <f>+'Rates in summary'!Q35+Inputs!$B$18</f>
        <v>0.4027</v>
      </c>
      <c r="G118" s="463">
        <f>+F118-Inputs!$B$16-Inputs!$B$18-H118-I118</f>
        <v>0.11839999999999999</v>
      </c>
      <c r="H118" s="467">
        <f t="shared" ref="H118:H123" si="1">+$H$85</f>
        <v>-5.3129999999999997E-2</v>
      </c>
      <c r="I118" s="463">
        <f>+Temporaries!AK35</f>
        <v>2.5699999999999998E-3</v>
      </c>
      <c r="J118" s="462"/>
      <c r="K118" s="462"/>
      <c r="L118" s="462"/>
      <c r="M118" s="462"/>
      <c r="N118" s="462"/>
      <c r="O118" s="462"/>
      <c r="P118" s="462"/>
      <c r="Q118" s="471"/>
      <c r="R118" s="532">
        <f>+F118-Inputs!$B$18+'Rates in detail'!$F$15</f>
        <v>0.41298000000000001</v>
      </c>
      <c r="S118" s="532">
        <f>+R118-F118+'Rates in summary'!$F$15</f>
        <v>1.3877787807814457E-17</v>
      </c>
      <c r="T118" s="536"/>
      <c r="U118" s="533"/>
      <c r="V118" s="533"/>
      <c r="W118" s="533"/>
      <c r="X118" s="533"/>
      <c r="Y118" s="533"/>
      <c r="Z118" s="533"/>
      <c r="AA118" s="533"/>
      <c r="AB118" s="533"/>
    </row>
    <row r="119" spans="1:28" x14ac:dyDescent="0.25">
      <c r="A119" s="465"/>
      <c r="B119" s="460"/>
      <c r="C119" s="468" t="s">
        <v>133</v>
      </c>
      <c r="D119" s="462"/>
      <c r="E119" s="462"/>
      <c r="F119" s="463">
        <f>+'Rates in summary'!Q36+Inputs!$B$18</f>
        <v>0.39002000000000009</v>
      </c>
      <c r="G119" s="463">
        <f>+F119-Inputs!$B$16-Inputs!$B$18-H119-I119</f>
        <v>0.10599000000000008</v>
      </c>
      <c r="H119" s="467">
        <f t="shared" si="1"/>
        <v>-5.3129999999999997E-2</v>
      </c>
      <c r="I119" s="463">
        <f>+Temporaries!AK36</f>
        <v>2.3E-3</v>
      </c>
      <c r="J119" s="462"/>
      <c r="K119" s="462"/>
      <c r="L119" s="462"/>
      <c r="M119" s="462"/>
      <c r="N119" s="462"/>
      <c r="O119" s="462"/>
      <c r="P119" s="462"/>
      <c r="Q119" s="471"/>
      <c r="R119" s="532">
        <f>+F119-Inputs!$B$18+'Rates in detail'!$F$15</f>
        <v>0.4003000000000001</v>
      </c>
      <c r="S119" s="532">
        <f>+R119-F119+'Rates in summary'!$F$15</f>
        <v>1.3877787807814457E-17</v>
      </c>
      <c r="T119" s="538" t="s">
        <v>563</v>
      </c>
      <c r="U119" s="533"/>
      <c r="V119" s="539">
        <v>0.14038999999999999</v>
      </c>
      <c r="W119" s="533"/>
      <c r="X119" s="539"/>
      <c r="Y119" s="533"/>
      <c r="Z119" s="533"/>
      <c r="AA119" s="533"/>
      <c r="AB119" s="533"/>
    </row>
    <row r="120" spans="1:28" x14ac:dyDescent="0.25">
      <c r="A120" s="465"/>
      <c r="B120" s="460"/>
      <c r="C120" s="468" t="s">
        <v>134</v>
      </c>
      <c r="D120" s="462"/>
      <c r="E120" s="462"/>
      <c r="F120" s="463">
        <f>+'Rates in summary'!Q37+Inputs!$B$18</f>
        <v>0.36476999999999993</v>
      </c>
      <c r="G120" s="463">
        <f>+F120-Inputs!$B$16-Inputs!$B$18-H120-I120</f>
        <v>8.1279999999999922E-2</v>
      </c>
      <c r="H120" s="467">
        <f t="shared" si="1"/>
        <v>-5.3129999999999997E-2</v>
      </c>
      <c r="I120" s="463">
        <f>+Temporaries!AK37</f>
        <v>1.7600000000000001E-3</v>
      </c>
      <c r="J120" s="462"/>
      <c r="K120" s="462"/>
      <c r="L120" s="462"/>
      <c r="M120" s="462"/>
      <c r="N120" s="462"/>
      <c r="O120" s="462"/>
      <c r="P120" s="462"/>
      <c r="Q120" s="471"/>
      <c r="R120" s="532">
        <f>+F120-Inputs!$B$18+'Rates in detail'!$F$15</f>
        <v>0.37504999999999988</v>
      </c>
      <c r="S120" s="532">
        <f>+R120-F120+'Rates in summary'!$F$15</f>
        <v>-4.163336342344337E-17</v>
      </c>
      <c r="T120" s="538" t="s">
        <v>564</v>
      </c>
      <c r="U120" s="533"/>
      <c r="V120" s="539">
        <v>4.9029999999999997E-2</v>
      </c>
      <c r="W120" s="539">
        <f>+V120-V124</f>
        <v>1.459999999999996E-3</v>
      </c>
      <c r="X120" s="539"/>
      <c r="Y120" s="533"/>
      <c r="Z120" s="533"/>
      <c r="AA120" s="533"/>
      <c r="AB120" s="533"/>
    </row>
    <row r="121" spans="1:28" x14ac:dyDescent="0.25">
      <c r="A121" s="465"/>
      <c r="B121" s="460"/>
      <c r="C121" s="468" t="s">
        <v>135</v>
      </c>
      <c r="D121" s="462"/>
      <c r="E121" s="462"/>
      <c r="F121" s="463">
        <f>+'Rates in summary'!Q38+Inputs!$B$18</f>
        <v>0.34816000000000014</v>
      </c>
      <c r="G121" s="463">
        <f>+F121-Inputs!$B$16-Inputs!$B$18-H121-I121</f>
        <v>6.5020000000000133E-2</v>
      </c>
      <c r="H121" s="467">
        <f t="shared" si="1"/>
        <v>-5.3129999999999997E-2</v>
      </c>
      <c r="I121" s="463">
        <f>+Temporaries!AK38</f>
        <v>1.41E-3</v>
      </c>
      <c r="J121" s="462"/>
      <c r="K121" s="462"/>
      <c r="L121" s="462"/>
      <c r="M121" s="462"/>
      <c r="N121" s="462"/>
      <c r="O121" s="462"/>
      <c r="P121" s="462"/>
      <c r="Q121" s="471"/>
      <c r="R121" s="532">
        <f>+F121-Inputs!$B$18+'Rates in detail'!$F$15</f>
        <v>0.35844000000000009</v>
      </c>
      <c r="S121" s="532">
        <f>+R121-F121+'Rates in summary'!$F$15</f>
        <v>-4.163336342344337E-17</v>
      </c>
      <c r="T121" s="538" t="s">
        <v>565</v>
      </c>
      <c r="U121" s="533"/>
      <c r="V121" s="540">
        <v>2.09</v>
      </c>
      <c r="W121" s="533"/>
      <c r="X121" s="540"/>
      <c r="Y121" s="533"/>
      <c r="Z121" s="533"/>
      <c r="AA121" s="533"/>
      <c r="AB121" s="533"/>
    </row>
    <row r="122" spans="1:28" x14ac:dyDescent="0.25">
      <c r="A122" s="465"/>
      <c r="B122" s="460"/>
      <c r="C122" s="468" t="s">
        <v>136</v>
      </c>
      <c r="D122" s="462"/>
      <c r="E122" s="462"/>
      <c r="F122" s="463">
        <f>+'Rates in summary'!Q39+Inputs!$B$18</f>
        <v>0.32603000000000021</v>
      </c>
      <c r="G122" s="463">
        <f>+F122-Inputs!$B$16-Inputs!$B$18-H122-I122</f>
        <v>4.3360000000000197E-2</v>
      </c>
      <c r="H122" s="467">
        <f t="shared" si="1"/>
        <v>-5.3129999999999997E-2</v>
      </c>
      <c r="I122" s="463">
        <f>+Temporaries!AK39</f>
        <v>9.4000000000000008E-4</v>
      </c>
      <c r="J122" s="462"/>
      <c r="K122" s="462"/>
      <c r="L122" s="462"/>
      <c r="M122" s="462"/>
      <c r="N122" s="462"/>
      <c r="O122" s="462"/>
      <c r="P122" s="462"/>
      <c r="Q122" s="471"/>
      <c r="R122" s="532">
        <f>+F122-Inputs!$B$18+'Rates in detail'!$F$15</f>
        <v>0.33631000000000022</v>
      </c>
      <c r="S122" s="532">
        <f>+R122-F122+'Rates in summary'!$F$15</f>
        <v>1.3877787807814457E-17</v>
      </c>
      <c r="T122" s="538"/>
      <c r="U122" s="533"/>
      <c r="V122" s="533"/>
      <c r="W122" s="533"/>
      <c r="X122" s="533"/>
      <c r="Y122" s="533"/>
      <c r="Z122" s="533"/>
      <c r="AA122" s="533"/>
      <c r="AB122" s="533"/>
    </row>
    <row r="123" spans="1:28" x14ac:dyDescent="0.25">
      <c r="A123" s="465"/>
      <c r="B123" s="460"/>
      <c r="C123" s="468" t="s">
        <v>137</v>
      </c>
      <c r="D123" s="462"/>
      <c r="E123" s="462"/>
      <c r="F123" s="463">
        <f>+'Rates in summary'!Q40+Inputs!$B$18</f>
        <v>0.29833999999999994</v>
      </c>
      <c r="G123" s="463">
        <f>+F123-Inputs!$B$16-Inputs!$B$18-H123-I123</f>
        <v>1.6249999999999931E-2</v>
      </c>
      <c r="H123" s="467">
        <f t="shared" si="1"/>
        <v>-5.3129999999999997E-2</v>
      </c>
      <c r="I123" s="463">
        <f>+Temporaries!AK40</f>
        <v>3.5999999999999997E-4</v>
      </c>
      <c r="J123" s="462"/>
      <c r="K123" s="462"/>
      <c r="L123" s="462"/>
      <c r="M123" s="462"/>
      <c r="N123" s="462"/>
      <c r="O123" s="462"/>
      <c r="P123" s="462"/>
      <c r="Q123" s="471"/>
      <c r="R123" s="532">
        <f>+F123-Inputs!$B$18+'Rates in detail'!$F$15</f>
        <v>0.30861999999999989</v>
      </c>
      <c r="S123" s="532">
        <f>+R123-F123+'Rates in summary'!$F$15</f>
        <v>-4.163336342344337E-17</v>
      </c>
      <c r="T123" s="538" t="s">
        <v>566</v>
      </c>
      <c r="U123" s="533"/>
      <c r="V123" s="539">
        <v>0.13618</v>
      </c>
      <c r="W123" s="533"/>
      <c r="X123" s="539"/>
      <c r="Y123" s="533"/>
      <c r="Z123" s="533"/>
      <c r="AA123" s="533"/>
      <c r="AB123" s="533"/>
    </row>
    <row r="124" spans="1:28" x14ac:dyDescent="0.25">
      <c r="A124" s="465"/>
      <c r="B124" s="460"/>
      <c r="C124" s="461" t="s">
        <v>495</v>
      </c>
      <c r="D124" s="462"/>
      <c r="E124" s="462"/>
      <c r="F124" s="463"/>
      <c r="G124" s="463"/>
      <c r="H124" s="469"/>
      <c r="I124" s="463"/>
      <c r="J124" s="462"/>
      <c r="K124" s="462"/>
      <c r="L124" s="462"/>
      <c r="M124" s="462"/>
      <c r="N124" s="462"/>
      <c r="O124" s="462"/>
      <c r="P124" s="462"/>
      <c r="Q124" s="474"/>
      <c r="R124" s="532"/>
      <c r="S124" s="532"/>
      <c r="T124" s="538" t="s">
        <v>567</v>
      </c>
      <c r="U124" s="533"/>
      <c r="V124" s="539">
        <v>4.7570000000000001E-2</v>
      </c>
      <c r="W124" s="533"/>
      <c r="X124" s="539"/>
      <c r="Y124" s="533"/>
      <c r="Z124" s="533"/>
      <c r="AA124" s="533"/>
      <c r="AB124" s="533"/>
    </row>
    <row r="125" spans="1:28" x14ac:dyDescent="0.25">
      <c r="A125" s="465"/>
      <c r="B125" s="460"/>
      <c r="C125" s="461"/>
      <c r="D125" s="462"/>
      <c r="E125" s="462"/>
      <c r="F125" s="463"/>
      <c r="G125" s="463"/>
      <c r="H125" s="469"/>
      <c r="I125" s="463"/>
      <c r="J125" s="462"/>
      <c r="K125" s="462"/>
      <c r="L125" s="462"/>
      <c r="M125" s="462"/>
      <c r="N125" s="462"/>
      <c r="O125" s="462"/>
      <c r="P125" s="462"/>
      <c r="Q125" s="474"/>
      <c r="R125" s="532"/>
      <c r="S125" s="532"/>
      <c r="T125" s="541" t="s">
        <v>568</v>
      </c>
      <c r="U125" s="533"/>
      <c r="V125" s="540">
        <v>2.0299999999999998</v>
      </c>
      <c r="W125" s="540"/>
      <c r="X125" s="540"/>
      <c r="Y125" s="533"/>
      <c r="Z125" s="533"/>
      <c r="AA125" s="533"/>
      <c r="AB125" s="533"/>
    </row>
    <row r="126" spans="1:28" x14ac:dyDescent="0.25">
      <c r="A126" s="465"/>
      <c r="B126" s="460"/>
      <c r="C126" s="468" t="s">
        <v>496</v>
      </c>
      <c r="D126" s="462"/>
      <c r="E126" s="462"/>
      <c r="F126" s="463">
        <f>+'Rates in detail'!V27+Inputs!$B$20</f>
        <v>0.53188000000000002</v>
      </c>
      <c r="G126" s="463">
        <f>+F126-Inputs!$B$16-Inputs!$B$20-H126-I126</f>
        <v>0.30088000000000004</v>
      </c>
      <c r="H126" s="463">
        <f>+Temporaries!F27+Temporaries!H27</f>
        <v>-3.5659999999999997E-2</v>
      </c>
      <c r="I126" s="463">
        <f>+Temporaries!AK27</f>
        <v>4.2199999999999998E-3</v>
      </c>
      <c r="J126" s="462"/>
      <c r="K126" s="462"/>
      <c r="L126" s="462"/>
      <c r="M126" s="462"/>
      <c r="N126" s="462"/>
      <c r="O126" s="462"/>
      <c r="P126" s="462"/>
      <c r="Q126" s="474"/>
      <c r="R126" s="532">
        <f>+F126-$V$120+$V$124</f>
        <v>0.53042</v>
      </c>
      <c r="S126" s="532">
        <f>+R126-F126+$W$120</f>
        <v>-2.0816681711721685E-17</v>
      </c>
      <c r="T126" s="536"/>
      <c r="U126" s="533"/>
      <c r="V126" s="533"/>
      <c r="W126" s="533"/>
      <c r="X126" s="533"/>
      <c r="Y126" s="533"/>
      <c r="Z126" s="533"/>
      <c r="AA126" s="533"/>
      <c r="AB126" s="533"/>
    </row>
    <row r="127" spans="1:28" x14ac:dyDescent="0.25">
      <c r="A127" s="465"/>
      <c r="B127" s="460"/>
      <c r="C127" s="468" t="s">
        <v>497</v>
      </c>
      <c r="D127" s="462"/>
      <c r="E127" s="462"/>
      <c r="F127" s="463">
        <f>+'Rates in detail'!V28+Inputs!$B$20</f>
        <v>0.49558999999999997</v>
      </c>
      <c r="G127" s="463">
        <f>+F127-Inputs!$B$16-Inputs!$B$20-H127-I127</f>
        <v>0.26508999999999999</v>
      </c>
      <c r="H127" s="467">
        <f>+$H$126</f>
        <v>-3.5659999999999997E-2</v>
      </c>
      <c r="I127" s="463">
        <f>+Temporaries!AK28</f>
        <v>3.7200000000000002E-3</v>
      </c>
      <c r="J127" s="462"/>
      <c r="K127" s="462"/>
      <c r="L127" s="462"/>
      <c r="M127" s="462"/>
      <c r="N127" s="462"/>
      <c r="O127" s="462"/>
      <c r="P127" s="462"/>
      <c r="Q127" s="471"/>
      <c r="R127" s="532">
        <f>+F127-$V$120+$V$124</f>
        <v>0.49412999999999996</v>
      </c>
      <c r="S127" s="532">
        <f>+R127-F127+$W$120</f>
        <v>-2.0816681711721685E-17</v>
      </c>
      <c r="T127" s="536"/>
      <c r="U127" s="533"/>
      <c r="V127" s="533"/>
      <c r="W127" s="533"/>
      <c r="X127" s="533"/>
      <c r="Y127" s="533"/>
      <c r="Z127" s="533"/>
      <c r="AA127" s="533"/>
      <c r="AB127" s="533"/>
    </row>
    <row r="128" spans="1:28" x14ac:dyDescent="0.25">
      <c r="A128" s="465"/>
      <c r="B128" s="460"/>
      <c r="C128" s="461" t="s">
        <v>498</v>
      </c>
      <c r="D128" s="462"/>
      <c r="E128" s="462"/>
      <c r="F128" s="463"/>
      <c r="G128" s="463"/>
      <c r="H128" s="469"/>
      <c r="I128" s="463"/>
      <c r="J128" s="462"/>
      <c r="K128" s="462"/>
      <c r="L128" s="462"/>
      <c r="M128" s="462"/>
      <c r="N128" s="462"/>
      <c r="O128" s="462"/>
      <c r="P128" s="462"/>
      <c r="Q128" s="474"/>
      <c r="R128" s="532"/>
      <c r="S128" s="532"/>
      <c r="T128" s="536"/>
      <c r="U128" s="533"/>
      <c r="V128" s="533"/>
      <c r="W128" s="533"/>
      <c r="X128" s="533"/>
      <c r="Y128" s="533"/>
      <c r="Z128" s="533"/>
      <c r="AA128" s="533"/>
      <c r="AB128" s="533"/>
    </row>
    <row r="129" spans="1:28" x14ac:dyDescent="0.25">
      <c r="A129" s="465"/>
      <c r="B129" s="460"/>
      <c r="C129" s="461"/>
      <c r="D129" s="462"/>
      <c r="E129" s="462"/>
      <c r="F129" s="463"/>
      <c r="G129" s="463"/>
      <c r="H129" s="469"/>
      <c r="I129" s="463"/>
      <c r="J129" s="462"/>
      <c r="K129" s="462"/>
      <c r="L129" s="462"/>
      <c r="M129" s="462"/>
      <c r="N129" s="462"/>
      <c r="O129" s="462"/>
      <c r="P129" s="462"/>
      <c r="Q129" s="474"/>
      <c r="R129" s="532"/>
      <c r="S129" s="532"/>
      <c r="T129" s="532"/>
      <c r="U129" s="533"/>
      <c r="V129" s="533"/>
      <c r="W129" s="533"/>
      <c r="X129" s="533"/>
      <c r="Y129" s="533"/>
      <c r="Z129" s="533"/>
      <c r="AA129" s="533"/>
      <c r="AB129" s="533"/>
    </row>
    <row r="130" spans="1:28" x14ac:dyDescent="0.25">
      <c r="A130" s="465"/>
      <c r="B130" s="460"/>
      <c r="C130" s="468" t="s">
        <v>499</v>
      </c>
      <c r="D130" s="462"/>
      <c r="E130" s="462"/>
      <c r="F130" s="463">
        <f>+'Rates in detail'!V53+Inputs!$B$20</f>
        <v>0.34775</v>
      </c>
      <c r="G130" s="463">
        <f>+F130-Inputs!$B$16-Inputs!$B$20-H130-I130</f>
        <v>0.11839</v>
      </c>
      <c r="H130" s="467">
        <f t="shared" ref="H130:H135" si="2">+$H$126</f>
        <v>-3.5659999999999997E-2</v>
      </c>
      <c r="I130" s="463">
        <f>+Temporaries!AK53</f>
        <v>2.5799999999999998E-3</v>
      </c>
      <c r="J130" s="462"/>
      <c r="K130" s="462"/>
      <c r="L130" s="462"/>
      <c r="M130" s="462"/>
      <c r="N130" s="462"/>
      <c r="O130" s="462"/>
      <c r="P130" s="462"/>
      <c r="Q130" s="471"/>
      <c r="R130" s="532">
        <f t="shared" ref="R130:R135" si="3">+F130-$V$120+$V$124</f>
        <v>0.34628999999999999</v>
      </c>
      <c r="S130" s="532">
        <f t="shared" ref="S130:S135" si="4">+R130-F130+$W$120</f>
        <v>-2.0816681711721685E-17</v>
      </c>
      <c r="T130" s="536"/>
      <c r="U130" s="533"/>
      <c r="V130" s="533"/>
      <c r="W130" s="533"/>
      <c r="X130" s="533"/>
      <c r="Y130" s="533"/>
      <c r="Z130" s="533"/>
      <c r="AA130" s="533"/>
      <c r="AB130" s="533"/>
    </row>
    <row r="131" spans="1:28" x14ac:dyDescent="0.25">
      <c r="A131" s="465"/>
      <c r="B131" s="460"/>
      <c r="C131" s="468" t="s">
        <v>500</v>
      </c>
      <c r="D131" s="462"/>
      <c r="E131" s="462"/>
      <c r="F131" s="463">
        <f>+'Rates in detail'!V54+Inputs!$B$20</f>
        <v>0.33505999999999991</v>
      </c>
      <c r="G131" s="463">
        <f>+F131-Inputs!$B$16-Inputs!$B$20-H131-I131</f>
        <v>0.1059699999999999</v>
      </c>
      <c r="H131" s="467">
        <f t="shared" si="2"/>
        <v>-3.5659999999999997E-2</v>
      </c>
      <c r="I131" s="463">
        <f>+Temporaries!AK54</f>
        <v>2.31E-3</v>
      </c>
      <c r="J131" s="462"/>
      <c r="K131" s="462"/>
      <c r="L131" s="462"/>
      <c r="M131" s="462"/>
      <c r="N131" s="462"/>
      <c r="O131" s="462"/>
      <c r="P131" s="462"/>
      <c r="Q131" s="471"/>
      <c r="R131" s="532">
        <f t="shared" si="3"/>
        <v>0.3335999999999999</v>
      </c>
      <c r="S131" s="532">
        <f t="shared" si="4"/>
        <v>-2.0816681711721685E-17</v>
      </c>
      <c r="T131" s="536"/>
      <c r="U131" s="533"/>
      <c r="V131" s="533"/>
      <c r="W131" s="533"/>
      <c r="X131" s="533"/>
      <c r="Y131" s="533"/>
      <c r="Z131" s="533"/>
      <c r="AA131" s="533"/>
      <c r="AB131" s="533"/>
    </row>
    <row r="132" spans="1:28" x14ac:dyDescent="0.25">
      <c r="A132" s="465"/>
      <c r="B132" s="460"/>
      <c r="C132" s="468" t="s">
        <v>501</v>
      </c>
      <c r="D132" s="462"/>
      <c r="E132" s="462"/>
      <c r="F132" s="463">
        <f>+'Rates in detail'!V55+Inputs!$B$20</f>
        <v>0.3098200000000001</v>
      </c>
      <c r="G132" s="463">
        <f>+F132-Inputs!$B$16-Inputs!$B$20-H132-I132</f>
        <v>8.1270000000000092E-2</v>
      </c>
      <c r="H132" s="467">
        <f t="shared" si="2"/>
        <v>-3.5659999999999997E-2</v>
      </c>
      <c r="I132" s="463">
        <f>+Temporaries!AK55</f>
        <v>1.7700000000000001E-3</v>
      </c>
      <c r="J132" s="462"/>
      <c r="K132" s="462"/>
      <c r="L132" s="462"/>
      <c r="M132" s="462"/>
      <c r="N132" s="462"/>
      <c r="O132" s="462"/>
      <c r="P132" s="462"/>
      <c r="Q132" s="471"/>
      <c r="R132" s="532">
        <f t="shared" si="3"/>
        <v>0.30836000000000008</v>
      </c>
      <c r="S132" s="532">
        <f t="shared" si="4"/>
        <v>-2.0816681711721685E-17</v>
      </c>
      <c r="T132" s="536"/>
      <c r="U132" s="533"/>
      <c r="V132" s="533"/>
      <c r="W132" s="533"/>
      <c r="X132" s="533"/>
      <c r="Y132" s="533"/>
      <c r="Z132" s="533"/>
      <c r="AA132" s="533"/>
      <c r="AB132" s="533"/>
    </row>
    <row r="133" spans="1:28" x14ac:dyDescent="0.25">
      <c r="A133" s="465"/>
      <c r="B133" s="460"/>
      <c r="C133" s="468" t="s">
        <v>502</v>
      </c>
      <c r="D133" s="462"/>
      <c r="E133" s="462"/>
      <c r="F133" s="463">
        <f>+'Rates in detail'!V56+Inputs!$B$20</f>
        <v>0.29320999999999986</v>
      </c>
      <c r="G133" s="463">
        <f>+F133-Inputs!$B$16-Inputs!$B$20-H133-I133</f>
        <v>6.5009999999999846E-2</v>
      </c>
      <c r="H133" s="467">
        <f t="shared" si="2"/>
        <v>-3.5659999999999997E-2</v>
      </c>
      <c r="I133" s="463">
        <f>+Temporaries!AK56</f>
        <v>1.42E-3</v>
      </c>
      <c r="J133" s="462"/>
      <c r="K133" s="462"/>
      <c r="L133" s="462"/>
      <c r="M133" s="462"/>
      <c r="N133" s="462"/>
      <c r="O133" s="462"/>
      <c r="P133" s="462"/>
      <c r="Q133" s="471"/>
      <c r="R133" s="532">
        <f t="shared" si="3"/>
        <v>0.29174999999999984</v>
      </c>
      <c r="S133" s="532">
        <f t="shared" si="4"/>
        <v>-2.0816681711721685E-17</v>
      </c>
      <c r="T133" s="536"/>
      <c r="U133" s="533"/>
      <c r="V133" s="533"/>
      <c r="W133" s="533"/>
      <c r="X133" s="533"/>
      <c r="Y133" s="533"/>
      <c r="Z133" s="533"/>
      <c r="AA133" s="533"/>
      <c r="AB133" s="533"/>
    </row>
    <row r="134" spans="1:28" x14ac:dyDescent="0.25">
      <c r="A134" s="465"/>
      <c r="B134" s="460"/>
      <c r="C134" s="468" t="s">
        <v>503</v>
      </c>
      <c r="D134" s="462"/>
      <c r="E134" s="462"/>
      <c r="F134" s="463">
        <f>+'Rates in detail'!V57+Inputs!$B$20</f>
        <v>0.27106000000000002</v>
      </c>
      <c r="G134" s="463">
        <f>+F134-Inputs!$B$16-Inputs!$B$20-H134-I134</f>
        <v>4.334000000000001E-2</v>
      </c>
      <c r="H134" s="467">
        <f t="shared" si="2"/>
        <v>-3.5659999999999997E-2</v>
      </c>
      <c r="I134" s="463">
        <f>+Temporaries!AK57</f>
        <v>9.4000000000000008E-4</v>
      </c>
      <c r="J134" s="462"/>
      <c r="K134" s="462"/>
      <c r="L134" s="462"/>
      <c r="M134" s="462"/>
      <c r="N134" s="462"/>
      <c r="O134" s="462"/>
      <c r="P134" s="462"/>
      <c r="Q134" s="471"/>
      <c r="R134" s="532">
        <f t="shared" si="3"/>
        <v>0.26960000000000006</v>
      </c>
      <c r="S134" s="532">
        <f t="shared" si="4"/>
        <v>3.4694469519536142E-17</v>
      </c>
      <c r="T134" s="536"/>
      <c r="U134" s="533"/>
      <c r="V134" s="533"/>
      <c r="W134" s="533"/>
      <c r="X134" s="533"/>
      <c r="Y134" s="533"/>
      <c r="Z134" s="533"/>
      <c r="AA134" s="533"/>
      <c r="AB134" s="533"/>
    </row>
    <row r="135" spans="1:28" x14ac:dyDescent="0.25">
      <c r="A135" s="465"/>
      <c r="B135" s="460"/>
      <c r="C135" s="468" t="s">
        <v>504</v>
      </c>
      <c r="D135" s="462"/>
      <c r="E135" s="462"/>
      <c r="F135" s="463">
        <f>+'Rates in detail'!V58+Inputs!$B$20</f>
        <v>0.24339999999999992</v>
      </c>
      <c r="G135" s="463">
        <f>+F135-Inputs!$B$16-Inputs!$B$20-H135-I135</f>
        <v>1.6259999999999913E-2</v>
      </c>
      <c r="H135" s="467">
        <f t="shared" si="2"/>
        <v>-3.5659999999999997E-2</v>
      </c>
      <c r="I135" s="463">
        <f>+Temporaries!AK58</f>
        <v>3.5999999999999997E-4</v>
      </c>
      <c r="J135" s="462"/>
      <c r="K135" s="462"/>
      <c r="L135" s="462"/>
      <c r="M135" s="462"/>
      <c r="N135" s="462"/>
      <c r="O135" s="462"/>
      <c r="P135" s="462"/>
      <c r="Q135" s="471"/>
      <c r="R135" s="532">
        <f t="shared" si="3"/>
        <v>0.24193999999999993</v>
      </c>
      <c r="S135" s="532">
        <f t="shared" si="4"/>
        <v>6.9388939039072284E-18</v>
      </c>
      <c r="T135" s="536"/>
      <c r="U135" s="533"/>
      <c r="V135" s="533"/>
      <c r="W135" s="533"/>
      <c r="X135" s="533"/>
      <c r="Y135" s="533"/>
      <c r="Z135" s="533"/>
      <c r="AA135" s="533"/>
      <c r="AB135" s="533"/>
    </row>
    <row r="136" spans="1:28" x14ac:dyDescent="0.25">
      <c r="A136" s="465"/>
      <c r="B136" s="460"/>
      <c r="C136" s="461" t="s">
        <v>505</v>
      </c>
      <c r="D136" s="462"/>
      <c r="E136" s="462"/>
      <c r="F136" s="463"/>
      <c r="G136" s="463"/>
      <c r="H136" s="469"/>
      <c r="I136" s="463"/>
      <c r="J136" s="462"/>
      <c r="K136" s="462"/>
      <c r="L136" s="462"/>
      <c r="M136" s="462"/>
      <c r="N136" s="462"/>
      <c r="O136" s="462"/>
      <c r="P136" s="462"/>
      <c r="Q136" s="474"/>
      <c r="R136" s="532"/>
      <c r="S136" s="532"/>
      <c r="T136" s="536"/>
      <c r="U136" s="533"/>
      <c r="V136" s="533"/>
      <c r="W136" s="533"/>
      <c r="X136" s="533"/>
      <c r="Y136" s="533"/>
      <c r="Z136" s="533"/>
      <c r="AA136" s="533"/>
      <c r="AB136" s="533"/>
    </row>
    <row r="137" spans="1:28" x14ac:dyDescent="0.25">
      <c r="A137" s="465"/>
      <c r="B137" s="460"/>
      <c r="C137" s="461"/>
      <c r="D137" s="462"/>
      <c r="E137" s="462"/>
      <c r="F137" s="463"/>
      <c r="G137" s="463"/>
      <c r="H137" s="469"/>
      <c r="I137" s="463"/>
      <c r="J137" s="462"/>
      <c r="K137" s="462"/>
      <c r="L137" s="462"/>
      <c r="M137" s="462"/>
      <c r="N137" s="462"/>
      <c r="O137" s="462"/>
      <c r="P137" s="462"/>
      <c r="Q137" s="474"/>
      <c r="R137" s="532"/>
      <c r="S137" s="532"/>
      <c r="T137" s="532"/>
      <c r="U137" s="533"/>
      <c r="V137" s="533"/>
      <c r="W137" s="533"/>
      <c r="X137" s="533"/>
      <c r="Y137" s="533"/>
      <c r="Z137" s="533"/>
      <c r="AA137" s="533"/>
      <c r="AB137" s="533"/>
    </row>
    <row r="138" spans="1:28" x14ac:dyDescent="0.25">
      <c r="A138" s="465"/>
      <c r="B138" s="475"/>
      <c r="C138" s="466"/>
      <c r="D138" s="462"/>
      <c r="E138" s="462"/>
      <c r="F138" s="463"/>
      <c r="G138" s="463"/>
      <c r="H138" s="463"/>
      <c r="I138" s="463"/>
      <c r="J138" s="462"/>
      <c r="K138" s="462"/>
      <c r="L138" s="462"/>
      <c r="M138" s="462"/>
      <c r="N138" s="462"/>
      <c r="O138" s="462"/>
      <c r="P138" s="462"/>
      <c r="Q138" s="476"/>
      <c r="R138" s="534"/>
      <c r="S138" s="534"/>
      <c r="T138" s="534"/>
      <c r="U138" s="533"/>
      <c r="V138" s="533"/>
      <c r="W138" s="533"/>
      <c r="X138" s="533"/>
      <c r="Y138" s="533"/>
      <c r="Z138" s="533"/>
      <c r="AA138" s="533"/>
      <c r="AB138" s="533"/>
    </row>
    <row r="139" spans="1:28" x14ac:dyDescent="0.25">
      <c r="A139" s="465"/>
      <c r="B139" s="477" t="s">
        <v>452</v>
      </c>
      <c r="C139" s="468" t="s">
        <v>506</v>
      </c>
      <c r="D139" s="462"/>
      <c r="E139" s="462"/>
      <c r="F139" s="463">
        <f>+'Rates in detail'!V23</f>
        <v>0.30018999999999996</v>
      </c>
      <c r="G139" s="463">
        <f>+F139-H139-I139</f>
        <v>0.30018999999999996</v>
      </c>
      <c r="H139" s="467"/>
      <c r="I139" s="463">
        <f>+Temporaries!AK23</f>
        <v>0</v>
      </c>
      <c r="J139" s="462"/>
      <c r="K139" s="462"/>
      <c r="L139" s="462"/>
      <c r="M139" s="462"/>
      <c r="N139" s="462"/>
      <c r="O139" s="462"/>
      <c r="P139" s="462"/>
      <c r="Q139" s="476"/>
      <c r="R139" s="532">
        <f>+F139</f>
        <v>0.30018999999999996</v>
      </c>
      <c r="S139" s="534"/>
      <c r="T139" s="536"/>
      <c r="U139" s="533"/>
      <c r="V139" s="533"/>
      <c r="W139" s="533"/>
      <c r="X139" s="533"/>
      <c r="Y139" s="533"/>
      <c r="Z139" s="533"/>
      <c r="AA139" s="533"/>
      <c r="AB139" s="533"/>
    </row>
    <row r="140" spans="1:28" x14ac:dyDescent="0.25">
      <c r="A140" s="465"/>
      <c r="B140" s="475"/>
      <c r="C140" s="468" t="s">
        <v>507</v>
      </c>
      <c r="D140" s="462"/>
      <c r="E140" s="462"/>
      <c r="F140" s="463">
        <f>+'Rates in detail'!V24</f>
        <v>0.26449</v>
      </c>
      <c r="G140" s="463">
        <f>+F140-H140-I140</f>
        <v>0.26449</v>
      </c>
      <c r="H140" s="467"/>
      <c r="I140" s="463">
        <f>+Temporaries!AK24</f>
        <v>0</v>
      </c>
      <c r="J140" s="462"/>
      <c r="K140" s="462"/>
      <c r="L140" s="462"/>
      <c r="M140" s="462"/>
      <c r="N140" s="462"/>
      <c r="O140" s="462"/>
      <c r="P140" s="462"/>
      <c r="Q140" s="476"/>
      <c r="R140" s="532">
        <f>+F140</f>
        <v>0.26449</v>
      </c>
      <c r="S140" s="534"/>
      <c r="T140" s="536"/>
      <c r="U140" s="533"/>
      <c r="V140" s="533"/>
      <c r="W140" s="533"/>
      <c r="X140" s="533"/>
      <c r="Y140" s="533"/>
      <c r="Z140" s="533"/>
      <c r="AA140" s="533"/>
      <c r="AB140" s="533"/>
    </row>
    <row r="141" spans="1:28" x14ac:dyDescent="0.25">
      <c r="A141" s="465"/>
      <c r="B141" s="477"/>
      <c r="C141" s="461" t="s">
        <v>494</v>
      </c>
      <c r="D141" s="462"/>
      <c r="E141" s="462"/>
      <c r="F141" s="463"/>
      <c r="G141" s="463"/>
      <c r="H141" s="469"/>
      <c r="I141" s="463"/>
      <c r="J141" s="462"/>
      <c r="K141" s="462"/>
      <c r="L141" s="462"/>
      <c r="M141" s="462"/>
      <c r="N141" s="462"/>
      <c r="O141" s="462"/>
      <c r="P141" s="462"/>
      <c r="Q141" s="474"/>
      <c r="R141" s="532"/>
      <c r="S141" s="532"/>
      <c r="T141" s="536"/>
      <c r="U141" s="533"/>
      <c r="V141" s="533"/>
      <c r="W141" s="533"/>
      <c r="X141" s="533"/>
      <c r="Y141" s="533"/>
      <c r="Z141" s="533"/>
      <c r="AA141" s="533"/>
      <c r="AB141" s="533"/>
    </row>
    <row r="142" spans="1:28" x14ac:dyDescent="0.25">
      <c r="A142" s="465"/>
      <c r="B142" s="477"/>
      <c r="C142" s="461"/>
      <c r="D142" s="462"/>
      <c r="E142" s="462"/>
      <c r="F142" s="463"/>
      <c r="G142" s="463"/>
      <c r="H142" s="469"/>
      <c r="I142" s="463"/>
      <c r="J142" s="462"/>
      <c r="K142" s="462"/>
      <c r="L142" s="462"/>
      <c r="M142" s="462"/>
      <c r="N142" s="462"/>
      <c r="O142" s="462"/>
      <c r="P142" s="462"/>
      <c r="Q142" s="474"/>
      <c r="R142" s="532"/>
      <c r="S142" s="532"/>
      <c r="T142" s="532"/>
      <c r="U142" s="533"/>
      <c r="V142" s="533"/>
      <c r="W142" s="533"/>
      <c r="X142" s="533"/>
      <c r="Y142" s="533"/>
      <c r="Z142" s="533"/>
      <c r="AA142" s="533"/>
      <c r="AB142" s="533"/>
    </row>
    <row r="143" spans="1:28" x14ac:dyDescent="0.25">
      <c r="A143" s="465"/>
      <c r="B143" s="477"/>
      <c r="C143" s="468" t="s">
        <v>508</v>
      </c>
      <c r="D143" s="462"/>
      <c r="E143" s="462"/>
      <c r="F143" s="463">
        <f>+'Rates in detail'!V41</f>
        <v>0.11795</v>
      </c>
      <c r="G143" s="463">
        <f t="shared" ref="G143:G148" si="5">+F143-H143-I143</f>
        <v>0.11795</v>
      </c>
      <c r="H143" s="463"/>
      <c r="I143" s="463">
        <f>+Temporaries!AK41</f>
        <v>0</v>
      </c>
      <c r="J143" s="462"/>
      <c r="K143" s="462"/>
      <c r="L143" s="462"/>
      <c r="M143" s="462"/>
      <c r="N143" s="462"/>
      <c r="O143" s="462"/>
      <c r="P143" s="462"/>
      <c r="Q143" s="476"/>
      <c r="R143" s="532">
        <f t="shared" ref="R143:R148" si="6">+F143</f>
        <v>0.11795</v>
      </c>
      <c r="S143" s="534"/>
      <c r="T143" s="536"/>
      <c r="U143" s="533"/>
      <c r="V143" s="533"/>
      <c r="W143" s="533"/>
      <c r="X143" s="533"/>
      <c r="Y143" s="533"/>
      <c r="Z143" s="533"/>
      <c r="AA143" s="533"/>
      <c r="AB143" s="533"/>
    </row>
    <row r="144" spans="1:28" x14ac:dyDescent="0.25">
      <c r="A144" s="465"/>
      <c r="B144" s="477"/>
      <c r="C144" s="468" t="s">
        <v>509</v>
      </c>
      <c r="D144" s="462"/>
      <c r="E144" s="462"/>
      <c r="F144" s="463">
        <f>+'Rates in detail'!V42</f>
        <v>0.10557999999999999</v>
      </c>
      <c r="G144" s="463">
        <f t="shared" si="5"/>
        <v>0.10557999999999999</v>
      </c>
      <c r="H144" s="463"/>
      <c r="I144" s="463">
        <f>+Temporaries!AK42</f>
        <v>0</v>
      </c>
      <c r="J144" s="462"/>
      <c r="K144" s="462"/>
      <c r="L144" s="462"/>
      <c r="M144" s="462"/>
      <c r="N144" s="462"/>
      <c r="O144" s="462"/>
      <c r="P144" s="462"/>
      <c r="Q144" s="476"/>
      <c r="R144" s="532">
        <f t="shared" si="6"/>
        <v>0.10557999999999999</v>
      </c>
      <c r="S144" s="534"/>
      <c r="T144" s="536"/>
      <c r="U144" s="533"/>
      <c r="V144" s="533"/>
      <c r="W144" s="533"/>
      <c r="X144" s="533"/>
      <c r="Y144" s="533"/>
      <c r="Z144" s="533"/>
      <c r="AA144" s="533"/>
      <c r="AB144" s="533"/>
    </row>
    <row r="145" spans="1:28" x14ac:dyDescent="0.25">
      <c r="A145" s="465"/>
      <c r="B145" s="477"/>
      <c r="C145" s="468" t="s">
        <v>510</v>
      </c>
      <c r="D145" s="462"/>
      <c r="E145" s="462"/>
      <c r="F145" s="463">
        <f>+'Rates in detail'!V43</f>
        <v>8.0960000000000004E-2</v>
      </c>
      <c r="G145" s="463">
        <f t="shared" si="5"/>
        <v>8.0960000000000004E-2</v>
      </c>
      <c r="H145" s="463"/>
      <c r="I145" s="463">
        <f>+Temporaries!AK43</f>
        <v>0</v>
      </c>
      <c r="J145" s="462"/>
      <c r="K145" s="462"/>
      <c r="L145" s="462"/>
      <c r="M145" s="462"/>
      <c r="N145" s="462"/>
      <c r="O145" s="462"/>
      <c r="P145" s="462"/>
      <c r="Q145" s="476"/>
      <c r="R145" s="532">
        <f t="shared" si="6"/>
        <v>8.0960000000000004E-2</v>
      </c>
      <c r="S145" s="534"/>
      <c r="T145" s="536"/>
      <c r="U145" s="533"/>
      <c r="V145" s="533"/>
      <c r="W145" s="533"/>
      <c r="X145" s="533"/>
      <c r="Y145" s="533"/>
      <c r="Z145" s="533"/>
      <c r="AA145" s="533"/>
      <c r="AB145" s="533"/>
    </row>
    <row r="146" spans="1:28" x14ac:dyDescent="0.25">
      <c r="A146" s="465"/>
      <c r="B146" s="477"/>
      <c r="C146" s="468" t="s">
        <v>511</v>
      </c>
      <c r="D146" s="462"/>
      <c r="E146" s="462"/>
      <c r="F146" s="463">
        <f>+'Rates in detail'!V44</f>
        <v>6.4769999999999994E-2</v>
      </c>
      <c r="G146" s="463">
        <f t="shared" si="5"/>
        <v>6.4769999999999994E-2</v>
      </c>
      <c r="H146" s="463"/>
      <c r="I146" s="463">
        <f>+Temporaries!AK44</f>
        <v>0</v>
      </c>
      <c r="J146" s="462"/>
      <c r="K146" s="462"/>
      <c r="L146" s="462"/>
      <c r="M146" s="462"/>
      <c r="N146" s="462"/>
      <c r="O146" s="462"/>
      <c r="P146" s="462"/>
      <c r="Q146" s="476"/>
      <c r="R146" s="532">
        <f t="shared" si="6"/>
        <v>6.4769999999999994E-2</v>
      </c>
      <c r="S146" s="534"/>
      <c r="T146" s="536"/>
      <c r="U146" s="533"/>
      <c r="V146" s="533"/>
      <c r="W146" s="533"/>
      <c r="X146" s="533"/>
      <c r="Y146" s="533"/>
      <c r="Z146" s="533"/>
      <c r="AA146" s="533"/>
      <c r="AB146" s="533"/>
    </row>
    <row r="147" spans="1:28" x14ac:dyDescent="0.25">
      <c r="A147" s="465"/>
      <c r="B147" s="477"/>
      <c r="C147" s="468" t="s">
        <v>512</v>
      </c>
      <c r="D147" s="462"/>
      <c r="E147" s="462"/>
      <c r="F147" s="463">
        <f>+'Rates in detail'!V45</f>
        <v>4.3180000000000003E-2</v>
      </c>
      <c r="G147" s="463">
        <f t="shared" si="5"/>
        <v>4.3180000000000003E-2</v>
      </c>
      <c r="H147" s="463"/>
      <c r="I147" s="463">
        <f>+Temporaries!AK45</f>
        <v>0</v>
      </c>
      <c r="J147" s="462"/>
      <c r="K147" s="462"/>
      <c r="L147" s="462"/>
      <c r="M147" s="462"/>
      <c r="N147" s="462"/>
      <c r="O147" s="462"/>
      <c r="P147" s="462"/>
      <c r="Q147" s="476"/>
      <c r="R147" s="532">
        <f t="shared" si="6"/>
        <v>4.3180000000000003E-2</v>
      </c>
      <c r="S147" s="534"/>
      <c r="T147" s="536"/>
      <c r="U147" s="533"/>
      <c r="V147" s="533"/>
      <c r="W147" s="533"/>
      <c r="X147" s="533"/>
      <c r="Y147" s="533"/>
      <c r="Z147" s="533"/>
      <c r="AA147" s="533"/>
      <c r="AB147" s="533"/>
    </row>
    <row r="148" spans="1:28" x14ac:dyDescent="0.25">
      <c r="A148" s="465"/>
      <c r="B148" s="477"/>
      <c r="C148" s="468" t="s">
        <v>513</v>
      </c>
      <c r="D148" s="462"/>
      <c r="E148" s="462"/>
      <c r="F148" s="463">
        <f>+'Rates in detail'!V46</f>
        <v>1.619E-2</v>
      </c>
      <c r="G148" s="463">
        <f t="shared" si="5"/>
        <v>1.619E-2</v>
      </c>
      <c r="H148" s="463"/>
      <c r="I148" s="463">
        <f>+Temporaries!AK46</f>
        <v>0</v>
      </c>
      <c r="J148" s="462"/>
      <c r="K148" s="462"/>
      <c r="L148" s="462"/>
      <c r="M148" s="462"/>
      <c r="N148" s="462"/>
      <c r="O148" s="462"/>
      <c r="P148" s="462"/>
      <c r="Q148" s="476"/>
      <c r="R148" s="532">
        <f t="shared" si="6"/>
        <v>1.619E-2</v>
      </c>
      <c r="S148" s="534"/>
      <c r="T148" s="536"/>
      <c r="U148" s="533"/>
      <c r="V148" s="533"/>
      <c r="W148" s="533"/>
      <c r="X148" s="533"/>
      <c r="Y148" s="533"/>
      <c r="Z148" s="533"/>
      <c r="AA148" s="533"/>
      <c r="AB148" s="533"/>
    </row>
    <row r="149" spans="1:28" x14ac:dyDescent="0.25">
      <c r="A149" s="465"/>
      <c r="B149" s="477"/>
      <c r="C149" s="461" t="s">
        <v>495</v>
      </c>
      <c r="D149" s="462"/>
      <c r="E149" s="462"/>
      <c r="F149" s="463"/>
      <c r="G149" s="463"/>
      <c r="H149" s="469"/>
      <c r="I149" s="463"/>
      <c r="J149" s="462"/>
      <c r="K149" s="462"/>
      <c r="L149" s="462"/>
      <c r="M149" s="462"/>
      <c r="N149" s="462"/>
      <c r="O149" s="462"/>
      <c r="P149" s="462"/>
      <c r="Q149" s="474"/>
      <c r="R149" s="532"/>
      <c r="S149" s="532"/>
      <c r="T149" s="536"/>
      <c r="U149" s="533"/>
      <c r="V149" s="533"/>
      <c r="W149" s="533"/>
      <c r="X149" s="533"/>
      <c r="Y149" s="533"/>
      <c r="Z149" s="533"/>
      <c r="AA149" s="533"/>
      <c r="AB149" s="533"/>
    </row>
    <row r="150" spans="1:28" x14ac:dyDescent="0.25">
      <c r="A150" s="465"/>
      <c r="B150" s="477"/>
      <c r="C150" s="461"/>
      <c r="D150" s="462"/>
      <c r="E150" s="462"/>
      <c r="F150" s="463"/>
      <c r="G150" s="463"/>
      <c r="H150" s="469"/>
      <c r="I150" s="463"/>
      <c r="J150" s="462"/>
      <c r="K150" s="462"/>
      <c r="L150" s="462"/>
      <c r="M150" s="462"/>
      <c r="N150" s="462"/>
      <c r="O150" s="462"/>
      <c r="P150" s="462"/>
      <c r="Q150" s="474"/>
      <c r="R150" s="532"/>
      <c r="S150" s="532"/>
      <c r="T150" s="532"/>
      <c r="U150" s="533"/>
      <c r="V150" s="533"/>
      <c r="W150" s="533"/>
      <c r="X150" s="533"/>
      <c r="Y150" s="533"/>
      <c r="Z150" s="533"/>
      <c r="AA150" s="533"/>
      <c r="AB150" s="533"/>
    </row>
    <row r="151" spans="1:28" x14ac:dyDescent="0.25">
      <c r="A151" s="465"/>
      <c r="B151" s="477"/>
      <c r="C151" s="468" t="s">
        <v>514</v>
      </c>
      <c r="D151" s="462"/>
      <c r="E151" s="462"/>
      <c r="F151" s="463">
        <f>+'Rates in detail'!V59</f>
        <v>0.11796999999999999</v>
      </c>
      <c r="G151" s="463">
        <f t="shared" ref="G151:G156" si="7">+F151-H151-I151</f>
        <v>0.11796999999999999</v>
      </c>
      <c r="H151" s="463"/>
      <c r="I151" s="463">
        <f>+Temporaries!AK59</f>
        <v>0</v>
      </c>
      <c r="J151" s="462"/>
      <c r="K151" s="462"/>
      <c r="L151" s="462"/>
      <c r="M151" s="462"/>
      <c r="N151" s="462"/>
      <c r="O151" s="462"/>
      <c r="P151" s="462"/>
      <c r="Q151" s="476"/>
      <c r="R151" s="532">
        <f t="shared" ref="R151:R156" si="8">+F151</f>
        <v>0.11796999999999999</v>
      </c>
      <c r="S151" s="534"/>
      <c r="T151" s="536"/>
      <c r="U151" s="533"/>
      <c r="V151" s="533"/>
      <c r="W151" s="533"/>
      <c r="X151" s="533"/>
      <c r="Y151" s="533"/>
      <c r="Z151" s="533"/>
      <c r="AA151" s="533"/>
      <c r="AB151" s="533"/>
    </row>
    <row r="152" spans="1:28" x14ac:dyDescent="0.25">
      <c r="A152" s="465"/>
      <c r="B152" s="477"/>
      <c r="C152" s="468" t="s">
        <v>515</v>
      </c>
      <c r="D152" s="462"/>
      <c r="E152" s="462"/>
      <c r="F152" s="463">
        <f>+'Rates in detail'!V60</f>
        <v>0.1056</v>
      </c>
      <c r="G152" s="463">
        <f t="shared" si="7"/>
        <v>0.1056</v>
      </c>
      <c r="H152" s="463"/>
      <c r="I152" s="463">
        <f>+Temporaries!AK60</f>
        <v>0</v>
      </c>
      <c r="J152" s="462"/>
      <c r="K152" s="462"/>
      <c r="L152" s="462"/>
      <c r="M152" s="462"/>
      <c r="N152" s="462"/>
      <c r="O152" s="462"/>
      <c r="P152" s="462"/>
      <c r="Q152" s="476"/>
      <c r="R152" s="532">
        <f t="shared" si="8"/>
        <v>0.1056</v>
      </c>
      <c r="S152" s="534"/>
      <c r="T152" s="536"/>
      <c r="U152" s="533"/>
      <c r="V152" s="533"/>
      <c r="W152" s="533"/>
      <c r="X152" s="533"/>
      <c r="Y152" s="533"/>
      <c r="Z152" s="533"/>
      <c r="AA152" s="533"/>
      <c r="AB152" s="533"/>
    </row>
    <row r="153" spans="1:28" x14ac:dyDescent="0.25">
      <c r="A153" s="465"/>
      <c r="B153" s="477"/>
      <c r="C153" s="468" t="s">
        <v>516</v>
      </c>
      <c r="D153" s="462"/>
      <c r="E153" s="462"/>
      <c r="F153" s="463">
        <f>+'Rates in detail'!V61</f>
        <v>8.0979999999999996E-2</v>
      </c>
      <c r="G153" s="463">
        <f t="shared" si="7"/>
        <v>8.0979999999999996E-2</v>
      </c>
      <c r="H153" s="463"/>
      <c r="I153" s="463">
        <f>+Temporaries!AK61</f>
        <v>0</v>
      </c>
      <c r="J153" s="462"/>
      <c r="K153" s="462"/>
      <c r="L153" s="462"/>
      <c r="M153" s="462"/>
      <c r="N153" s="462"/>
      <c r="O153" s="462"/>
      <c r="P153" s="462"/>
      <c r="Q153" s="476"/>
      <c r="R153" s="532">
        <f t="shared" si="8"/>
        <v>8.0979999999999996E-2</v>
      </c>
      <c r="S153" s="534"/>
      <c r="T153" s="536"/>
      <c r="U153" s="533"/>
      <c r="V153" s="533"/>
      <c r="W153" s="533"/>
      <c r="X153" s="533"/>
      <c r="Y153" s="533"/>
      <c r="Z153" s="533"/>
      <c r="AA153" s="533"/>
      <c r="AB153" s="533"/>
    </row>
    <row r="154" spans="1:28" x14ac:dyDescent="0.25">
      <c r="A154" s="465"/>
      <c r="B154" s="477"/>
      <c r="C154" s="468" t="s">
        <v>517</v>
      </c>
      <c r="D154" s="462"/>
      <c r="E154" s="462"/>
      <c r="F154" s="463">
        <f>+'Rates in detail'!V62</f>
        <v>6.479E-2</v>
      </c>
      <c r="G154" s="463">
        <f t="shared" si="7"/>
        <v>6.479E-2</v>
      </c>
      <c r="H154" s="463"/>
      <c r="I154" s="463">
        <f>+Temporaries!AK62</f>
        <v>0</v>
      </c>
      <c r="J154" s="462"/>
      <c r="K154" s="462"/>
      <c r="L154" s="462"/>
      <c r="M154" s="462"/>
      <c r="N154" s="462"/>
      <c r="O154" s="462"/>
      <c r="P154" s="462"/>
      <c r="Q154" s="476"/>
      <c r="R154" s="532">
        <f t="shared" si="8"/>
        <v>6.479E-2</v>
      </c>
      <c r="S154" s="534"/>
      <c r="T154" s="536"/>
      <c r="U154" s="533"/>
      <c r="V154" s="533"/>
      <c r="W154" s="533"/>
      <c r="X154" s="533"/>
      <c r="Y154" s="533"/>
      <c r="Z154" s="533"/>
      <c r="AA154" s="533"/>
      <c r="AB154" s="533"/>
    </row>
    <row r="155" spans="1:28" x14ac:dyDescent="0.25">
      <c r="A155" s="465"/>
      <c r="B155" s="477"/>
      <c r="C155" s="468" t="s">
        <v>518</v>
      </c>
      <c r="D155" s="462"/>
      <c r="E155" s="462"/>
      <c r="F155" s="463">
        <f>+'Rates in detail'!V63</f>
        <v>4.3190000000000006E-2</v>
      </c>
      <c r="G155" s="463">
        <f t="shared" si="7"/>
        <v>4.3190000000000006E-2</v>
      </c>
      <c r="H155" s="463"/>
      <c r="I155" s="463">
        <f>+Temporaries!AK63</f>
        <v>0</v>
      </c>
      <c r="J155" s="462"/>
      <c r="K155" s="462"/>
      <c r="L155" s="462"/>
      <c r="M155" s="462"/>
      <c r="N155" s="462"/>
      <c r="O155" s="462"/>
      <c r="P155" s="462"/>
      <c r="Q155" s="476"/>
      <c r="R155" s="532">
        <f t="shared" si="8"/>
        <v>4.3190000000000006E-2</v>
      </c>
      <c r="S155" s="534"/>
      <c r="T155" s="536"/>
      <c r="U155" s="533"/>
      <c r="V155" s="533"/>
      <c r="W155" s="533"/>
      <c r="X155" s="533"/>
      <c r="Y155" s="533"/>
      <c r="Z155" s="533"/>
      <c r="AA155" s="533"/>
      <c r="AB155" s="533"/>
    </row>
    <row r="156" spans="1:28" x14ac:dyDescent="0.25">
      <c r="A156" s="465"/>
      <c r="B156" s="477"/>
      <c r="C156" s="468" t="s">
        <v>519</v>
      </c>
      <c r="D156" s="462"/>
      <c r="E156" s="462"/>
      <c r="F156" s="463">
        <f>+'Rates in detail'!V64</f>
        <v>1.619E-2</v>
      </c>
      <c r="G156" s="463">
        <f t="shared" si="7"/>
        <v>1.619E-2</v>
      </c>
      <c r="H156" s="463"/>
      <c r="I156" s="463">
        <f>+Temporaries!AK64</f>
        <v>0</v>
      </c>
      <c r="J156" s="462"/>
      <c r="K156" s="462"/>
      <c r="L156" s="462"/>
      <c r="M156" s="462"/>
      <c r="N156" s="462"/>
      <c r="O156" s="462"/>
      <c r="P156" s="462"/>
      <c r="Q156" s="476"/>
      <c r="R156" s="532">
        <f t="shared" si="8"/>
        <v>1.619E-2</v>
      </c>
      <c r="S156" s="534"/>
      <c r="T156" s="536"/>
      <c r="U156" s="533"/>
      <c r="V156" s="533"/>
      <c r="W156" s="533"/>
      <c r="X156" s="533"/>
      <c r="Y156" s="533"/>
      <c r="Z156" s="533"/>
      <c r="AA156" s="533"/>
      <c r="AB156" s="533"/>
    </row>
    <row r="157" spans="1:28" x14ac:dyDescent="0.25">
      <c r="A157" s="465"/>
      <c r="B157" s="477"/>
      <c r="C157" s="461" t="s">
        <v>505</v>
      </c>
      <c r="D157" s="462"/>
      <c r="E157" s="462"/>
      <c r="F157" s="463"/>
      <c r="G157" s="463"/>
      <c r="H157" s="481"/>
      <c r="I157" s="481"/>
      <c r="J157" s="462"/>
      <c r="K157" s="462"/>
      <c r="L157" s="462"/>
      <c r="M157" s="462"/>
      <c r="N157" s="462"/>
      <c r="O157" s="462"/>
      <c r="P157" s="462"/>
      <c r="Q157" s="482"/>
      <c r="R157" s="532"/>
      <c r="S157" s="542"/>
      <c r="T157" s="536"/>
      <c r="U157" s="533"/>
      <c r="V157" s="533"/>
      <c r="W157" s="533"/>
      <c r="X157" s="533"/>
      <c r="Y157" s="533"/>
      <c r="Z157" s="533"/>
      <c r="AA157" s="533"/>
      <c r="AB157" s="533"/>
    </row>
    <row r="158" spans="1:28" x14ac:dyDescent="0.25">
      <c r="A158" s="465"/>
      <c r="B158" s="477"/>
      <c r="C158" s="461"/>
      <c r="D158" s="462"/>
      <c r="E158" s="462"/>
      <c r="F158" s="463"/>
      <c r="G158" s="463"/>
      <c r="H158" s="481"/>
      <c r="I158" s="481"/>
      <c r="J158" s="462"/>
      <c r="K158" s="462"/>
      <c r="L158" s="462"/>
      <c r="M158" s="462"/>
      <c r="N158" s="462"/>
      <c r="O158" s="462"/>
      <c r="P158" s="462"/>
      <c r="Q158" s="482"/>
      <c r="R158" s="532"/>
      <c r="S158" s="542"/>
      <c r="T158" s="542"/>
      <c r="U158" s="533"/>
      <c r="V158" s="533"/>
      <c r="W158" s="533"/>
      <c r="X158" s="533"/>
      <c r="Y158" s="533"/>
      <c r="Z158" s="533"/>
      <c r="AA158" s="533"/>
      <c r="AB158" s="533"/>
    </row>
    <row r="159" spans="1:28" x14ac:dyDescent="0.25">
      <c r="A159" s="465"/>
      <c r="B159" s="477"/>
      <c r="C159" s="461" t="s">
        <v>475</v>
      </c>
      <c r="D159" s="462"/>
      <c r="E159" s="462"/>
      <c r="F159" s="463"/>
      <c r="G159" s="463"/>
      <c r="H159" s="481"/>
      <c r="I159" s="481"/>
      <c r="J159" s="462"/>
      <c r="K159" s="462"/>
      <c r="L159" s="462"/>
      <c r="M159" s="462"/>
      <c r="N159" s="462"/>
      <c r="O159" s="462"/>
      <c r="P159" s="462"/>
      <c r="Q159" s="482"/>
      <c r="R159" s="532"/>
      <c r="S159" s="542"/>
      <c r="T159" s="536"/>
      <c r="U159" s="533"/>
      <c r="V159" s="533"/>
      <c r="W159" s="533"/>
      <c r="X159" s="533"/>
      <c r="Y159" s="533"/>
      <c r="Z159" s="533"/>
      <c r="AA159" s="533"/>
      <c r="AB159" s="533"/>
    </row>
    <row r="160" spans="1:28" x14ac:dyDescent="0.25">
      <c r="A160" s="465"/>
      <c r="B160" s="477"/>
      <c r="C160" s="461" t="s">
        <v>476</v>
      </c>
      <c r="D160" s="462"/>
      <c r="E160" s="462"/>
      <c r="F160" s="476"/>
      <c r="G160" s="482"/>
      <c r="H160" s="482"/>
      <c r="I160" s="482"/>
      <c r="J160" s="462"/>
      <c r="K160" s="462"/>
      <c r="L160" s="462"/>
      <c r="M160" s="462"/>
      <c r="N160" s="462"/>
      <c r="O160" s="462"/>
      <c r="P160" s="462"/>
      <c r="Q160" s="482"/>
      <c r="R160" s="532"/>
      <c r="S160" s="542"/>
      <c r="T160" s="536"/>
      <c r="U160" s="533"/>
      <c r="V160" s="533"/>
      <c r="W160" s="533"/>
      <c r="X160" s="533"/>
      <c r="Y160" s="533"/>
      <c r="Z160" s="533"/>
      <c r="AA160" s="533"/>
      <c r="AB160" s="533"/>
    </row>
    <row r="161" spans="1:28" x14ac:dyDescent="0.25">
      <c r="A161" s="465"/>
      <c r="B161" s="477"/>
      <c r="C161" s="461"/>
      <c r="D161" s="462"/>
      <c r="E161" s="462"/>
      <c r="F161" s="483"/>
      <c r="G161" s="483"/>
      <c r="H161" s="483"/>
      <c r="I161" s="483"/>
      <c r="J161" s="462"/>
      <c r="K161" s="462"/>
      <c r="L161" s="462"/>
      <c r="M161" s="462"/>
      <c r="N161" s="462"/>
      <c r="O161" s="462"/>
      <c r="P161" s="462"/>
      <c r="Q161" s="483"/>
      <c r="R161" s="543"/>
      <c r="S161" s="543"/>
      <c r="T161" s="543"/>
      <c r="U161" s="533"/>
      <c r="V161" s="533"/>
      <c r="W161" s="533"/>
      <c r="X161" s="533"/>
      <c r="Y161" s="533"/>
      <c r="Z161" s="533"/>
      <c r="AA161" s="533"/>
      <c r="AB161" s="533"/>
    </row>
    <row r="162" spans="1:28" x14ac:dyDescent="0.25">
      <c r="A162" s="484" t="s">
        <v>520</v>
      </c>
      <c r="B162" s="485"/>
      <c r="C162" s="486"/>
      <c r="D162" s="487"/>
      <c r="E162" s="487"/>
      <c r="F162" s="488"/>
      <c r="G162" s="488"/>
      <c r="H162" s="488"/>
      <c r="I162" s="488"/>
      <c r="J162" s="487"/>
      <c r="K162" s="487"/>
      <c r="L162" s="487"/>
      <c r="M162" s="487"/>
      <c r="N162" s="487"/>
      <c r="O162" s="487"/>
      <c r="P162" s="487"/>
      <c r="Q162" s="488"/>
      <c r="R162" s="488"/>
      <c r="S162" s="488"/>
      <c r="T162" s="488"/>
      <c r="U162" s="447"/>
      <c r="V162" s="447"/>
    </row>
    <row r="163" spans="1:28" x14ac:dyDescent="0.25">
      <c r="A163" s="465" t="s">
        <v>521</v>
      </c>
      <c r="B163" s="460" t="s">
        <v>249</v>
      </c>
      <c r="C163" s="466" t="s">
        <v>46</v>
      </c>
      <c r="D163" s="462"/>
      <c r="E163" s="462"/>
      <c r="F163" s="489"/>
      <c r="G163" s="489"/>
      <c r="H163" s="489"/>
      <c r="I163" s="489"/>
      <c r="J163" s="462"/>
      <c r="K163" s="462"/>
      <c r="L163" s="462"/>
      <c r="M163" s="462"/>
      <c r="N163" s="462"/>
      <c r="O163" s="462"/>
      <c r="P163" s="462"/>
      <c r="Q163" s="489"/>
      <c r="R163" s="489"/>
      <c r="S163" s="489"/>
      <c r="T163" s="489"/>
      <c r="U163" s="447"/>
      <c r="V163" s="447"/>
    </row>
    <row r="164" spans="1:28" x14ac:dyDescent="0.25">
      <c r="A164" s="465"/>
      <c r="B164" s="460"/>
      <c r="C164" s="466" t="s">
        <v>420</v>
      </c>
      <c r="D164" s="462"/>
      <c r="E164" s="462"/>
      <c r="F164" s="489"/>
      <c r="G164" s="489"/>
      <c r="H164" s="489"/>
      <c r="I164" s="489"/>
      <c r="J164" s="462"/>
      <c r="K164" s="462"/>
      <c r="L164" s="462"/>
      <c r="M164" s="462"/>
      <c r="N164" s="462"/>
      <c r="O164" s="462"/>
      <c r="P164" s="462"/>
      <c r="Q164" s="489"/>
      <c r="R164" s="489"/>
      <c r="S164" s="489"/>
      <c r="T164" s="489"/>
      <c r="U164" s="447"/>
      <c r="V164" s="447"/>
    </row>
    <row r="165" spans="1:28" x14ac:dyDescent="0.25">
      <c r="A165" s="465"/>
      <c r="B165" s="460"/>
      <c r="C165" s="466" t="s">
        <v>481</v>
      </c>
      <c r="D165" s="462"/>
      <c r="E165" s="462"/>
      <c r="F165" s="489"/>
      <c r="G165" s="489"/>
      <c r="H165" s="489"/>
      <c r="I165" s="489"/>
      <c r="J165" s="462"/>
      <c r="K165" s="462"/>
      <c r="L165" s="462"/>
      <c r="M165" s="462"/>
      <c r="N165" s="462"/>
      <c r="O165" s="462"/>
      <c r="P165" s="462"/>
      <c r="Q165" s="489"/>
      <c r="R165" s="489"/>
      <c r="S165" s="489"/>
      <c r="T165" s="489"/>
      <c r="U165" s="447"/>
      <c r="V165" s="447"/>
    </row>
    <row r="166" spans="1:28" x14ac:dyDescent="0.25">
      <c r="A166" s="465"/>
      <c r="B166" s="460"/>
      <c r="C166" s="466" t="s">
        <v>522</v>
      </c>
      <c r="D166" s="462"/>
      <c r="E166" s="462"/>
      <c r="F166" s="489"/>
      <c r="G166" s="489"/>
      <c r="H166" s="489"/>
      <c r="I166" s="489"/>
      <c r="J166" s="462"/>
      <c r="K166" s="462"/>
      <c r="L166" s="462"/>
      <c r="M166" s="462"/>
      <c r="N166" s="462"/>
      <c r="O166" s="462"/>
      <c r="P166" s="462"/>
      <c r="Q166" s="489"/>
      <c r="R166" s="489"/>
      <c r="S166" s="489"/>
      <c r="T166" s="489"/>
      <c r="U166" s="447"/>
      <c r="V166" s="447"/>
    </row>
    <row r="167" spans="1:28" x14ac:dyDescent="0.25">
      <c r="A167" s="465"/>
      <c r="B167" s="460"/>
      <c r="C167" s="466" t="s">
        <v>523</v>
      </c>
      <c r="D167" s="462"/>
      <c r="E167" s="462"/>
      <c r="F167" s="489"/>
      <c r="G167" s="489"/>
      <c r="H167" s="489"/>
      <c r="I167" s="489"/>
      <c r="J167" s="462"/>
      <c r="K167" s="462"/>
      <c r="L167" s="462"/>
      <c r="M167" s="462"/>
      <c r="N167" s="462"/>
      <c r="O167" s="462"/>
      <c r="P167" s="462"/>
      <c r="Q167" s="489"/>
      <c r="R167" s="489"/>
      <c r="S167" s="489"/>
      <c r="T167" s="489"/>
      <c r="U167" s="447"/>
      <c r="V167" s="447"/>
    </row>
    <row r="168" spans="1:28" x14ac:dyDescent="0.25">
      <c r="A168" s="465"/>
      <c r="B168" s="460"/>
      <c r="C168" s="461" t="s">
        <v>486</v>
      </c>
      <c r="D168" s="462"/>
      <c r="E168" s="462"/>
      <c r="F168" s="483"/>
      <c r="G168" s="483"/>
      <c r="H168" s="483"/>
      <c r="I168" s="483"/>
      <c r="J168" s="462"/>
      <c r="K168" s="462"/>
      <c r="L168" s="462"/>
      <c r="M168" s="462"/>
      <c r="N168" s="462"/>
      <c r="O168" s="462"/>
      <c r="P168" s="462"/>
      <c r="Q168" s="483"/>
      <c r="R168" s="483"/>
      <c r="S168" s="483"/>
      <c r="T168" s="483"/>
      <c r="U168" s="447"/>
      <c r="V168" s="447"/>
    </row>
    <row r="169" spans="1:28" x14ac:dyDescent="0.25">
      <c r="A169" s="465"/>
      <c r="B169" s="460"/>
      <c r="C169" s="461" t="s">
        <v>491</v>
      </c>
      <c r="D169" s="462"/>
      <c r="E169" s="462"/>
      <c r="F169" s="483"/>
      <c r="G169" s="483"/>
      <c r="H169" s="483"/>
      <c r="I169" s="483"/>
      <c r="J169" s="462"/>
      <c r="K169" s="462"/>
      <c r="L169" s="462"/>
      <c r="M169" s="462"/>
      <c r="N169" s="462"/>
      <c r="O169" s="462"/>
      <c r="P169" s="462"/>
      <c r="Q169" s="483"/>
      <c r="R169" s="483"/>
      <c r="S169" s="483"/>
      <c r="T169" s="483"/>
      <c r="U169" s="447"/>
      <c r="V169" s="447"/>
    </row>
    <row r="170" spans="1:28" x14ac:dyDescent="0.25">
      <c r="A170" s="465"/>
      <c r="B170" s="460"/>
      <c r="C170" s="461" t="s">
        <v>524</v>
      </c>
      <c r="D170" s="462"/>
      <c r="E170" s="462"/>
      <c r="F170" s="483"/>
      <c r="G170" s="483"/>
      <c r="H170" s="483"/>
      <c r="I170" s="483"/>
      <c r="J170" s="462"/>
      <c r="K170" s="462"/>
      <c r="L170" s="462"/>
      <c r="M170" s="462"/>
      <c r="N170" s="462"/>
      <c r="O170" s="462"/>
      <c r="P170" s="462"/>
      <c r="Q170" s="483"/>
      <c r="R170" s="483"/>
      <c r="S170" s="483"/>
      <c r="T170" s="483"/>
      <c r="U170" s="447"/>
      <c r="V170" s="447"/>
    </row>
    <row r="171" spans="1:28" x14ac:dyDescent="0.25">
      <c r="A171" s="465"/>
      <c r="B171" s="460"/>
      <c r="C171" s="461" t="s">
        <v>525</v>
      </c>
      <c r="D171" s="462"/>
      <c r="E171" s="462"/>
      <c r="F171" s="483"/>
      <c r="G171" s="483"/>
      <c r="H171" s="483"/>
      <c r="I171" s="483"/>
      <c r="J171" s="462"/>
      <c r="K171" s="462"/>
      <c r="L171" s="462"/>
      <c r="M171" s="462"/>
      <c r="N171" s="462"/>
      <c r="O171" s="462"/>
      <c r="P171" s="462"/>
      <c r="Q171" s="483"/>
      <c r="R171" s="483"/>
      <c r="S171" s="483"/>
      <c r="T171" s="483"/>
      <c r="U171" s="447"/>
      <c r="V171" s="447"/>
    </row>
    <row r="172" spans="1:28" x14ac:dyDescent="0.25">
      <c r="A172" s="465"/>
      <c r="B172" s="460"/>
      <c r="C172" s="461" t="s">
        <v>526</v>
      </c>
      <c r="D172" s="462"/>
      <c r="E172" s="462"/>
      <c r="F172" s="483"/>
      <c r="G172" s="483"/>
      <c r="H172" s="483"/>
      <c r="I172" s="483"/>
      <c r="J172" s="462"/>
      <c r="K172" s="462"/>
      <c r="L172" s="462"/>
      <c r="M172" s="462"/>
      <c r="N172" s="462"/>
      <c r="O172" s="462"/>
      <c r="P172" s="462"/>
      <c r="Q172" s="483"/>
      <c r="R172" s="483"/>
      <c r="S172" s="483"/>
      <c r="T172" s="483"/>
      <c r="U172" s="447"/>
      <c r="V172" s="447"/>
    </row>
    <row r="173" spans="1:28" x14ac:dyDescent="0.25">
      <c r="A173" s="465"/>
      <c r="B173" s="460"/>
      <c r="C173" s="461" t="s">
        <v>527</v>
      </c>
      <c r="D173" s="462"/>
      <c r="E173" s="462"/>
      <c r="F173" s="483"/>
      <c r="G173" s="483"/>
      <c r="H173" s="483"/>
      <c r="I173" s="483"/>
      <c r="J173" s="462"/>
      <c r="K173" s="462"/>
      <c r="L173" s="462"/>
      <c r="M173" s="462"/>
      <c r="N173" s="462"/>
      <c r="O173" s="462"/>
      <c r="P173" s="462"/>
      <c r="Q173" s="483"/>
      <c r="R173" s="483"/>
      <c r="S173" s="483"/>
      <c r="T173" s="483"/>
      <c r="U173" s="447"/>
      <c r="V173" s="447"/>
    </row>
    <row r="174" spans="1:28" x14ac:dyDescent="0.25">
      <c r="A174" s="465"/>
      <c r="B174" s="460"/>
      <c r="C174" s="461"/>
      <c r="D174" s="462"/>
      <c r="E174" s="462"/>
      <c r="F174" s="483"/>
      <c r="G174" s="483"/>
      <c r="H174" s="483"/>
      <c r="I174" s="483"/>
      <c r="J174" s="462"/>
      <c r="K174" s="462"/>
      <c r="L174" s="462"/>
      <c r="M174" s="462"/>
      <c r="N174" s="462"/>
      <c r="O174" s="462"/>
      <c r="P174" s="462"/>
      <c r="Q174" s="483"/>
      <c r="R174" s="483"/>
      <c r="S174" s="483"/>
      <c r="T174" s="483"/>
      <c r="U174" s="447"/>
      <c r="V174" s="447"/>
    </row>
    <row r="175" spans="1:28" x14ac:dyDescent="0.25">
      <c r="A175" s="465"/>
      <c r="B175" s="460"/>
      <c r="C175" s="466"/>
      <c r="D175" s="462"/>
      <c r="E175" s="462"/>
      <c r="F175" s="489"/>
      <c r="G175" s="489"/>
      <c r="H175" s="489"/>
      <c r="I175" s="489"/>
      <c r="J175" s="462"/>
      <c r="K175" s="462"/>
      <c r="L175" s="462"/>
      <c r="M175" s="462"/>
      <c r="N175" s="462"/>
      <c r="O175" s="462"/>
      <c r="P175" s="462"/>
      <c r="Q175" s="489"/>
      <c r="R175" s="489"/>
      <c r="S175" s="489"/>
      <c r="T175" s="489"/>
      <c r="U175" s="447"/>
      <c r="V175" s="447"/>
    </row>
    <row r="176" spans="1:28" x14ac:dyDescent="0.25">
      <c r="A176" s="465"/>
      <c r="B176" s="477" t="s">
        <v>452</v>
      </c>
      <c r="C176" s="461" t="s">
        <v>430</v>
      </c>
      <c r="D176" s="462"/>
      <c r="E176" s="462"/>
      <c r="F176" s="483"/>
      <c r="G176" s="483"/>
      <c r="H176" s="483"/>
      <c r="I176" s="483"/>
      <c r="J176" s="462"/>
      <c r="K176" s="462"/>
      <c r="L176" s="462"/>
      <c r="M176" s="462"/>
      <c r="N176" s="462"/>
      <c r="O176" s="462"/>
      <c r="P176" s="462"/>
      <c r="Q176" s="483"/>
      <c r="R176" s="483"/>
      <c r="S176" s="483"/>
      <c r="T176" s="483"/>
      <c r="U176" s="447"/>
      <c r="V176" s="447"/>
    </row>
    <row r="177" spans="1:22" x14ac:dyDescent="0.25">
      <c r="A177" s="465"/>
      <c r="B177" s="477"/>
      <c r="C177" s="461" t="s">
        <v>524</v>
      </c>
      <c r="D177" s="462"/>
      <c r="E177" s="462"/>
      <c r="F177" s="483"/>
      <c r="G177" s="483"/>
      <c r="H177" s="483"/>
      <c r="I177" s="483"/>
      <c r="J177" s="462"/>
      <c r="K177" s="462"/>
      <c r="L177" s="462"/>
      <c r="M177" s="462"/>
      <c r="N177" s="462"/>
      <c r="O177" s="462"/>
      <c r="P177" s="462"/>
      <c r="Q177" s="483"/>
      <c r="R177" s="483"/>
      <c r="S177" s="483"/>
      <c r="T177" s="483"/>
      <c r="U177" s="447"/>
      <c r="V177" s="447"/>
    </row>
    <row r="178" spans="1:22" x14ac:dyDescent="0.25">
      <c r="A178" s="465"/>
      <c r="B178" s="477"/>
      <c r="C178" s="461" t="s">
        <v>525</v>
      </c>
      <c r="D178" s="462"/>
      <c r="E178" s="462"/>
      <c r="F178" s="483"/>
      <c r="G178" s="483"/>
      <c r="H178" s="483"/>
      <c r="I178" s="483"/>
      <c r="J178" s="462"/>
      <c r="K178" s="462"/>
      <c r="L178" s="462"/>
      <c r="M178" s="462"/>
      <c r="N178" s="462"/>
      <c r="O178" s="462"/>
      <c r="P178" s="462"/>
      <c r="Q178" s="483"/>
      <c r="R178" s="483"/>
      <c r="S178" s="483"/>
      <c r="T178" s="483"/>
      <c r="U178" s="447"/>
      <c r="V178" s="447"/>
    </row>
    <row r="179" spans="1:22" x14ac:dyDescent="0.25">
      <c r="A179" s="465"/>
      <c r="B179" s="477"/>
      <c r="C179" s="461" t="s">
        <v>527</v>
      </c>
      <c r="D179" s="462"/>
      <c r="E179" s="462"/>
      <c r="F179" s="483"/>
      <c r="G179" s="483"/>
      <c r="H179" s="483"/>
      <c r="I179" s="483"/>
      <c r="J179" s="462"/>
      <c r="K179" s="462"/>
      <c r="L179" s="462"/>
      <c r="M179" s="462"/>
      <c r="N179" s="462"/>
      <c r="O179" s="462"/>
      <c r="P179" s="462"/>
      <c r="Q179" s="483"/>
      <c r="R179" s="483"/>
      <c r="S179" s="483"/>
      <c r="T179" s="483"/>
      <c r="U179" s="447"/>
      <c r="V179" s="447"/>
    </row>
    <row r="180" spans="1:22" x14ac:dyDescent="0.25">
      <c r="A180" s="465"/>
      <c r="B180" s="477"/>
      <c r="C180" s="461" t="s">
        <v>475</v>
      </c>
      <c r="D180" s="462"/>
      <c r="E180" s="462"/>
      <c r="F180" s="483"/>
      <c r="G180" s="483"/>
      <c r="H180" s="483"/>
      <c r="I180" s="483"/>
      <c r="J180" s="462"/>
      <c r="K180" s="462"/>
      <c r="L180" s="462"/>
      <c r="M180" s="462"/>
      <c r="N180" s="462"/>
      <c r="O180" s="462"/>
      <c r="P180" s="462"/>
      <c r="Q180" s="483"/>
      <c r="R180" s="483"/>
      <c r="S180" s="483"/>
      <c r="T180" s="483"/>
      <c r="U180" s="447"/>
      <c r="V180" s="447"/>
    </row>
    <row r="181" spans="1:22" x14ac:dyDescent="0.25">
      <c r="A181" s="465"/>
      <c r="B181" s="460"/>
      <c r="C181" s="461" t="s">
        <v>476</v>
      </c>
      <c r="D181" s="462"/>
      <c r="E181" s="462"/>
      <c r="F181" s="483"/>
      <c r="G181" s="483"/>
      <c r="H181" s="483"/>
      <c r="I181" s="483"/>
      <c r="J181" s="462"/>
      <c r="K181" s="462"/>
      <c r="L181" s="462"/>
      <c r="M181" s="462"/>
      <c r="N181" s="462"/>
      <c r="O181" s="462"/>
      <c r="P181" s="462"/>
      <c r="Q181" s="483"/>
      <c r="R181" s="483"/>
      <c r="S181" s="483"/>
      <c r="T181" s="483"/>
      <c r="U181" s="447"/>
      <c r="V181" s="447"/>
    </row>
    <row r="182" spans="1:22" x14ac:dyDescent="0.25">
      <c r="A182" s="465"/>
      <c r="B182" s="460"/>
      <c r="C182" s="461"/>
      <c r="D182" s="462"/>
      <c r="E182" s="462"/>
      <c r="F182" s="483"/>
      <c r="G182" s="483"/>
      <c r="H182" s="483"/>
      <c r="I182" s="483"/>
      <c r="J182" s="462"/>
      <c r="K182" s="462"/>
      <c r="L182" s="462"/>
      <c r="M182" s="462"/>
      <c r="N182" s="462"/>
      <c r="O182" s="462"/>
      <c r="P182" s="462"/>
      <c r="Q182" s="483"/>
      <c r="R182" s="483"/>
      <c r="S182" s="483"/>
      <c r="T182" s="483"/>
      <c r="U182" s="447"/>
      <c r="V182" s="447"/>
    </row>
    <row r="183" spans="1:22" x14ac:dyDescent="0.25">
      <c r="A183" s="465"/>
      <c r="B183" s="460"/>
      <c r="C183" s="461"/>
      <c r="D183" s="462"/>
      <c r="E183" s="462"/>
      <c r="F183" s="483"/>
      <c r="G183" s="483"/>
      <c r="H183" s="483"/>
      <c r="I183" s="483"/>
      <c r="J183" s="462"/>
      <c r="K183" s="462"/>
      <c r="L183" s="462"/>
      <c r="M183" s="462"/>
      <c r="N183" s="462"/>
      <c r="O183" s="462"/>
      <c r="P183" s="462"/>
      <c r="Q183" s="483"/>
      <c r="R183" s="483"/>
      <c r="S183" s="483"/>
      <c r="T183" s="483"/>
      <c r="U183" s="447"/>
      <c r="V183" s="447"/>
    </row>
    <row r="184" spans="1:22" x14ac:dyDescent="0.25">
      <c r="A184" s="465"/>
      <c r="B184" s="460"/>
      <c r="C184" s="466"/>
      <c r="D184" s="462"/>
      <c r="E184" s="462"/>
      <c r="F184" s="489"/>
      <c r="G184" s="489"/>
      <c r="H184" s="489"/>
      <c r="I184" s="489"/>
      <c r="J184" s="462"/>
      <c r="K184" s="462"/>
      <c r="L184" s="462"/>
      <c r="M184" s="462"/>
      <c r="N184" s="462"/>
      <c r="O184" s="462"/>
      <c r="P184" s="462"/>
      <c r="Q184" s="489"/>
      <c r="R184" s="489"/>
      <c r="S184" s="489"/>
      <c r="T184" s="489"/>
      <c r="U184" s="447"/>
      <c r="V184" s="447"/>
    </row>
    <row r="185" spans="1:22" ht="15" x14ac:dyDescent="0.25">
      <c r="A185" s="490" t="s">
        <v>528</v>
      </c>
      <c r="B185" s="491"/>
      <c r="C185" s="492"/>
      <c r="D185" s="493"/>
      <c r="E185" s="493"/>
      <c r="F185" s="494"/>
      <c r="G185" s="494"/>
      <c r="H185" s="494"/>
      <c r="I185" s="494"/>
      <c r="J185" s="493"/>
      <c r="K185" s="493"/>
      <c r="L185" s="493"/>
      <c r="M185" s="493"/>
      <c r="N185" s="493"/>
      <c r="O185" s="493"/>
      <c r="P185" s="493"/>
      <c r="Q185" s="494"/>
      <c r="R185" s="494"/>
      <c r="S185" s="494"/>
      <c r="T185" s="494"/>
      <c r="U185" s="447"/>
      <c r="V185" s="447"/>
    </row>
    <row r="186" spans="1:22" x14ac:dyDescent="0.25">
      <c r="A186" s="465"/>
      <c r="B186" s="475"/>
      <c r="C186" s="466"/>
      <c r="D186" s="462"/>
      <c r="E186" s="462"/>
      <c r="F186" s="489"/>
      <c r="G186" s="489"/>
      <c r="H186" s="489"/>
      <c r="I186" s="489"/>
      <c r="J186" s="462"/>
      <c r="K186" s="462"/>
      <c r="L186" s="462"/>
      <c r="M186" s="462"/>
      <c r="N186" s="462"/>
      <c r="O186" s="462"/>
      <c r="P186" s="462"/>
      <c r="Q186" s="489"/>
      <c r="R186" s="489"/>
      <c r="S186" s="489"/>
      <c r="T186" s="489"/>
      <c r="U186" s="447"/>
      <c r="V186" s="447"/>
    </row>
    <row r="187" spans="1:22" x14ac:dyDescent="0.25">
      <c r="A187" s="459" t="s">
        <v>284</v>
      </c>
      <c r="B187" s="460" t="s">
        <v>249</v>
      </c>
      <c r="C187" s="466" t="s">
        <v>46</v>
      </c>
      <c r="D187" s="462"/>
      <c r="E187" s="462"/>
      <c r="F187" s="489"/>
      <c r="G187" s="489"/>
      <c r="H187" s="489"/>
      <c r="I187" s="489"/>
      <c r="J187" s="462"/>
      <c r="K187" s="462"/>
      <c r="L187" s="462"/>
      <c r="M187" s="462"/>
      <c r="N187" s="462"/>
      <c r="O187" s="462"/>
      <c r="P187" s="462"/>
      <c r="Q187" s="489"/>
      <c r="R187" s="489"/>
      <c r="S187" s="489"/>
      <c r="T187" s="489"/>
      <c r="U187" s="447"/>
      <c r="V187" s="447"/>
    </row>
    <row r="188" spans="1:22" x14ac:dyDescent="0.25">
      <c r="A188" s="465"/>
      <c r="B188" s="475"/>
      <c r="C188" s="466" t="s">
        <v>47</v>
      </c>
      <c r="D188" s="462"/>
      <c r="E188" s="462"/>
      <c r="F188" s="489"/>
      <c r="G188" s="489"/>
      <c r="H188" s="489"/>
      <c r="I188" s="489"/>
      <c r="J188" s="462"/>
      <c r="K188" s="462"/>
      <c r="L188" s="462"/>
      <c r="M188" s="462"/>
      <c r="N188" s="462"/>
      <c r="O188" s="462"/>
      <c r="P188" s="462"/>
      <c r="Q188" s="489"/>
      <c r="R188" s="489"/>
      <c r="S188" s="489"/>
      <c r="T188" s="489"/>
      <c r="U188" s="447"/>
      <c r="V188" s="447"/>
    </row>
    <row r="189" spans="1:22" x14ac:dyDescent="0.25">
      <c r="A189" s="465"/>
      <c r="B189" s="475"/>
      <c r="C189" s="466" t="s">
        <v>234</v>
      </c>
      <c r="D189" s="462"/>
      <c r="E189" s="462"/>
      <c r="F189" s="489"/>
      <c r="G189" s="489"/>
      <c r="H189" s="489"/>
      <c r="I189" s="489"/>
      <c r="J189" s="462"/>
      <c r="K189" s="462"/>
      <c r="L189" s="462"/>
      <c r="M189" s="462"/>
      <c r="N189" s="462"/>
      <c r="O189" s="462"/>
      <c r="P189" s="462"/>
      <c r="Q189" s="489"/>
      <c r="R189" s="489"/>
      <c r="S189" s="489"/>
      <c r="T189" s="489"/>
      <c r="U189" s="447"/>
      <c r="V189" s="447"/>
    </row>
    <row r="190" spans="1:22" x14ac:dyDescent="0.25">
      <c r="A190" s="465"/>
      <c r="B190" s="460"/>
      <c r="C190" s="466" t="s">
        <v>233</v>
      </c>
      <c r="D190" s="462"/>
      <c r="E190" s="462"/>
      <c r="F190" s="489"/>
      <c r="G190" s="489"/>
      <c r="H190" s="489"/>
      <c r="I190" s="489"/>
      <c r="J190" s="462"/>
      <c r="K190" s="462"/>
      <c r="L190" s="462"/>
      <c r="M190" s="462"/>
      <c r="N190" s="462"/>
      <c r="O190" s="462"/>
      <c r="P190" s="462"/>
      <c r="Q190" s="489"/>
      <c r="R190" s="489"/>
      <c r="S190" s="489"/>
      <c r="T190" s="489"/>
      <c r="U190" s="447"/>
      <c r="V190" s="447"/>
    </row>
    <row r="191" spans="1:22" x14ac:dyDescent="0.25">
      <c r="A191" s="465"/>
      <c r="B191" s="460"/>
      <c r="C191" s="466"/>
      <c r="D191" s="462"/>
      <c r="E191" s="462"/>
      <c r="F191" s="489"/>
      <c r="G191" s="489"/>
      <c r="H191" s="489"/>
      <c r="I191" s="489"/>
      <c r="J191" s="462"/>
      <c r="K191" s="462"/>
      <c r="L191" s="462"/>
      <c r="M191" s="462"/>
      <c r="N191" s="462"/>
      <c r="O191" s="462"/>
      <c r="P191" s="462"/>
      <c r="Q191" s="489"/>
      <c r="R191" s="489"/>
      <c r="S191" s="489"/>
      <c r="T191" s="489"/>
      <c r="U191" s="447"/>
      <c r="V191" s="447"/>
    </row>
    <row r="192" spans="1:22" x14ac:dyDescent="0.25">
      <c r="A192" s="465"/>
      <c r="B192" s="460"/>
      <c r="C192" s="466"/>
      <c r="D192" s="462"/>
      <c r="E192" s="462"/>
      <c r="F192" s="489"/>
      <c r="G192" s="489"/>
      <c r="H192" s="489"/>
      <c r="I192" s="489"/>
      <c r="J192" s="462"/>
      <c r="K192" s="462"/>
      <c r="L192" s="462"/>
      <c r="M192" s="462"/>
      <c r="N192" s="462"/>
      <c r="O192" s="462"/>
      <c r="P192" s="462"/>
      <c r="Q192" s="489"/>
      <c r="R192" s="489"/>
      <c r="S192" s="489"/>
      <c r="T192" s="489"/>
      <c r="U192" s="447"/>
      <c r="V192" s="447"/>
    </row>
    <row r="193" spans="1:22" x14ac:dyDescent="0.25">
      <c r="A193" s="465"/>
      <c r="B193" s="477" t="s">
        <v>452</v>
      </c>
      <c r="C193" s="466" t="s">
        <v>47</v>
      </c>
      <c r="D193" s="462"/>
      <c r="E193" s="462"/>
      <c r="F193" s="489"/>
      <c r="G193" s="489"/>
      <c r="H193" s="489"/>
      <c r="I193" s="489"/>
      <c r="J193" s="462"/>
      <c r="K193" s="462"/>
      <c r="L193" s="462"/>
      <c r="M193" s="462"/>
      <c r="N193" s="462"/>
      <c r="O193" s="462"/>
      <c r="P193" s="462"/>
      <c r="Q193" s="489"/>
      <c r="R193" s="489"/>
      <c r="S193" s="489"/>
      <c r="T193" s="489"/>
      <c r="U193" s="447"/>
      <c r="V193" s="447"/>
    </row>
    <row r="194" spans="1:22" x14ac:dyDescent="0.25">
      <c r="A194" s="465"/>
      <c r="B194" s="477"/>
      <c r="C194" s="466" t="s">
        <v>234</v>
      </c>
      <c r="D194" s="462"/>
      <c r="E194" s="462"/>
      <c r="F194" s="489"/>
      <c r="G194" s="489"/>
      <c r="H194" s="489"/>
      <c r="I194" s="489"/>
      <c r="J194" s="462"/>
      <c r="K194" s="462"/>
      <c r="L194" s="462"/>
      <c r="M194" s="462"/>
      <c r="N194" s="462"/>
      <c r="O194" s="462"/>
      <c r="P194" s="462"/>
      <c r="Q194" s="489"/>
      <c r="R194" s="489"/>
      <c r="S194" s="489"/>
      <c r="T194" s="489"/>
      <c r="U194" s="447"/>
      <c r="V194" s="447"/>
    </row>
    <row r="195" spans="1:22" x14ac:dyDescent="0.25">
      <c r="A195" s="465"/>
      <c r="B195" s="477"/>
      <c r="C195" s="466" t="s">
        <v>233</v>
      </c>
      <c r="D195" s="462"/>
      <c r="E195" s="462"/>
      <c r="F195" s="489"/>
      <c r="G195" s="447"/>
      <c r="H195" s="447"/>
      <c r="I195" s="447"/>
      <c r="J195" s="462"/>
      <c r="K195" s="462"/>
      <c r="L195" s="462"/>
      <c r="M195" s="462"/>
      <c r="N195" s="462"/>
      <c r="O195" s="462"/>
      <c r="P195" s="462"/>
      <c r="Q195" s="489"/>
      <c r="R195" s="489"/>
      <c r="S195" s="489"/>
      <c r="T195" s="489"/>
      <c r="U195" s="447"/>
      <c r="V195" s="447"/>
    </row>
    <row r="196" spans="1:22" x14ac:dyDescent="0.25">
      <c r="A196" s="465"/>
      <c r="B196" s="477"/>
      <c r="C196" s="461" t="s">
        <v>475</v>
      </c>
      <c r="D196" s="462"/>
      <c r="E196" s="462"/>
      <c r="F196" s="483"/>
      <c r="G196" s="447"/>
      <c r="H196" s="447"/>
      <c r="I196" s="447"/>
      <c r="J196" s="462"/>
      <c r="K196" s="462"/>
      <c r="L196" s="462"/>
      <c r="M196" s="462"/>
      <c r="N196" s="462"/>
      <c r="O196" s="462"/>
      <c r="P196" s="462"/>
      <c r="Q196" s="483"/>
      <c r="R196" s="483"/>
      <c r="S196" s="483"/>
      <c r="T196" s="483"/>
      <c r="U196" s="447"/>
      <c r="V196" s="447"/>
    </row>
    <row r="197" spans="1:22" x14ac:dyDescent="0.25">
      <c r="A197" s="465"/>
      <c r="B197" s="477"/>
      <c r="C197" s="461" t="s">
        <v>476</v>
      </c>
      <c r="D197" s="462"/>
      <c r="E197" s="462"/>
      <c r="F197" s="483"/>
      <c r="G197" s="447"/>
      <c r="H197" s="447"/>
      <c r="I197" s="447"/>
      <c r="J197" s="462"/>
      <c r="K197" s="462"/>
      <c r="L197" s="462"/>
      <c r="M197" s="462"/>
      <c r="N197" s="462"/>
      <c r="O197" s="462"/>
      <c r="P197" s="462"/>
      <c r="Q197" s="483"/>
      <c r="R197" s="483"/>
      <c r="S197" s="483"/>
      <c r="T197" s="483"/>
      <c r="U197" s="447"/>
      <c r="V197" s="447"/>
    </row>
    <row r="198" spans="1:22" x14ac:dyDescent="0.25">
      <c r="A198" s="465"/>
      <c r="B198" s="477"/>
      <c r="C198" s="466"/>
      <c r="D198" s="462"/>
      <c r="E198" s="462"/>
      <c r="F198" s="489"/>
      <c r="G198" s="447"/>
      <c r="H198" s="447"/>
      <c r="I198" s="447"/>
      <c r="J198" s="462"/>
      <c r="K198" s="462"/>
      <c r="L198" s="462"/>
      <c r="M198" s="462"/>
      <c r="N198" s="462"/>
      <c r="O198" s="462"/>
      <c r="P198" s="462"/>
      <c r="Q198" s="489"/>
      <c r="R198" s="489"/>
      <c r="S198" s="489"/>
      <c r="T198" s="489"/>
      <c r="U198" s="447"/>
      <c r="V198" s="447"/>
    </row>
    <row r="199" spans="1:22" x14ac:dyDescent="0.25">
      <c r="A199" s="465"/>
      <c r="B199" s="477"/>
      <c r="C199" s="466"/>
      <c r="D199" s="462"/>
      <c r="E199" s="462"/>
      <c r="F199" s="489"/>
      <c r="G199" s="447"/>
      <c r="H199" s="447"/>
      <c r="I199" s="447"/>
      <c r="J199" s="462"/>
      <c r="K199" s="462"/>
      <c r="L199" s="462"/>
      <c r="M199" s="462"/>
      <c r="N199" s="462"/>
      <c r="O199" s="462"/>
      <c r="P199" s="462"/>
      <c r="Q199" s="489"/>
      <c r="R199" s="489"/>
      <c r="S199" s="489"/>
      <c r="T199" s="489"/>
      <c r="U199" s="447"/>
      <c r="V199" s="447"/>
    </row>
    <row r="200" spans="1:22" x14ac:dyDescent="0.25">
      <c r="A200" s="465"/>
      <c r="B200" s="477"/>
      <c r="C200" s="477" t="s">
        <v>529</v>
      </c>
      <c r="D200" s="462"/>
      <c r="E200" s="462"/>
      <c r="F200" s="495"/>
      <c r="G200" s="447"/>
      <c r="H200" s="447"/>
      <c r="I200" s="447"/>
      <c r="J200" s="462"/>
      <c r="K200" s="462"/>
      <c r="L200" s="462"/>
      <c r="M200" s="462"/>
      <c r="N200" s="462"/>
      <c r="O200" s="462"/>
      <c r="P200" s="462"/>
      <c r="Q200" s="495"/>
      <c r="R200" s="495"/>
      <c r="S200" s="495"/>
      <c r="T200" s="495"/>
      <c r="U200" s="447"/>
      <c r="V200" s="447"/>
    </row>
    <row r="201" spans="1:22" x14ac:dyDescent="0.25">
      <c r="A201" s="465"/>
      <c r="B201" s="477"/>
      <c r="C201" s="466"/>
      <c r="D201" s="462"/>
      <c r="E201" s="462"/>
      <c r="F201" s="489"/>
      <c r="G201" s="447"/>
      <c r="H201" s="447"/>
      <c r="I201" s="447"/>
      <c r="J201" s="462"/>
      <c r="K201" s="462"/>
      <c r="L201" s="462"/>
      <c r="M201" s="462"/>
      <c r="N201" s="462"/>
      <c r="O201" s="462"/>
      <c r="P201" s="462"/>
      <c r="Q201" s="489"/>
      <c r="R201" s="489"/>
      <c r="S201" s="489"/>
      <c r="T201" s="489"/>
      <c r="U201" s="447"/>
      <c r="V201" s="447"/>
    </row>
    <row r="202" spans="1:22" x14ac:dyDescent="0.25">
      <c r="A202" s="459" t="s">
        <v>181</v>
      </c>
      <c r="B202" s="460" t="s">
        <v>249</v>
      </c>
      <c r="C202" s="466" t="s">
        <v>46</v>
      </c>
      <c r="D202" s="462"/>
      <c r="E202" s="462"/>
      <c r="F202" s="489"/>
      <c r="G202" s="447"/>
      <c r="H202" s="447"/>
      <c r="I202" s="447"/>
      <c r="J202" s="462"/>
      <c r="K202" s="462"/>
      <c r="L202" s="462"/>
      <c r="M202" s="462"/>
      <c r="N202" s="462"/>
      <c r="O202" s="462"/>
      <c r="P202" s="462"/>
      <c r="Q202" s="489"/>
      <c r="R202" s="489"/>
      <c r="S202" s="489"/>
      <c r="T202" s="489"/>
      <c r="U202" s="447"/>
      <c r="V202" s="447"/>
    </row>
    <row r="203" spans="1:22" x14ac:dyDescent="0.25">
      <c r="A203" s="465"/>
      <c r="B203" s="475"/>
      <c r="C203" s="466" t="s">
        <v>47</v>
      </c>
      <c r="D203" s="462"/>
      <c r="E203" s="462"/>
      <c r="F203" s="489"/>
      <c r="G203" s="447"/>
      <c r="H203" s="447"/>
      <c r="I203" s="447"/>
      <c r="J203" s="462"/>
      <c r="K203" s="462"/>
      <c r="L203" s="462"/>
      <c r="M203" s="462"/>
      <c r="N203" s="462"/>
      <c r="O203" s="462"/>
      <c r="P203" s="462"/>
      <c r="Q203" s="489"/>
      <c r="R203" s="489"/>
      <c r="S203" s="489"/>
      <c r="T203" s="489"/>
      <c r="U203" s="447"/>
      <c r="V203" s="447"/>
    </row>
    <row r="204" spans="1:22" x14ac:dyDescent="0.25">
      <c r="A204" s="465"/>
      <c r="B204" s="475"/>
      <c r="C204" s="466" t="s">
        <v>234</v>
      </c>
      <c r="D204" s="462"/>
      <c r="E204" s="462"/>
      <c r="F204" s="489"/>
      <c r="G204" s="447"/>
      <c r="H204" s="447"/>
      <c r="I204" s="447"/>
      <c r="J204" s="462"/>
      <c r="K204" s="462"/>
      <c r="L204" s="462"/>
      <c r="M204" s="462"/>
      <c r="N204" s="462"/>
      <c r="O204" s="462"/>
      <c r="P204" s="462"/>
      <c r="Q204" s="489"/>
      <c r="R204" s="489"/>
      <c r="S204" s="489"/>
      <c r="T204" s="489"/>
      <c r="U204" s="447"/>
      <c r="V204" s="447"/>
    </row>
    <row r="205" spans="1:22" x14ac:dyDescent="0.25">
      <c r="A205" s="465"/>
      <c r="B205" s="460"/>
      <c r="C205" s="466" t="s">
        <v>233</v>
      </c>
      <c r="D205" s="462"/>
      <c r="E205" s="462"/>
      <c r="F205" s="489"/>
      <c r="G205" s="447"/>
      <c r="H205" s="447"/>
      <c r="I205" s="447"/>
      <c r="J205" s="462"/>
      <c r="K205" s="462"/>
      <c r="L205" s="462"/>
      <c r="M205" s="462"/>
      <c r="N205" s="462"/>
      <c r="O205" s="462"/>
      <c r="P205" s="462"/>
      <c r="Q205" s="489"/>
      <c r="R205" s="489"/>
      <c r="S205" s="489"/>
      <c r="T205" s="489"/>
      <c r="U205" s="447"/>
      <c r="V205" s="447"/>
    </row>
    <row r="206" spans="1:22" x14ac:dyDescent="0.25">
      <c r="A206" s="465"/>
      <c r="B206" s="460"/>
      <c r="C206" s="466"/>
      <c r="D206" s="462"/>
      <c r="E206" s="462"/>
      <c r="F206" s="489"/>
      <c r="G206" s="447"/>
      <c r="H206" s="447"/>
      <c r="I206" s="447"/>
      <c r="J206" s="462"/>
      <c r="K206" s="462"/>
      <c r="L206" s="462"/>
      <c r="M206" s="462"/>
      <c r="N206" s="462"/>
      <c r="O206" s="462"/>
      <c r="P206" s="462"/>
      <c r="Q206" s="489"/>
      <c r="R206" s="489"/>
      <c r="S206" s="489"/>
      <c r="T206" s="489"/>
      <c r="U206" s="447"/>
      <c r="V206" s="447"/>
    </row>
    <row r="207" spans="1:22" x14ac:dyDescent="0.25">
      <c r="A207" s="465"/>
      <c r="B207" s="460"/>
      <c r="C207" s="466"/>
      <c r="D207" s="462"/>
      <c r="E207" s="462"/>
      <c r="F207" s="489"/>
      <c r="G207" s="447"/>
      <c r="H207" s="447"/>
      <c r="I207" s="447"/>
      <c r="J207" s="462"/>
      <c r="K207" s="462"/>
      <c r="L207" s="462"/>
      <c r="M207" s="462"/>
      <c r="N207" s="462"/>
      <c r="O207" s="462"/>
      <c r="P207" s="462"/>
      <c r="Q207" s="489"/>
      <c r="R207" s="489"/>
      <c r="S207" s="489"/>
      <c r="T207" s="489"/>
      <c r="U207" s="447"/>
      <c r="V207" s="447"/>
    </row>
    <row r="208" spans="1:22" x14ac:dyDescent="0.25">
      <c r="A208" s="465"/>
      <c r="B208" s="477" t="s">
        <v>452</v>
      </c>
      <c r="C208" s="466" t="s">
        <v>234</v>
      </c>
      <c r="D208" s="462"/>
      <c r="E208" s="462"/>
      <c r="F208" s="489"/>
      <c r="G208" s="447"/>
      <c r="H208" s="447"/>
      <c r="I208" s="447"/>
      <c r="J208" s="462"/>
      <c r="K208" s="462"/>
      <c r="L208" s="462"/>
      <c r="M208" s="462"/>
      <c r="N208" s="462"/>
      <c r="O208" s="462"/>
      <c r="P208" s="462"/>
      <c r="Q208" s="489"/>
      <c r="R208" s="489"/>
      <c r="S208" s="489"/>
      <c r="T208" s="489"/>
      <c r="U208" s="447"/>
      <c r="V208" s="447"/>
    </row>
    <row r="209" spans="1:22" x14ac:dyDescent="0.25">
      <c r="A209" s="465"/>
      <c r="B209" s="477"/>
      <c r="C209" s="466" t="s">
        <v>233</v>
      </c>
      <c r="D209" s="462"/>
      <c r="E209" s="462"/>
      <c r="F209" s="489"/>
      <c r="G209" s="447"/>
      <c r="H209" s="447"/>
      <c r="I209" s="447"/>
      <c r="J209" s="462"/>
      <c r="K209" s="462"/>
      <c r="L209" s="462"/>
      <c r="M209" s="462"/>
      <c r="N209" s="462"/>
      <c r="O209" s="462"/>
      <c r="P209" s="462"/>
      <c r="Q209" s="489"/>
      <c r="R209" s="489"/>
      <c r="S209" s="489"/>
      <c r="T209" s="489"/>
      <c r="U209" s="447"/>
      <c r="V209" s="447"/>
    </row>
    <row r="210" spans="1:22" x14ac:dyDescent="0.25">
      <c r="A210" s="465"/>
      <c r="B210" s="477"/>
      <c r="C210" s="461" t="s">
        <v>475</v>
      </c>
      <c r="D210" s="462"/>
      <c r="E210" s="462"/>
      <c r="F210" s="483"/>
      <c r="G210" s="447"/>
      <c r="H210" s="447"/>
      <c r="I210" s="447"/>
      <c r="J210" s="462"/>
      <c r="K210" s="462"/>
      <c r="L210" s="462"/>
      <c r="M210" s="462"/>
      <c r="N210" s="462"/>
      <c r="O210" s="462"/>
      <c r="P210" s="462"/>
      <c r="Q210" s="483"/>
      <c r="R210" s="483"/>
      <c r="S210" s="483"/>
      <c r="T210" s="483"/>
      <c r="U210" s="447"/>
      <c r="V210" s="447"/>
    </row>
    <row r="211" spans="1:22" x14ac:dyDescent="0.25">
      <c r="A211" s="465"/>
      <c r="B211" s="477"/>
      <c r="C211" s="461" t="s">
        <v>476</v>
      </c>
      <c r="D211" s="462"/>
      <c r="E211" s="462"/>
      <c r="F211" s="483"/>
      <c r="G211" s="447"/>
      <c r="H211" s="447"/>
      <c r="I211" s="447"/>
      <c r="J211" s="462"/>
      <c r="K211" s="462"/>
      <c r="L211" s="462"/>
      <c r="M211" s="462"/>
      <c r="N211" s="462"/>
      <c r="O211" s="462"/>
      <c r="P211" s="462"/>
      <c r="Q211" s="483"/>
      <c r="R211" s="483"/>
      <c r="S211" s="483"/>
      <c r="T211" s="483"/>
      <c r="U211" s="447"/>
      <c r="V211" s="447"/>
    </row>
    <row r="212" spans="1:22" x14ac:dyDescent="0.25">
      <c r="A212" s="465"/>
      <c r="B212" s="477"/>
      <c r="C212" s="461"/>
      <c r="D212" s="462"/>
      <c r="E212" s="462"/>
      <c r="F212" s="483"/>
      <c r="G212" s="447"/>
      <c r="H212" s="447"/>
      <c r="I212" s="447"/>
      <c r="J212" s="462"/>
      <c r="K212" s="462"/>
      <c r="L212" s="462"/>
      <c r="M212" s="462"/>
      <c r="N212" s="462"/>
      <c r="O212" s="462"/>
      <c r="P212" s="462"/>
      <c r="Q212" s="483"/>
      <c r="R212" s="483"/>
      <c r="S212" s="483"/>
      <c r="T212" s="483"/>
      <c r="U212" s="447"/>
      <c r="V212" s="447"/>
    </row>
    <row r="213" spans="1:22" x14ac:dyDescent="0.25">
      <c r="A213" s="465"/>
      <c r="B213" s="477"/>
      <c r="C213" s="466"/>
      <c r="D213" s="462"/>
      <c r="E213" s="462"/>
      <c r="F213" s="489"/>
      <c r="G213" s="447"/>
      <c r="H213" s="447"/>
      <c r="I213" s="447"/>
      <c r="J213" s="462"/>
      <c r="K213" s="462"/>
      <c r="L213" s="462"/>
      <c r="M213" s="462"/>
      <c r="N213" s="462"/>
      <c r="O213" s="462"/>
      <c r="P213" s="462"/>
      <c r="Q213" s="489"/>
      <c r="R213" s="489"/>
      <c r="S213" s="489"/>
      <c r="T213" s="489"/>
      <c r="U213" s="447"/>
      <c r="V213" s="447"/>
    </row>
    <row r="214" spans="1:22" x14ac:dyDescent="0.25">
      <c r="A214" s="465"/>
      <c r="B214" s="477"/>
      <c r="C214" s="477" t="s">
        <v>529</v>
      </c>
      <c r="D214" s="462"/>
      <c r="E214" s="462"/>
      <c r="F214" s="495"/>
      <c r="G214" s="447"/>
      <c r="H214" s="447"/>
      <c r="I214" s="447"/>
      <c r="J214" s="462"/>
      <c r="K214" s="462"/>
      <c r="L214" s="462"/>
      <c r="M214" s="462"/>
      <c r="N214" s="462"/>
      <c r="O214" s="462"/>
      <c r="P214" s="462"/>
      <c r="Q214" s="495"/>
      <c r="R214" s="495"/>
      <c r="S214" s="495"/>
      <c r="T214" s="495"/>
      <c r="U214" s="447"/>
      <c r="V214" s="447"/>
    </row>
    <row r="215" spans="1:22" x14ac:dyDescent="0.25">
      <c r="A215" s="465"/>
      <c r="B215" s="477"/>
      <c r="C215" s="466"/>
      <c r="D215" s="462"/>
      <c r="E215" s="462"/>
      <c r="F215" s="489"/>
      <c r="G215" s="447"/>
      <c r="H215" s="447"/>
      <c r="I215" s="447"/>
      <c r="J215" s="462"/>
      <c r="K215" s="462"/>
      <c r="L215" s="462"/>
      <c r="M215" s="462"/>
      <c r="N215" s="462"/>
      <c r="O215" s="462"/>
      <c r="P215" s="462"/>
      <c r="Q215" s="489"/>
      <c r="R215" s="489"/>
      <c r="S215" s="489"/>
      <c r="T215" s="489"/>
      <c r="U215" s="447"/>
      <c r="V215" s="447"/>
    </row>
    <row r="216" spans="1:22" x14ac:dyDescent="0.25">
      <c r="A216" s="459" t="s">
        <v>521</v>
      </c>
      <c r="B216" s="460" t="s">
        <v>249</v>
      </c>
      <c r="C216" s="466" t="s">
        <v>46</v>
      </c>
      <c r="D216" s="462"/>
      <c r="E216" s="462"/>
      <c r="F216" s="489"/>
      <c r="G216" s="447"/>
      <c r="H216" s="447"/>
      <c r="I216" s="447"/>
      <c r="J216" s="462"/>
      <c r="K216" s="462"/>
      <c r="L216" s="462"/>
      <c r="M216" s="462"/>
      <c r="N216" s="462"/>
      <c r="O216" s="462"/>
      <c r="P216" s="462"/>
      <c r="Q216" s="489"/>
      <c r="R216" s="489"/>
      <c r="S216" s="489"/>
      <c r="T216" s="489"/>
      <c r="U216" s="447"/>
      <c r="V216" s="447"/>
    </row>
    <row r="217" spans="1:22" x14ac:dyDescent="0.25">
      <c r="A217" s="465"/>
      <c r="B217" s="475"/>
      <c r="C217" s="466" t="s">
        <v>47</v>
      </c>
      <c r="D217" s="462"/>
      <c r="E217" s="462"/>
      <c r="F217" s="489"/>
      <c r="G217" s="447"/>
      <c r="H217" s="447"/>
      <c r="I217" s="447"/>
      <c r="J217" s="462"/>
      <c r="K217" s="462"/>
      <c r="L217" s="462"/>
      <c r="M217" s="462"/>
      <c r="N217" s="462"/>
      <c r="O217" s="462"/>
      <c r="P217" s="462"/>
      <c r="Q217" s="489"/>
      <c r="R217" s="489"/>
      <c r="S217" s="489"/>
      <c r="T217" s="489"/>
      <c r="U217" s="447"/>
      <c r="V217" s="447"/>
    </row>
    <row r="218" spans="1:22" x14ac:dyDescent="0.25">
      <c r="A218" s="465"/>
      <c r="B218" s="475"/>
      <c r="C218" s="466" t="s">
        <v>234</v>
      </c>
      <c r="D218" s="462"/>
      <c r="E218" s="462"/>
      <c r="F218" s="489"/>
      <c r="G218" s="447"/>
      <c r="H218" s="447"/>
      <c r="I218" s="447"/>
      <c r="J218" s="462"/>
      <c r="K218" s="462"/>
      <c r="L218" s="462"/>
      <c r="M218" s="462"/>
      <c r="N218" s="462"/>
      <c r="O218" s="462"/>
      <c r="P218" s="462"/>
      <c r="Q218" s="489"/>
      <c r="R218" s="489"/>
      <c r="S218" s="489"/>
      <c r="T218" s="489"/>
      <c r="U218" s="447"/>
      <c r="V218" s="447"/>
    </row>
    <row r="219" spans="1:22" x14ac:dyDescent="0.25">
      <c r="A219" s="465"/>
      <c r="B219" s="460"/>
      <c r="C219" s="466" t="s">
        <v>233</v>
      </c>
      <c r="D219" s="462"/>
      <c r="E219" s="462"/>
      <c r="F219" s="489"/>
      <c r="G219" s="447"/>
      <c r="H219" s="447"/>
      <c r="I219" s="447"/>
      <c r="J219" s="462"/>
      <c r="K219" s="462"/>
      <c r="L219" s="462"/>
      <c r="M219" s="462"/>
      <c r="N219" s="462"/>
      <c r="O219" s="462"/>
      <c r="P219" s="462"/>
      <c r="Q219" s="489"/>
      <c r="R219" s="489"/>
      <c r="S219" s="489"/>
      <c r="T219" s="489"/>
      <c r="U219" s="447"/>
      <c r="V219" s="447"/>
    </row>
    <row r="220" spans="1:22" x14ac:dyDescent="0.25">
      <c r="A220" s="465"/>
      <c r="B220" s="460"/>
      <c r="C220" s="466"/>
      <c r="D220" s="462"/>
      <c r="E220" s="462"/>
      <c r="F220" s="489"/>
      <c r="G220" s="447"/>
      <c r="H220" s="447"/>
      <c r="I220" s="447"/>
      <c r="J220" s="462"/>
      <c r="K220" s="462"/>
      <c r="L220" s="462"/>
      <c r="M220" s="462"/>
      <c r="N220" s="462"/>
      <c r="O220" s="462"/>
      <c r="P220" s="462"/>
      <c r="Q220" s="489"/>
      <c r="R220" s="489"/>
      <c r="S220" s="489"/>
      <c r="T220" s="489"/>
      <c r="U220" s="447"/>
      <c r="V220" s="447"/>
    </row>
    <row r="221" spans="1:22" x14ac:dyDescent="0.25">
      <c r="A221" s="465"/>
      <c r="B221" s="460"/>
      <c r="C221" s="466"/>
      <c r="D221" s="462"/>
      <c r="E221" s="462"/>
      <c r="F221" s="489"/>
      <c r="G221" s="447"/>
      <c r="H221" s="447"/>
      <c r="I221" s="447"/>
      <c r="J221" s="462"/>
      <c r="K221" s="462"/>
      <c r="L221" s="462"/>
      <c r="M221" s="462"/>
      <c r="N221" s="462"/>
      <c r="O221" s="462"/>
      <c r="P221" s="462"/>
      <c r="Q221" s="489"/>
      <c r="R221" s="489"/>
      <c r="S221" s="489"/>
      <c r="T221" s="489"/>
      <c r="U221" s="447"/>
      <c r="V221" s="447"/>
    </row>
    <row r="222" spans="1:22" x14ac:dyDescent="0.25">
      <c r="A222" s="465"/>
      <c r="B222" s="477" t="s">
        <v>452</v>
      </c>
      <c r="C222" s="466" t="s">
        <v>47</v>
      </c>
      <c r="D222" s="462"/>
      <c r="E222" s="462"/>
      <c r="F222" s="489"/>
      <c r="G222" s="447"/>
      <c r="H222" s="447"/>
      <c r="I222" s="447"/>
      <c r="J222" s="462"/>
      <c r="K222" s="462"/>
      <c r="L222" s="462"/>
      <c r="M222" s="462"/>
      <c r="N222" s="462"/>
      <c r="O222" s="462"/>
      <c r="P222" s="462"/>
      <c r="Q222" s="489"/>
      <c r="R222" s="489"/>
      <c r="S222" s="489"/>
      <c r="T222" s="489"/>
      <c r="U222" s="447"/>
      <c r="V222" s="447"/>
    </row>
    <row r="223" spans="1:22" x14ac:dyDescent="0.25">
      <c r="A223" s="465"/>
      <c r="B223" s="477"/>
      <c r="C223" s="466" t="s">
        <v>234</v>
      </c>
      <c r="D223" s="462"/>
      <c r="E223" s="462"/>
      <c r="F223" s="489"/>
      <c r="G223" s="447"/>
      <c r="H223" s="447"/>
      <c r="I223" s="447"/>
      <c r="J223" s="462"/>
      <c r="K223" s="462"/>
      <c r="L223" s="462"/>
      <c r="M223" s="462"/>
      <c r="N223" s="462"/>
      <c r="O223" s="462"/>
      <c r="P223" s="462"/>
      <c r="Q223" s="489"/>
      <c r="R223" s="489"/>
      <c r="S223" s="489"/>
      <c r="T223" s="489"/>
      <c r="U223" s="447"/>
      <c r="V223" s="447"/>
    </row>
    <row r="224" spans="1:22" x14ac:dyDescent="0.25">
      <c r="A224" s="465"/>
      <c r="B224" s="477"/>
      <c r="C224" s="466" t="s">
        <v>233</v>
      </c>
      <c r="D224" s="462"/>
      <c r="E224" s="462"/>
      <c r="F224" s="489"/>
      <c r="G224" s="447"/>
      <c r="H224" s="447"/>
      <c r="I224" s="447"/>
      <c r="J224" s="462"/>
      <c r="K224" s="462"/>
      <c r="L224" s="462"/>
      <c r="M224" s="462"/>
      <c r="N224" s="462"/>
      <c r="O224" s="462"/>
      <c r="P224" s="462"/>
      <c r="Q224" s="489"/>
      <c r="R224" s="489"/>
      <c r="S224" s="489"/>
      <c r="T224" s="489"/>
      <c r="U224" s="447"/>
      <c r="V224" s="447"/>
    </row>
    <row r="225" spans="1:22" x14ac:dyDescent="0.25">
      <c r="A225" s="465"/>
      <c r="B225" s="477"/>
      <c r="C225" s="461" t="s">
        <v>475</v>
      </c>
      <c r="D225" s="462"/>
      <c r="E225" s="462"/>
      <c r="F225" s="483"/>
      <c r="G225" s="447"/>
      <c r="H225" s="447"/>
      <c r="I225" s="447"/>
      <c r="J225" s="462"/>
      <c r="K225" s="462"/>
      <c r="L225" s="462"/>
      <c r="M225" s="462"/>
      <c r="N225" s="462"/>
      <c r="O225" s="462"/>
      <c r="P225" s="462"/>
      <c r="Q225" s="483"/>
      <c r="R225" s="483"/>
      <c r="S225" s="483"/>
      <c r="T225" s="483"/>
      <c r="U225" s="447"/>
      <c r="V225" s="447"/>
    </row>
    <row r="226" spans="1:22" x14ac:dyDescent="0.25">
      <c r="A226" s="465"/>
      <c r="B226" s="477"/>
      <c r="C226" s="461" t="s">
        <v>476</v>
      </c>
      <c r="D226" s="462"/>
      <c r="E226" s="462"/>
      <c r="F226" s="483"/>
      <c r="G226" s="447"/>
      <c r="H226" s="447"/>
      <c r="I226" s="447"/>
      <c r="J226" s="462"/>
      <c r="K226" s="462"/>
      <c r="L226" s="462"/>
      <c r="M226" s="462"/>
      <c r="N226" s="462"/>
      <c r="O226" s="462"/>
      <c r="P226" s="462"/>
      <c r="Q226" s="483"/>
      <c r="R226" s="483"/>
      <c r="S226" s="483"/>
      <c r="T226" s="483"/>
      <c r="U226" s="447"/>
      <c r="V226" s="447"/>
    </row>
    <row r="227" spans="1:22" x14ac:dyDescent="0.25">
      <c r="A227" s="465"/>
      <c r="B227" s="477"/>
      <c r="C227" s="461"/>
      <c r="D227" s="462"/>
      <c r="E227" s="462"/>
      <c r="F227" s="483"/>
      <c r="G227" s="447"/>
      <c r="H227" s="447"/>
      <c r="I227" s="447"/>
      <c r="J227" s="462"/>
      <c r="K227" s="462"/>
      <c r="L227" s="462"/>
      <c r="M227" s="462"/>
      <c r="N227" s="462"/>
      <c r="O227" s="462"/>
      <c r="P227" s="462"/>
      <c r="Q227" s="483"/>
      <c r="R227" s="483"/>
      <c r="S227" s="483"/>
      <c r="T227" s="483"/>
      <c r="U227" s="447"/>
      <c r="V227" s="447"/>
    </row>
    <row r="228" spans="1:22" x14ac:dyDescent="0.25">
      <c r="A228" s="496"/>
      <c r="B228" s="497"/>
      <c r="C228" s="498"/>
      <c r="D228" s="462"/>
      <c r="E228" s="462"/>
      <c r="F228" s="489"/>
      <c r="G228" s="447"/>
      <c r="H228" s="447"/>
      <c r="I228" s="447"/>
      <c r="J228" s="462"/>
      <c r="K228" s="462"/>
      <c r="L228" s="462"/>
      <c r="M228" s="462"/>
      <c r="N228" s="462"/>
      <c r="O228" s="462"/>
      <c r="P228" s="462"/>
      <c r="Q228" s="489"/>
      <c r="R228" s="489"/>
      <c r="S228" s="489"/>
      <c r="T228" s="489"/>
      <c r="U228" s="447"/>
      <c r="V228" s="447"/>
    </row>
    <row r="229" spans="1:22" x14ac:dyDescent="0.25">
      <c r="A229" s="499" t="s">
        <v>521</v>
      </c>
      <c r="B229" s="500" t="s">
        <v>205</v>
      </c>
      <c r="C229" s="501"/>
      <c r="D229" s="462"/>
      <c r="E229" s="462"/>
      <c r="F229" s="489"/>
      <c r="G229" s="447"/>
      <c r="H229" s="447"/>
      <c r="I229" s="447"/>
      <c r="J229" s="462"/>
      <c r="K229" s="462"/>
      <c r="L229" s="462"/>
      <c r="M229" s="462"/>
      <c r="N229" s="462"/>
      <c r="O229" s="462"/>
      <c r="P229" s="462"/>
      <c r="Q229" s="489"/>
      <c r="R229" s="489"/>
      <c r="S229" s="489"/>
      <c r="T229" s="489"/>
      <c r="U229" s="447"/>
      <c r="V229" s="447"/>
    </row>
    <row r="230" spans="1:22" x14ac:dyDescent="0.25">
      <c r="A230" s="502"/>
      <c r="B230" s="500"/>
      <c r="C230" s="501"/>
      <c r="D230" s="462"/>
      <c r="E230" s="462"/>
      <c r="F230" s="489"/>
      <c r="G230" s="447"/>
      <c r="H230" s="447"/>
      <c r="I230" s="447"/>
      <c r="J230" s="462"/>
      <c r="K230" s="462"/>
      <c r="L230" s="462"/>
      <c r="M230" s="462"/>
      <c r="N230" s="462"/>
      <c r="O230" s="462"/>
      <c r="P230" s="462"/>
      <c r="Q230" s="489"/>
      <c r="R230" s="489"/>
      <c r="S230" s="489"/>
      <c r="T230" s="489"/>
      <c r="U230" s="447"/>
      <c r="V230" s="447"/>
    </row>
    <row r="231" spans="1:22" x14ac:dyDescent="0.25">
      <c r="A231" s="499" t="s">
        <v>521</v>
      </c>
      <c r="B231" s="500" t="s">
        <v>530</v>
      </c>
      <c r="C231" s="501"/>
      <c r="D231" s="462"/>
      <c r="E231" s="462"/>
      <c r="F231" s="489"/>
      <c r="G231" s="447"/>
      <c r="H231" s="447"/>
      <c r="I231" s="447"/>
      <c r="J231" s="462"/>
      <c r="K231" s="462"/>
      <c r="L231" s="462"/>
      <c r="M231" s="462"/>
      <c r="N231" s="462"/>
      <c r="O231" s="462"/>
      <c r="P231" s="462"/>
      <c r="Q231" s="503"/>
      <c r="R231" s="503"/>
      <c r="S231" s="503"/>
      <c r="T231" s="489"/>
      <c r="U231" s="447"/>
      <c r="V231" s="447"/>
    </row>
    <row r="232" spans="1:22" x14ac:dyDescent="0.25">
      <c r="A232" s="499" t="s">
        <v>521</v>
      </c>
      <c r="B232" s="500" t="s">
        <v>531</v>
      </c>
      <c r="C232" s="501"/>
      <c r="D232" s="462"/>
      <c r="E232" s="462"/>
      <c r="F232" s="489"/>
      <c r="G232" s="447"/>
      <c r="H232" s="447"/>
      <c r="I232" s="447"/>
      <c r="J232" s="462"/>
      <c r="K232" s="462"/>
      <c r="L232" s="462"/>
      <c r="M232" s="462"/>
      <c r="N232" s="462"/>
      <c r="O232" s="462"/>
      <c r="P232" s="462"/>
      <c r="Q232" s="503"/>
      <c r="R232" s="503"/>
      <c r="S232" s="503"/>
      <c r="T232" s="489"/>
      <c r="U232" s="447"/>
      <c r="V232" s="447"/>
    </row>
    <row r="233" spans="1:22" x14ac:dyDescent="0.25">
      <c r="A233" s="499"/>
      <c r="B233" s="500"/>
      <c r="C233" s="501"/>
      <c r="D233" s="462"/>
      <c r="E233" s="462"/>
      <c r="F233" s="489"/>
      <c r="G233" s="447"/>
      <c r="H233" s="447"/>
      <c r="I233" s="447"/>
      <c r="J233" s="462"/>
      <c r="K233" s="462"/>
      <c r="L233" s="462"/>
      <c r="M233" s="462"/>
      <c r="N233" s="462"/>
      <c r="O233" s="462"/>
      <c r="P233" s="462"/>
      <c r="Q233" s="489"/>
      <c r="R233" s="489"/>
      <c r="S233" s="489"/>
      <c r="T233" s="489"/>
      <c r="U233" s="447"/>
      <c r="V233" s="447"/>
    </row>
    <row r="234" spans="1:22" x14ac:dyDescent="0.25">
      <c r="A234" s="499" t="s">
        <v>521</v>
      </c>
      <c r="B234" s="500" t="s">
        <v>529</v>
      </c>
      <c r="C234" s="501"/>
      <c r="D234" s="462"/>
      <c r="E234" s="462"/>
      <c r="F234" s="489"/>
      <c r="G234" s="447"/>
      <c r="H234" s="447"/>
      <c r="I234" s="447"/>
      <c r="J234" s="462"/>
      <c r="K234" s="462"/>
      <c r="L234" s="462"/>
      <c r="M234" s="462"/>
      <c r="N234" s="462"/>
      <c r="O234" s="462"/>
      <c r="P234" s="462"/>
      <c r="Q234" s="489"/>
      <c r="R234" s="489"/>
      <c r="S234" s="489"/>
      <c r="T234" s="489"/>
      <c r="U234" s="447"/>
      <c r="V234" s="447"/>
    </row>
    <row r="235" spans="1:22" ht="14.4" thickBot="1" x14ac:dyDescent="0.3">
      <c r="A235" s="504"/>
      <c r="B235" s="505"/>
      <c r="C235" s="506"/>
      <c r="D235" s="507"/>
      <c r="E235" s="507"/>
      <c r="F235" s="508"/>
      <c r="G235" s="509"/>
      <c r="H235" s="509"/>
      <c r="I235" s="509"/>
      <c r="J235" s="507"/>
      <c r="K235" s="507"/>
      <c r="L235" s="507"/>
      <c r="M235" s="507"/>
      <c r="N235" s="507"/>
      <c r="O235" s="507"/>
      <c r="P235" s="507"/>
      <c r="Q235" s="508"/>
      <c r="R235" s="508"/>
      <c r="S235" s="508"/>
      <c r="T235" s="508"/>
      <c r="U235" s="509"/>
      <c r="V235" s="509"/>
    </row>
    <row r="236" spans="1:22" x14ac:dyDescent="0.25">
      <c r="A236" s="510"/>
      <c r="B236" s="511"/>
      <c r="C236" s="512"/>
      <c r="F236" s="513"/>
      <c r="Q236" s="513"/>
      <c r="R236" s="513"/>
      <c r="S236" s="513"/>
      <c r="T236" s="513"/>
    </row>
    <row r="237" spans="1:22" x14ac:dyDescent="0.25">
      <c r="A237" s="510"/>
      <c r="B237" s="511"/>
      <c r="C237" s="512"/>
      <c r="F237" s="513"/>
      <c r="Q237" s="513"/>
      <c r="R237" s="513"/>
      <c r="S237" s="513"/>
      <c r="T237" s="513"/>
    </row>
    <row r="238" spans="1:22" x14ac:dyDescent="0.25">
      <c r="A238" s="510"/>
      <c r="B238" s="511"/>
      <c r="C238" s="512"/>
      <c r="F238" s="513"/>
      <c r="Q238" s="513"/>
      <c r="R238" s="513"/>
      <c r="S238" s="513"/>
      <c r="T238" s="513"/>
    </row>
    <row r="239" spans="1:22" x14ac:dyDescent="0.25">
      <c r="A239" s="510"/>
      <c r="B239" s="511"/>
      <c r="C239" s="512"/>
      <c r="F239" s="513"/>
      <c r="Q239" s="513"/>
      <c r="R239" s="513"/>
      <c r="S239" s="513"/>
      <c r="T239" s="513"/>
    </row>
    <row r="240" spans="1:22" x14ac:dyDescent="0.25">
      <c r="A240" s="510"/>
      <c r="B240" s="511"/>
      <c r="C240" s="512"/>
      <c r="F240" s="513"/>
      <c r="Q240" s="513"/>
      <c r="R240" s="513"/>
      <c r="S240" s="513"/>
      <c r="T240" s="513"/>
    </row>
    <row r="241" spans="1:20" x14ac:dyDescent="0.25">
      <c r="A241" s="510"/>
      <c r="B241" s="511"/>
      <c r="C241" s="512"/>
      <c r="F241" s="513"/>
      <c r="Q241" s="513"/>
      <c r="R241" s="513"/>
      <c r="S241" s="513"/>
      <c r="T241" s="513"/>
    </row>
    <row r="242" spans="1:20" x14ac:dyDescent="0.25">
      <c r="A242" s="510"/>
      <c r="B242" s="511"/>
      <c r="C242" s="512"/>
      <c r="F242" s="513"/>
      <c r="Q242" s="513"/>
      <c r="R242" s="513"/>
      <c r="S242" s="513"/>
      <c r="T242" s="513"/>
    </row>
    <row r="243" spans="1:20" x14ac:dyDescent="0.25">
      <c r="A243" s="510"/>
      <c r="B243" s="511"/>
      <c r="C243" s="512"/>
      <c r="F243" s="513"/>
      <c r="Q243" s="513"/>
      <c r="R243" s="513"/>
      <c r="S243" s="513"/>
      <c r="T243" s="513"/>
    </row>
    <row r="244" spans="1:20" x14ac:dyDescent="0.25">
      <c r="A244" s="510"/>
      <c r="B244" s="511"/>
      <c r="C244" s="512"/>
      <c r="F244" s="513"/>
      <c r="Q244" s="513"/>
      <c r="R244" s="513"/>
      <c r="S244" s="513"/>
      <c r="T244" s="513"/>
    </row>
    <row r="245" spans="1:20" x14ac:dyDescent="0.25">
      <c r="A245" s="510"/>
      <c r="B245" s="511"/>
      <c r="C245" s="512"/>
      <c r="F245" s="513"/>
      <c r="Q245" s="513"/>
      <c r="R245" s="513"/>
      <c r="S245" s="513"/>
      <c r="T245" s="513"/>
    </row>
    <row r="246" spans="1:20" x14ac:dyDescent="0.25">
      <c r="A246" s="510"/>
      <c r="B246" s="511"/>
      <c r="C246" s="512"/>
      <c r="F246" s="513"/>
      <c r="Q246" s="513"/>
      <c r="R246" s="513"/>
      <c r="S246" s="513"/>
      <c r="T246" s="513"/>
    </row>
    <row r="247" spans="1:20" x14ac:dyDescent="0.25">
      <c r="A247" s="510"/>
      <c r="B247" s="511"/>
      <c r="C247" s="512"/>
      <c r="F247" s="513"/>
      <c r="Q247" s="513"/>
      <c r="R247" s="513"/>
      <c r="S247" s="513"/>
      <c r="T247" s="513"/>
    </row>
    <row r="248" spans="1:20" x14ac:dyDescent="0.25">
      <c r="A248" s="510"/>
      <c r="B248" s="511"/>
      <c r="C248" s="512"/>
      <c r="F248" s="513"/>
      <c r="Q248" s="513"/>
      <c r="R248" s="513"/>
      <c r="S248" s="513"/>
      <c r="T248" s="513"/>
    </row>
    <row r="249" spans="1:20" x14ac:dyDescent="0.25">
      <c r="A249" s="510"/>
      <c r="B249" s="511"/>
      <c r="C249" s="512"/>
      <c r="F249" s="513"/>
      <c r="Q249" s="513"/>
      <c r="R249" s="513"/>
      <c r="S249" s="513"/>
      <c r="T249" s="513"/>
    </row>
    <row r="250" spans="1:20" x14ac:dyDescent="0.25">
      <c r="F250" s="514"/>
      <c r="Q250" s="513"/>
      <c r="R250" s="513"/>
      <c r="S250" s="513"/>
      <c r="T250" s="514"/>
    </row>
    <row r="251" spans="1:20" x14ac:dyDescent="0.25">
      <c r="Q251" s="513"/>
      <c r="R251" s="513"/>
      <c r="S251" s="513"/>
    </row>
    <row r="252" spans="1:20" x14ac:dyDescent="0.25">
      <c r="Q252" s="515"/>
      <c r="R252" s="515"/>
      <c r="S252" s="515"/>
    </row>
    <row r="253" spans="1:20" x14ac:dyDescent="0.25">
      <c r="Q253" s="515"/>
      <c r="R253" s="515"/>
      <c r="S253" s="515"/>
    </row>
    <row r="254" spans="1:20" x14ac:dyDescent="0.25">
      <c r="Q254" s="514"/>
      <c r="R254" s="514"/>
      <c r="S254" s="514"/>
    </row>
    <row r="255" spans="1:20" x14ac:dyDescent="0.25">
      <c r="Q255" s="514"/>
      <c r="R255" s="514"/>
      <c r="S255" s="514"/>
    </row>
    <row r="256" spans="1:20" x14ac:dyDescent="0.25">
      <c r="Q256" s="514"/>
      <c r="R256" s="514"/>
      <c r="S256" s="514"/>
    </row>
    <row r="257" spans="17:19" x14ac:dyDescent="0.25">
      <c r="Q257" s="514"/>
      <c r="R257" s="514"/>
      <c r="S257" s="514"/>
    </row>
    <row r="258" spans="17:19" x14ac:dyDescent="0.25">
      <c r="Q258" s="514"/>
      <c r="R258" s="514"/>
      <c r="S258" s="514"/>
    </row>
    <row r="259" spans="17:19" x14ac:dyDescent="0.25">
      <c r="Q259" s="514"/>
      <c r="R259" s="514"/>
      <c r="S259" s="514"/>
    </row>
    <row r="260" spans="17:19" x14ac:dyDescent="0.25">
      <c r="Q260" s="514"/>
      <c r="R260" s="514"/>
      <c r="S260" s="514"/>
    </row>
    <row r="261" spans="17:19" x14ac:dyDescent="0.25">
      <c r="Q261" s="514"/>
      <c r="R261" s="514"/>
      <c r="S261" s="514"/>
    </row>
    <row r="262" spans="17:19" x14ac:dyDescent="0.25">
      <c r="Q262" s="514"/>
      <c r="R262" s="514"/>
      <c r="S262" s="514"/>
    </row>
    <row r="263" spans="17:19" x14ac:dyDescent="0.25">
      <c r="Q263" s="514"/>
      <c r="R263" s="514"/>
      <c r="S263" s="514"/>
    </row>
    <row r="264" spans="17:19" x14ac:dyDescent="0.25">
      <c r="Q264" s="514"/>
      <c r="R264" s="514"/>
      <c r="S264" s="514"/>
    </row>
    <row r="265" spans="17:19" x14ac:dyDescent="0.25">
      <c r="Q265" s="514"/>
      <c r="R265" s="514"/>
      <c r="S265" s="514"/>
    </row>
    <row r="266" spans="17:19" x14ac:dyDescent="0.25">
      <c r="Q266" s="514"/>
      <c r="R266" s="514"/>
      <c r="S266" s="514"/>
    </row>
    <row r="267" spans="17:19" x14ac:dyDescent="0.25">
      <c r="Q267" s="514"/>
      <c r="R267" s="514"/>
      <c r="S267" s="514"/>
    </row>
    <row r="268" spans="17:19" x14ac:dyDescent="0.25">
      <c r="Q268" s="514"/>
      <c r="R268" s="514"/>
      <c r="S268" s="514"/>
    </row>
    <row r="269" spans="17:19" x14ac:dyDescent="0.25">
      <c r="Q269" s="514"/>
      <c r="R269" s="514"/>
      <c r="S269" s="514"/>
    </row>
    <row r="270" spans="17:19" x14ac:dyDescent="0.25">
      <c r="Q270" s="516"/>
      <c r="R270" s="516"/>
      <c r="S270" s="516"/>
    </row>
    <row r="271" spans="17:19" x14ac:dyDescent="0.25">
      <c r="Q271" s="516"/>
      <c r="R271" s="516"/>
      <c r="S271" s="516"/>
    </row>
    <row r="272" spans="17:19" x14ac:dyDescent="0.25">
      <c r="Q272" s="516"/>
      <c r="R272" s="516"/>
      <c r="S272" s="516"/>
    </row>
    <row r="273" spans="17:19" x14ac:dyDescent="0.25">
      <c r="Q273" s="516"/>
      <c r="R273" s="516"/>
      <c r="S273" s="516"/>
    </row>
    <row r="274" spans="17:19" x14ac:dyDescent="0.25">
      <c r="Q274" s="516"/>
      <c r="R274" s="516"/>
      <c r="S274" s="516"/>
    </row>
    <row r="275" spans="17:19" x14ac:dyDescent="0.25">
      <c r="Q275" s="516"/>
      <c r="R275" s="516"/>
      <c r="S275" s="516"/>
    </row>
    <row r="276" spans="17:19" x14ac:dyDescent="0.25">
      <c r="Q276" s="516"/>
      <c r="R276" s="516"/>
      <c r="S276" s="516"/>
    </row>
    <row r="277" spans="17:19" x14ac:dyDescent="0.25">
      <c r="Q277" s="516"/>
      <c r="R277" s="516"/>
      <c r="S277" s="516"/>
    </row>
    <row r="278" spans="17:19" x14ac:dyDescent="0.25">
      <c r="Q278" s="516"/>
      <c r="R278" s="516"/>
      <c r="S278" s="516"/>
    </row>
    <row r="279" spans="17:19" x14ac:dyDescent="0.25">
      <c r="Q279" s="516"/>
      <c r="R279" s="516"/>
      <c r="S279" s="516"/>
    </row>
    <row r="280" spans="17:19" x14ac:dyDescent="0.25">
      <c r="Q280" s="516"/>
      <c r="R280" s="516"/>
      <c r="S280" s="516"/>
    </row>
    <row r="281" spans="17:19" x14ac:dyDescent="0.25">
      <c r="Q281" s="516"/>
      <c r="R281" s="516"/>
      <c r="S281" s="516"/>
    </row>
    <row r="282" spans="17:19" x14ac:dyDescent="0.25">
      <c r="Q282" s="516"/>
      <c r="R282" s="516"/>
      <c r="S282" s="516"/>
    </row>
    <row r="283" spans="17:19" x14ac:dyDescent="0.25">
      <c r="Q283" s="516"/>
      <c r="R283" s="516"/>
      <c r="S283" s="516"/>
    </row>
  </sheetData>
  <printOptions horizontalCentered="1"/>
  <pageMargins left="0.25" right="0.25" top="0.25" bottom="0.25" header="0.125" footer="0.125"/>
  <pageSetup scale="40" orientation="landscape" r:id="rId1"/>
  <headerFooter alignWithMargins="0"/>
  <colBreaks count="1" manualBreakCount="1">
    <brk id="20" max="8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131"/>
  <sheetViews>
    <sheetView zoomScaleNormal="100" zoomScaleSheetLayoutView="100" workbookViewId="0">
      <pane xSplit="3" ySplit="12" topLeftCell="D13" activePane="bottomRight" state="frozen"/>
      <selection activeCell="U42" sqref="U42"/>
      <selection pane="topRight" activeCell="U42" sqref="U42"/>
      <selection pane="bottomLeft" activeCell="U42" sqref="U42"/>
      <selection pane="bottomRight" activeCell="G27" sqref="G27"/>
    </sheetView>
  </sheetViews>
  <sheetFormatPr defaultColWidth="9.33203125" defaultRowHeight="13.2" x14ac:dyDescent="0.25"/>
  <cols>
    <col min="1" max="1" width="4.88671875" style="3" customWidth="1"/>
    <col min="2" max="2" width="15.33203125" style="2" customWidth="1"/>
    <col min="3" max="3" width="9.33203125" style="2"/>
    <col min="4" max="9" width="16.88671875" style="2" customWidth="1"/>
    <col min="10" max="14" width="15.88671875" style="2" hidden="1" customWidth="1"/>
    <col min="15" max="15" width="18.88671875" style="2" customWidth="1"/>
    <col min="16" max="16" width="3.88671875" style="3" customWidth="1"/>
    <col min="17" max="17" width="18.88671875" style="3" customWidth="1"/>
    <col min="18" max="22" width="15.88671875" style="3" customWidth="1"/>
    <col min="23" max="16384" width="9.33203125" style="3"/>
  </cols>
  <sheetData>
    <row r="1" spans="1:17" ht="13.8" x14ac:dyDescent="0.25">
      <c r="A1" s="1" t="str">
        <f>+'Washington volumes'!A1</f>
        <v>NW Natural</v>
      </c>
    </row>
    <row r="2" spans="1:17" ht="13.8" x14ac:dyDescent="0.25">
      <c r="A2" s="1" t="str">
        <f>+'Washington volumes'!A2</f>
        <v>Rates &amp; Regulatory Affairs</v>
      </c>
    </row>
    <row r="3" spans="1:17" ht="13.8" x14ac:dyDescent="0.25">
      <c r="A3" s="1" t="str">
        <f>+'Washington volumes'!A3</f>
        <v>2018-2019 PGA Filing - Washington: September Filing</v>
      </c>
    </row>
    <row r="4" spans="1:17" ht="13.8" x14ac:dyDescent="0.25">
      <c r="A4" s="1" t="s">
        <v>243</v>
      </c>
    </row>
    <row r="5" spans="1:17" x14ac:dyDescent="0.25">
      <c r="A5" s="3" t="s">
        <v>244</v>
      </c>
    </row>
    <row r="7" spans="1:17" x14ac:dyDescent="0.25">
      <c r="A7" s="4">
        <v>1</v>
      </c>
      <c r="B7" s="157" t="str">
        <f>CONCATENATE("Amortization Rates are calculated by taking the Temporary Adjustment Rate and multiplying by 1 minus the revenue sensitive rate of "&amp;TEXT(revsens,"##.###%"))</f>
        <v>Amortization Rates are calculated by taking the Temporary Adjustment Rate and multiplying by 1 minus the revenue sensitive rate of 4.372%</v>
      </c>
      <c r="G7" s="5"/>
      <c r="H7" s="5"/>
      <c r="I7" s="5"/>
      <c r="J7" s="5"/>
      <c r="K7" s="5"/>
      <c r="L7" s="5"/>
      <c r="M7" s="5"/>
      <c r="N7" s="5"/>
    </row>
    <row r="8" spans="1:17" x14ac:dyDescent="0.25">
      <c r="A8" s="4">
        <f t="shared" ref="A8:A71" si="0">+A7+1</f>
        <v>2</v>
      </c>
      <c r="B8" s="35" t="s">
        <v>245</v>
      </c>
      <c r="D8" s="6"/>
      <c r="E8" s="6"/>
      <c r="F8" s="6"/>
      <c r="G8" s="6"/>
      <c r="H8" s="6"/>
      <c r="I8" s="6"/>
      <c r="J8" s="6"/>
      <c r="K8" s="6"/>
      <c r="L8" s="6"/>
      <c r="M8" s="6"/>
      <c r="N8" s="5"/>
    </row>
    <row r="9" spans="1:17" x14ac:dyDescent="0.25">
      <c r="A9" s="4">
        <f t="shared" si="0"/>
        <v>3</v>
      </c>
      <c r="D9" s="33"/>
      <c r="E9" s="33"/>
      <c r="F9" s="33"/>
      <c r="G9" s="33"/>
      <c r="H9" s="33"/>
      <c r="I9" s="33"/>
      <c r="J9" s="33"/>
      <c r="K9" s="33"/>
      <c r="L9" s="33"/>
      <c r="M9" s="33"/>
      <c r="N9" s="33"/>
    </row>
    <row r="10" spans="1:17" s="8" customFormat="1" ht="40.200000000000003" thickBot="1" x14ac:dyDescent="0.3">
      <c r="A10" s="4">
        <f t="shared" si="0"/>
        <v>4</v>
      </c>
      <c r="B10" s="2"/>
      <c r="C10" s="2"/>
      <c r="D10" s="191" t="s">
        <v>25</v>
      </c>
      <c r="E10" s="191" t="s">
        <v>63</v>
      </c>
      <c r="F10" s="191" t="s">
        <v>64</v>
      </c>
      <c r="G10" s="191" t="s">
        <v>376</v>
      </c>
      <c r="H10" s="191" t="s">
        <v>334</v>
      </c>
      <c r="I10" s="191" t="s">
        <v>364</v>
      </c>
      <c r="J10" s="191"/>
      <c r="K10" s="191"/>
      <c r="L10" s="191"/>
      <c r="M10" s="191"/>
      <c r="N10" s="191"/>
      <c r="O10" s="191" t="s">
        <v>178</v>
      </c>
      <c r="Q10" s="417"/>
    </row>
    <row r="11" spans="1:17" s="8" customFormat="1" x14ac:dyDescent="0.25">
      <c r="A11" s="4">
        <f t="shared" si="0"/>
        <v>5</v>
      </c>
      <c r="B11" s="2"/>
      <c r="C11" s="2"/>
      <c r="D11" s="4"/>
      <c r="E11" s="4"/>
      <c r="F11" s="4"/>
      <c r="G11" s="4"/>
      <c r="H11" s="4"/>
      <c r="I11" s="4"/>
      <c r="J11" s="415"/>
      <c r="K11" s="415"/>
      <c r="L11" s="415"/>
      <c r="M11" s="415"/>
      <c r="N11" s="415"/>
      <c r="O11" s="415" t="s">
        <v>378</v>
      </c>
      <c r="P11" s="416"/>
      <c r="Q11" s="4"/>
    </row>
    <row r="12" spans="1:17" s="8" customFormat="1" x14ac:dyDescent="0.25">
      <c r="A12" s="4">
        <f t="shared" si="0"/>
        <v>6</v>
      </c>
      <c r="B12" s="11" t="s">
        <v>2</v>
      </c>
      <c r="C12" s="11" t="s">
        <v>3</v>
      </c>
      <c r="D12" s="10" t="s">
        <v>77</v>
      </c>
      <c r="E12" s="10" t="s">
        <v>78</v>
      </c>
      <c r="F12" s="10" t="s">
        <v>16</v>
      </c>
      <c r="G12" s="10" t="s">
        <v>79</v>
      </c>
      <c r="H12" s="10" t="s">
        <v>80</v>
      </c>
      <c r="I12" s="10" t="s">
        <v>81</v>
      </c>
      <c r="J12" s="12" t="s">
        <v>82</v>
      </c>
      <c r="K12" s="10" t="s">
        <v>83</v>
      </c>
      <c r="L12" s="12"/>
      <c r="M12" s="12"/>
      <c r="N12" s="12"/>
      <c r="O12" s="10" t="s">
        <v>82</v>
      </c>
      <c r="P12" s="12"/>
      <c r="Q12" s="10"/>
    </row>
    <row r="13" spans="1:17" x14ac:dyDescent="0.25">
      <c r="A13" s="4">
        <f t="shared" si="0"/>
        <v>7</v>
      </c>
      <c r="B13" s="13" t="s">
        <v>4</v>
      </c>
      <c r="C13" s="13"/>
      <c r="D13" s="14">
        <f>-ROUND(+Temporaries!F13*(1-revsens),5)</f>
        <v>2.5139999999999999E-2</v>
      </c>
      <c r="E13" s="14">
        <f>-ROUND(+Temporaries!G13*(1-revsens),5)</f>
        <v>2.5669999999999998E-2</v>
      </c>
      <c r="F13" s="14">
        <f>-ROUND(+Temporaries!H13*(1-revsens),5)</f>
        <v>0</v>
      </c>
      <c r="G13" s="14">
        <f>-ROUND(+Temporaries!K13*(1-revsens),5)</f>
        <v>-5.1740000000000001E-2</v>
      </c>
      <c r="H13" s="14">
        <f>-ROUND(+Temporaries!L13*(1-revsens),5)</f>
        <v>-7.79E-3</v>
      </c>
      <c r="I13" s="14">
        <f>-ROUND(+Temporaries!V13*(1-revsens),5)</f>
        <v>-1.83E-3</v>
      </c>
      <c r="J13" s="14">
        <f>-ROUND(Temporaries!W13*(1-revsens),5)</f>
        <v>1.15E-3</v>
      </c>
      <c r="K13" s="14"/>
      <c r="L13" s="14"/>
      <c r="M13" s="14"/>
      <c r="N13" s="14"/>
      <c r="O13" s="14">
        <f>SUM(D13:N13)</f>
        <v>-9.4000000000000073E-3</v>
      </c>
      <c r="Q13" s="20">
        <f>+O13+(Temporaries!AD13*(1-revsens))</f>
        <v>9.7951999999817962E-6</v>
      </c>
    </row>
    <row r="14" spans="1:17" x14ac:dyDescent="0.25">
      <c r="A14" s="4">
        <f t="shared" si="0"/>
        <v>8</v>
      </c>
      <c r="B14" s="13" t="s">
        <v>5</v>
      </c>
      <c r="C14" s="13"/>
      <c r="D14" s="14">
        <f>-ROUND(+Temporaries!F14*(1-revsens),5)</f>
        <v>2.5139999999999999E-2</v>
      </c>
      <c r="E14" s="14">
        <f>-ROUND(+Temporaries!G14*(1-revsens),5)</f>
        <v>2.5669999999999998E-2</v>
      </c>
      <c r="F14" s="14">
        <f>-ROUND(+Temporaries!H14*(1-revsens),5)</f>
        <v>0</v>
      </c>
      <c r="G14" s="14">
        <f>-ROUND(+Temporaries!K14*(1-revsens),5)</f>
        <v>-4.3490000000000001E-2</v>
      </c>
      <c r="H14" s="14">
        <f>-ROUND(+Temporaries!L14*(1-revsens),5)</f>
        <v>-6.5599999999999999E-3</v>
      </c>
      <c r="I14" s="14">
        <f>-ROUND(+Temporaries!V14*(1-revsens),5)</f>
        <v>-1.5299999999999999E-3</v>
      </c>
      <c r="J14" s="14">
        <f>-ROUND(Temporaries!W14*(1-revsens),5)</f>
        <v>9.7000000000000005E-4</v>
      </c>
      <c r="K14" s="14"/>
      <c r="L14" s="14"/>
      <c r="M14" s="14"/>
      <c r="N14" s="14"/>
      <c r="O14" s="14">
        <f>SUM(D14:N14)</f>
        <v>1.9999999999999348E-4</v>
      </c>
      <c r="Q14" s="20">
        <f>+O14+(Temporaries!AD14*(1-revsens))</f>
        <v>8.743999999994643E-6</v>
      </c>
    </row>
    <row r="15" spans="1:17" x14ac:dyDescent="0.25">
      <c r="A15" s="4">
        <f t="shared" si="0"/>
        <v>9</v>
      </c>
      <c r="B15" s="13" t="s">
        <v>14</v>
      </c>
      <c r="C15" s="13"/>
      <c r="D15" s="14">
        <f>-ROUND(+Temporaries!F15*(1-revsens),5)</f>
        <v>2.5139999999999999E-2</v>
      </c>
      <c r="E15" s="14">
        <f>-ROUND(+Temporaries!G15*(1-revsens),5)</f>
        <v>2.5669999999999998E-2</v>
      </c>
      <c r="F15" s="14">
        <f>-ROUND(+Temporaries!H15*(1-revsens),5)</f>
        <v>0</v>
      </c>
      <c r="G15" s="14">
        <f>-ROUND(+Temporaries!K15*(1-revsens),5)</f>
        <v>-3.2210000000000003E-2</v>
      </c>
      <c r="H15" s="14">
        <f>-ROUND(+Temporaries!L15*(1-revsens),5)</f>
        <v>-4.8500000000000001E-3</v>
      </c>
      <c r="I15" s="14">
        <f>-ROUND(+Temporaries!V15*(1-revsens),5)</f>
        <v>-1.14E-3</v>
      </c>
      <c r="J15" s="14">
        <f>-ROUND(Temporaries!W15*(1-revsens),5)</f>
        <v>7.2000000000000005E-4</v>
      </c>
      <c r="K15" s="14"/>
      <c r="L15" s="14"/>
      <c r="M15" s="14"/>
      <c r="N15" s="14"/>
      <c r="O15" s="14">
        <f>SUM(D15:N15)</f>
        <v>1.3329999999999991E-2</v>
      </c>
      <c r="Q15" s="20">
        <f>+O15+(Temporaries!AD15*(1-revsens))</f>
        <v>-5.4320000000308843E-7</v>
      </c>
    </row>
    <row r="16" spans="1:17" x14ac:dyDescent="0.25">
      <c r="A16" s="4">
        <f t="shared" si="0"/>
        <v>10</v>
      </c>
      <c r="B16" s="13" t="s">
        <v>12</v>
      </c>
      <c r="C16" s="13"/>
      <c r="D16" s="14">
        <f>-ROUND(+Temporaries!F16*(1-revsens),5)</f>
        <v>2.5139999999999999E-2</v>
      </c>
      <c r="E16" s="14">
        <f>-ROUND(+Temporaries!G16*(1-revsens),5)</f>
        <v>2.5669999999999998E-2</v>
      </c>
      <c r="F16" s="14">
        <f>-ROUND(+Temporaries!H16*(1-revsens),5)</f>
        <v>0</v>
      </c>
      <c r="G16" s="14">
        <f>-ROUND(+Temporaries!K16*(1-revsens),5)</f>
        <v>-2.879E-2</v>
      </c>
      <c r="H16" s="14">
        <f>-ROUND(+Temporaries!L16*(1-revsens),5)</f>
        <v>-4.3299999999999996E-3</v>
      </c>
      <c r="I16" s="14">
        <f>-ROUND(+Temporaries!V16*(1-revsens),5)</f>
        <v>-1.01E-3</v>
      </c>
      <c r="J16" s="14">
        <f>-ROUND(Temporaries!W16*(1-revsens),5)</f>
        <v>6.4000000000000005E-4</v>
      </c>
      <c r="K16" s="14"/>
      <c r="L16" s="14"/>
      <c r="M16" s="14"/>
      <c r="N16" s="14"/>
      <c r="O16" s="14">
        <f>SUM(D16:N16)</f>
        <v>1.7319999999999995E-2</v>
      </c>
      <c r="Q16" s="20">
        <f>+O16+(Temporaries!AD16*(1-revsens))</f>
        <v>1.1332000000002784E-5</v>
      </c>
    </row>
    <row r="17" spans="1:17" x14ac:dyDescent="0.25">
      <c r="A17" s="4">
        <f t="shared" si="0"/>
        <v>11</v>
      </c>
      <c r="B17" s="13" t="s">
        <v>13</v>
      </c>
      <c r="C17" s="13"/>
      <c r="D17" s="14">
        <f>-ROUND(+Temporaries!F17*(1-revsens),5)</f>
        <v>2.5139999999999999E-2</v>
      </c>
      <c r="E17" s="14">
        <f>-ROUND(+Temporaries!G17*(1-revsens),5)</f>
        <v>2.5669999999999998E-2</v>
      </c>
      <c r="F17" s="14">
        <f>-ROUND(+Temporaries!H17*(1-revsens),5)</f>
        <v>0</v>
      </c>
      <c r="G17" s="14">
        <f>-ROUND(+Temporaries!K17*(1-revsens),5)</f>
        <v>0</v>
      </c>
      <c r="H17" s="14">
        <f>-ROUND(+Temporaries!L17*(1-revsens),5)</f>
        <v>-3.8700000000000002E-3</v>
      </c>
      <c r="I17" s="14">
        <f>-ROUND(+Temporaries!V17*(1-revsens),5)</f>
        <v>-9.1E-4</v>
      </c>
      <c r="J17" s="14">
        <f>-ROUND(Temporaries!W17*(1-revsens),5)</f>
        <v>5.6999999999999998E-4</v>
      </c>
      <c r="K17" s="14"/>
      <c r="L17" s="14"/>
      <c r="M17" s="14"/>
      <c r="N17" s="14"/>
      <c r="O17" s="14">
        <f>SUM(D17:N17)</f>
        <v>4.6599999999999996E-2</v>
      </c>
      <c r="Q17" s="20">
        <f>+O17+(Temporaries!AD17*(1-revsens))</f>
        <v>4.7560000000085312E-7</v>
      </c>
    </row>
    <row r="18" spans="1:17" x14ac:dyDescent="0.25">
      <c r="A18" s="4">
        <f t="shared" si="0"/>
        <v>12</v>
      </c>
      <c r="B18" s="21">
        <v>27</v>
      </c>
      <c r="C18" s="21"/>
      <c r="D18" s="14">
        <f>-ROUND(+Temporaries!F18*(1-revsens),5)</f>
        <v>2.5139999999999999E-2</v>
      </c>
      <c r="E18" s="14">
        <f>-ROUND(+Temporaries!G18*(1-revsens),5)</f>
        <v>2.5669999999999998E-2</v>
      </c>
      <c r="F18" s="14">
        <f>-ROUND(+Temporaries!H18*(1-revsens),5)</f>
        <v>0</v>
      </c>
      <c r="G18" s="14">
        <f>-ROUND(+Temporaries!K18*(1-revsens),5)</f>
        <v>-2.1600000000000001E-2</v>
      </c>
      <c r="H18" s="14">
        <f>-ROUND(+Temporaries!L18*(1-revsens),5)</f>
        <v>-3.2499999999999999E-3</v>
      </c>
      <c r="I18" s="14">
        <f>-ROUND(+Temporaries!V18*(1-revsens),5)</f>
        <v>-7.6999999999999996E-4</v>
      </c>
      <c r="J18" s="14">
        <f>-ROUND(Temporaries!W18*(1-revsens),5)</f>
        <v>4.8000000000000001E-4</v>
      </c>
      <c r="K18" s="14"/>
      <c r="L18" s="14"/>
      <c r="M18" s="14"/>
      <c r="N18" s="14"/>
      <c r="O18" s="14">
        <f t="shared" ref="O18:O43" si="1">SUM(D18:N18)</f>
        <v>2.5669999999999995E-2</v>
      </c>
      <c r="Q18" s="20">
        <f>+O18+(Temporaries!AD18*(1-revsens))</f>
        <v>3.4447999999950851E-6</v>
      </c>
    </row>
    <row r="19" spans="1:17" x14ac:dyDescent="0.25">
      <c r="A19" s="4">
        <f t="shared" si="0"/>
        <v>13</v>
      </c>
      <c r="B19" s="17" t="s">
        <v>365</v>
      </c>
      <c r="C19" s="18" t="s">
        <v>6</v>
      </c>
      <c r="D19" s="20">
        <f>-ROUND(+Temporaries!F19*(1-revsens),5)</f>
        <v>2.5139999999999999E-2</v>
      </c>
      <c r="E19" s="20">
        <f>-ROUND(+Temporaries!G19*(1-revsens),5)</f>
        <v>2.5669999999999998E-2</v>
      </c>
      <c r="F19" s="20">
        <f>-ROUND(+Temporaries!H19*(1-revsens),5)</f>
        <v>0</v>
      </c>
      <c r="G19" s="20">
        <f>-ROUND(+Temporaries!K19*(1-revsens),5)</f>
        <v>-2.2349999999999998E-2</v>
      </c>
      <c r="H19" s="20">
        <f>-ROUND(+Temporaries!L19*(1-revsens),5)</f>
        <v>-3.3700000000000002E-3</v>
      </c>
      <c r="I19" s="20">
        <f>-ROUND(+Temporaries!V19*(1-revsens),5)</f>
        <v>-7.7999999999999999E-4</v>
      </c>
      <c r="J19" s="20">
        <f>-ROUND(Temporaries!W19*(1-revsens),5)</f>
        <v>5.0000000000000001E-4</v>
      </c>
      <c r="K19" s="20"/>
      <c r="L19" s="20"/>
      <c r="M19" s="20"/>
      <c r="N19" s="20"/>
      <c r="O19" s="20">
        <f t="shared" si="1"/>
        <v>2.4809999999999995E-2</v>
      </c>
      <c r="Q19" s="20">
        <f>+O19+(Temporaries!AD19*(1-revsens))</f>
        <v>4.0967999999953764E-6</v>
      </c>
    </row>
    <row r="20" spans="1:17" x14ac:dyDescent="0.25">
      <c r="A20" s="4">
        <f t="shared" si="0"/>
        <v>14</v>
      </c>
      <c r="B20" s="21"/>
      <c r="C20" s="22" t="s">
        <v>7</v>
      </c>
      <c r="D20" s="14">
        <f>-ROUND(+Temporaries!F20*(1-revsens),5)</f>
        <v>2.5139999999999999E-2</v>
      </c>
      <c r="E20" s="14">
        <f>-ROUND(+Temporaries!G20*(1-revsens),5)</f>
        <v>2.5669999999999998E-2</v>
      </c>
      <c r="F20" s="14">
        <f>-ROUND(+Temporaries!H20*(1-revsens),5)</f>
        <v>0</v>
      </c>
      <c r="G20" s="14">
        <f>-ROUND(+Temporaries!K20*(1-revsens),5)</f>
        <v>-1.9689999999999999E-2</v>
      </c>
      <c r="H20" s="14">
        <f>-ROUND(+Temporaries!L20*(1-revsens),5)</f>
        <v>-2.96E-3</v>
      </c>
      <c r="I20" s="14">
        <f>-ROUND(+Temporaries!V20*(1-revsens),5)</f>
        <v>-6.9999999999999999E-4</v>
      </c>
      <c r="J20" s="14">
        <f>-ROUND(Temporaries!W20*(1-revsens),5)</f>
        <v>4.4000000000000002E-4</v>
      </c>
      <c r="K20" s="14"/>
      <c r="L20" s="14"/>
      <c r="M20" s="14"/>
      <c r="N20" s="14"/>
      <c r="O20" s="14">
        <f t="shared" si="1"/>
        <v>2.7899999999999994E-2</v>
      </c>
      <c r="Q20" s="20">
        <f>+O20+(Temporaries!AD20*(1-revsens))</f>
        <v>5.3123999999987737E-6</v>
      </c>
    </row>
    <row r="21" spans="1:17" x14ac:dyDescent="0.25">
      <c r="A21" s="4">
        <f t="shared" si="0"/>
        <v>15</v>
      </c>
      <c r="B21" s="17" t="s">
        <v>367</v>
      </c>
      <c r="C21" s="18" t="s">
        <v>6</v>
      </c>
      <c r="D21" s="20">
        <f>-ROUND(+Temporaries!F25*(1-revsens),5)</f>
        <v>2.5139999999999999E-2</v>
      </c>
      <c r="E21" s="20">
        <f>-ROUND(+Temporaries!G25*(1-revsens),5)</f>
        <v>2.5669999999999998E-2</v>
      </c>
      <c r="F21" s="20">
        <f>-ROUND(+Temporaries!H25*(1-revsens),5)</f>
        <v>0</v>
      </c>
      <c r="G21" s="20">
        <f>-ROUND(+Temporaries!K25*(1-revsens),5)</f>
        <v>0</v>
      </c>
      <c r="H21" s="20">
        <f>-ROUND(+Temporaries!L25*(1-revsens),5)</f>
        <v>-3.3600000000000001E-3</v>
      </c>
      <c r="I21" s="20">
        <f>-ROUND(+Temporaries!V25*(1-revsens),5)</f>
        <v>-7.7999999999999999E-4</v>
      </c>
      <c r="J21" s="20">
        <f>-ROUND(Temporaries!W21*(1-revsens),5)</f>
        <v>5.1000000000000004E-4</v>
      </c>
      <c r="K21" s="20"/>
      <c r="L21" s="20"/>
      <c r="M21" s="20"/>
      <c r="N21" s="20"/>
      <c r="O21" s="20">
        <f t="shared" si="1"/>
        <v>4.7179999999999986E-2</v>
      </c>
      <c r="Q21" s="20">
        <f>+O21+(Temporaries!AD25*(1-revsens))</f>
        <v>1.6270399999990248E-5</v>
      </c>
    </row>
    <row r="22" spans="1:17" x14ac:dyDescent="0.25">
      <c r="A22" s="4">
        <f t="shared" si="0"/>
        <v>16</v>
      </c>
      <c r="B22" s="21"/>
      <c r="C22" s="22" t="s">
        <v>7</v>
      </c>
      <c r="D22" s="14">
        <f>-ROUND(+Temporaries!F26*(1-revsens),5)</f>
        <v>2.5139999999999999E-2</v>
      </c>
      <c r="E22" s="14">
        <f>-ROUND(+Temporaries!G26*(1-revsens),5)</f>
        <v>2.5669999999999998E-2</v>
      </c>
      <c r="F22" s="14">
        <f>-ROUND(+Temporaries!H26*(1-revsens),5)</f>
        <v>0</v>
      </c>
      <c r="G22" s="14">
        <f>-ROUND(+Temporaries!K26*(1-revsens),5)</f>
        <v>0</v>
      </c>
      <c r="H22" s="14">
        <f>-ROUND(+Temporaries!L26*(1-revsens),5)</f>
        <v>-2.9499999999999999E-3</v>
      </c>
      <c r="I22" s="14">
        <f>-ROUND(+Temporaries!V26*(1-revsens),5)</f>
        <v>-6.8999999999999997E-4</v>
      </c>
      <c r="J22" s="14">
        <f>-ROUND(Temporaries!W22*(1-revsens),5)</f>
        <v>4.4999999999999999E-4</v>
      </c>
      <c r="K22" s="14"/>
      <c r="L22" s="14"/>
      <c r="M22" s="14"/>
      <c r="N22" s="14"/>
      <c r="O22" s="14">
        <f t="shared" si="1"/>
        <v>4.7619999999999989E-2</v>
      </c>
      <c r="Q22" s="20">
        <f>+O22+(Temporaries!AD26*(1-revsens))</f>
        <v>1.6381599999990004E-5</v>
      </c>
    </row>
    <row r="23" spans="1:17" x14ac:dyDescent="0.25">
      <c r="A23" s="4">
        <f t="shared" si="0"/>
        <v>17</v>
      </c>
      <c r="B23" s="17" t="s">
        <v>161</v>
      </c>
      <c r="C23" s="18" t="s">
        <v>6</v>
      </c>
      <c r="D23" s="20">
        <f>-ROUND(+Temporaries!F23*(1-revsens),5)</f>
        <v>0</v>
      </c>
      <c r="E23" s="20">
        <f>-ROUND(+Temporaries!G23*(1-revsens),5)</f>
        <v>0</v>
      </c>
      <c r="F23" s="20">
        <f>-ROUND(+Temporaries!H23*(1-revsens),5)</f>
        <v>0</v>
      </c>
      <c r="G23" s="20">
        <f>-ROUND(+Temporaries!K23*(1-revsens),5)</f>
        <v>0</v>
      </c>
      <c r="H23" s="20">
        <f>-ROUND(+Temporaries!L23*(1-revsens),5)</f>
        <v>0</v>
      </c>
      <c r="I23" s="20">
        <f>-ROUND(+Temporaries!V23*(1-revsens),5)</f>
        <v>0</v>
      </c>
      <c r="J23" s="20">
        <f>-ROUND(Temporaries!W23*(1-revsens),5)</f>
        <v>5.5000000000000003E-4</v>
      </c>
      <c r="K23" s="20"/>
      <c r="L23" s="20"/>
      <c r="M23" s="20"/>
      <c r="N23" s="20"/>
      <c r="O23" s="20">
        <f t="shared" si="1"/>
        <v>5.5000000000000003E-4</v>
      </c>
      <c r="Q23" s="20">
        <f>+O23+(Temporaries!AD23*(1-revsens))</f>
        <v>-4.6423999999999337E-6</v>
      </c>
    </row>
    <row r="24" spans="1:17" x14ac:dyDescent="0.25">
      <c r="A24" s="4">
        <f t="shared" si="0"/>
        <v>18</v>
      </c>
      <c r="B24" s="21"/>
      <c r="C24" s="22" t="s">
        <v>7</v>
      </c>
      <c r="D24" s="14">
        <f>-ROUND(+Temporaries!F24*(1-revsens),5)</f>
        <v>0</v>
      </c>
      <c r="E24" s="14">
        <f>-ROUND(+Temporaries!G24*(1-revsens),5)</f>
        <v>0</v>
      </c>
      <c r="F24" s="14">
        <f>-ROUND(+Temporaries!H24*(1-revsens),5)</f>
        <v>0</v>
      </c>
      <c r="G24" s="14">
        <f>-ROUND(+Temporaries!K24*(1-revsens),5)</f>
        <v>0</v>
      </c>
      <c r="H24" s="14">
        <f>-ROUND(+Temporaries!L24*(1-revsens),5)</f>
        <v>0</v>
      </c>
      <c r="I24" s="14">
        <f>-ROUND(+Temporaries!V24*(1-revsens),5)</f>
        <v>0</v>
      </c>
      <c r="J24" s="14">
        <f>-ROUND(Temporaries!W24*(1-revsens),5)</f>
        <v>4.8999999999999998E-4</v>
      </c>
      <c r="K24" s="14"/>
      <c r="L24" s="14"/>
      <c r="M24" s="14"/>
      <c r="N24" s="14"/>
      <c r="O24" s="14">
        <f t="shared" si="1"/>
        <v>4.8999999999999998E-4</v>
      </c>
      <c r="Q24" s="20">
        <f>+O24+(Temporaries!AD24*(1-revsens))</f>
        <v>2.2971999999999142E-6</v>
      </c>
    </row>
    <row r="25" spans="1:17" x14ac:dyDescent="0.25">
      <c r="A25" s="4">
        <f t="shared" si="0"/>
        <v>19</v>
      </c>
      <c r="B25" s="17" t="s">
        <v>366</v>
      </c>
      <c r="C25" s="18" t="s">
        <v>6</v>
      </c>
      <c r="D25" s="20">
        <f>-ROUND(+Temporaries!F21*(1-revsens),5)</f>
        <v>2.5139999999999999E-2</v>
      </c>
      <c r="E25" s="20">
        <f>-ROUND(+Temporaries!G21*(1-revsens),5)</f>
        <v>0</v>
      </c>
      <c r="F25" s="20">
        <f>-ROUND(+Temporaries!H21*(1-revsens),5)</f>
        <v>8.9599999999999992E-3</v>
      </c>
      <c r="G25" s="20">
        <f>-ROUND(+Temporaries!K21*(1-revsens),5)</f>
        <v>-2.1219999999999999E-2</v>
      </c>
      <c r="H25" s="20">
        <f>-ROUND(+Temporaries!L21*(1-revsens),5)</f>
        <v>-3.2699999999999999E-3</v>
      </c>
      <c r="I25" s="20">
        <f>-ROUND(+Temporaries!V21*(1-revsens),5)</f>
        <v>-7.6999999999999996E-4</v>
      </c>
      <c r="J25" s="20">
        <f>-ROUND(Temporaries!W25*(1-revsens),5)</f>
        <v>5.0000000000000001E-4</v>
      </c>
      <c r="K25" s="20"/>
      <c r="L25" s="20"/>
      <c r="M25" s="20"/>
      <c r="N25" s="20"/>
      <c r="O25" s="20">
        <f t="shared" si="1"/>
        <v>9.3399999999999993E-3</v>
      </c>
      <c r="Q25" s="20">
        <f>+O25+(Temporaries!AD21*(1-revsens))</f>
        <v>-1.2418399999998553E-5</v>
      </c>
    </row>
    <row r="26" spans="1:17" x14ac:dyDescent="0.25">
      <c r="A26" s="4">
        <f t="shared" si="0"/>
        <v>20</v>
      </c>
      <c r="B26" s="21"/>
      <c r="C26" s="22" t="s">
        <v>7</v>
      </c>
      <c r="D26" s="14">
        <f>-ROUND(+Temporaries!F22*(1-revsens),5)</f>
        <v>2.5139999999999999E-2</v>
      </c>
      <c r="E26" s="14">
        <f>-ROUND(+Temporaries!G22*(1-revsens),5)</f>
        <v>0</v>
      </c>
      <c r="F26" s="14">
        <f>-ROUND(+Temporaries!H22*(1-revsens),5)</f>
        <v>8.9599999999999992E-3</v>
      </c>
      <c r="G26" s="14">
        <f>-ROUND(+Temporaries!K22*(1-revsens),5)</f>
        <v>-1.8700000000000001E-2</v>
      </c>
      <c r="H26" s="14">
        <f>-ROUND(+Temporaries!L22*(1-revsens),5)</f>
        <v>-2.8800000000000002E-3</v>
      </c>
      <c r="I26" s="14">
        <f>-ROUND(+Temporaries!V22*(1-revsens),5)</f>
        <v>-6.8000000000000005E-4</v>
      </c>
      <c r="J26" s="14">
        <f>-ROUND(Temporaries!W26*(1-revsens),5)</f>
        <v>4.4000000000000002E-4</v>
      </c>
      <c r="K26" s="14"/>
      <c r="L26" s="14"/>
      <c r="M26" s="14"/>
      <c r="N26" s="14"/>
      <c r="O26" s="14">
        <f t="shared" si="1"/>
        <v>1.2279999999999996E-2</v>
      </c>
      <c r="Q26" s="20">
        <f>+O26+(Temporaries!AD22*(1-revsens))</f>
        <v>-1.7760800000004087E-5</v>
      </c>
    </row>
    <row r="27" spans="1:17" x14ac:dyDescent="0.25">
      <c r="A27" s="4">
        <f t="shared" si="0"/>
        <v>21</v>
      </c>
      <c r="B27" s="17" t="s">
        <v>368</v>
      </c>
      <c r="C27" s="18" t="s">
        <v>6</v>
      </c>
      <c r="D27" s="20">
        <f>-ROUND(+Temporaries!F27*(1-revsens),5)</f>
        <v>2.5139999999999999E-2</v>
      </c>
      <c r="E27" s="20">
        <f>-ROUND(+Temporaries!G27*(1-revsens),5)</f>
        <v>0</v>
      </c>
      <c r="F27" s="20">
        <f>-ROUND(+Temporaries!H27*(1-revsens),5)</f>
        <v>8.9599999999999992E-3</v>
      </c>
      <c r="G27" s="20">
        <f>-ROUND(+Temporaries!K27*(1-revsens),5)</f>
        <v>0</v>
      </c>
      <c r="H27" s="20">
        <f>-ROUND(+Temporaries!L27*(1-revsens),5)</f>
        <v>-3.2699999999999999E-3</v>
      </c>
      <c r="I27" s="20">
        <f>-ROUND(+Temporaries!V27*(1-revsens),5)</f>
        <v>-7.6999999999999996E-4</v>
      </c>
      <c r="J27" s="20">
        <f>-ROUND(Temporaries!W27*(1-revsens),5)</f>
        <v>5.1000000000000004E-4</v>
      </c>
      <c r="K27" s="20"/>
      <c r="L27" s="20"/>
      <c r="M27" s="20"/>
      <c r="N27" s="20"/>
      <c r="O27" s="20">
        <f t="shared" si="1"/>
        <v>3.057E-2</v>
      </c>
      <c r="Q27" s="20">
        <f>+O27+(Temporaries!AD27*(1-revsens))</f>
        <v>-2.2715999999992076E-6</v>
      </c>
    </row>
    <row r="28" spans="1:17" x14ac:dyDescent="0.25">
      <c r="A28" s="4">
        <f t="shared" si="0"/>
        <v>22</v>
      </c>
      <c r="B28" s="21"/>
      <c r="C28" s="22" t="s">
        <v>7</v>
      </c>
      <c r="D28" s="14">
        <f>-ROUND(+Temporaries!F28*(1-revsens),5)</f>
        <v>2.5139999999999999E-2</v>
      </c>
      <c r="E28" s="14">
        <f>-ROUND(+Temporaries!G28*(1-revsens),5)</f>
        <v>0</v>
      </c>
      <c r="F28" s="14">
        <f>-ROUND(+Temporaries!H28*(1-revsens),5)</f>
        <v>8.9599999999999992E-3</v>
      </c>
      <c r="G28" s="14">
        <f>-ROUND(+Temporaries!K28*(1-revsens),5)</f>
        <v>0</v>
      </c>
      <c r="H28" s="14">
        <f>-ROUND(+Temporaries!L28*(1-revsens),5)</f>
        <v>-2.8800000000000002E-3</v>
      </c>
      <c r="I28" s="14">
        <f>-ROUND(+Temporaries!V28*(1-revsens),5)</f>
        <v>-6.8000000000000005E-4</v>
      </c>
      <c r="J28" s="14">
        <f>-ROUND(Temporaries!W28*(1-revsens),5)</f>
        <v>4.4999999999999999E-4</v>
      </c>
      <c r="K28" s="14"/>
      <c r="L28" s="14"/>
      <c r="M28" s="14"/>
      <c r="N28" s="14"/>
      <c r="O28" s="14">
        <f t="shared" si="1"/>
        <v>3.0989999999999997E-2</v>
      </c>
      <c r="Q28" s="20">
        <f>+O28+(Temporaries!AD28*(1-revsens))</f>
        <v>-3.0347999999992548E-6</v>
      </c>
    </row>
    <row r="29" spans="1:17" x14ac:dyDescent="0.25">
      <c r="A29" s="4">
        <f t="shared" si="0"/>
        <v>23</v>
      </c>
      <c r="B29" s="17" t="s">
        <v>163</v>
      </c>
      <c r="C29" s="18" t="s">
        <v>6</v>
      </c>
      <c r="D29" s="20">
        <f>-ROUND(+Temporaries!F29*(1-revsens),5)</f>
        <v>2.5139999999999999E-2</v>
      </c>
      <c r="E29" s="20">
        <f>-ROUND(+Temporaries!G29*(1-revsens),5)</f>
        <v>2.5669999999999998E-2</v>
      </c>
      <c r="F29" s="20">
        <f>-ROUND(+Temporaries!H29*(1-revsens),5)</f>
        <v>0</v>
      </c>
      <c r="G29" s="20">
        <f>-ROUND(+Temporaries!K29*(1-revsens),5)</f>
        <v>-1.244E-2</v>
      </c>
      <c r="H29" s="20">
        <f>-ROUND(+Temporaries!L29*(1-revsens),5)</f>
        <v>-1.8699999999999999E-3</v>
      </c>
      <c r="I29" s="20">
        <f>-ROUND(+Temporaries!V29*(1-revsens),5)</f>
        <v>-4.4000000000000002E-4</v>
      </c>
      <c r="J29" s="20">
        <f>-ROUND(Temporaries!W29*(1-revsens),5)</f>
        <v>2.7999999999999998E-4</v>
      </c>
      <c r="K29" s="20"/>
      <c r="L29" s="20"/>
      <c r="M29" s="20"/>
      <c r="N29" s="20"/>
      <c r="O29" s="20">
        <f t="shared" si="1"/>
        <v>3.6339999999999997E-2</v>
      </c>
      <c r="Q29" s="20">
        <f>+O29+(Temporaries!AD29*(1-revsens))</f>
        <v>1.0922800000000288E-5</v>
      </c>
    </row>
    <row r="30" spans="1:17" x14ac:dyDescent="0.25">
      <c r="A30" s="4">
        <f t="shared" si="0"/>
        <v>24</v>
      </c>
      <c r="B30" s="17"/>
      <c r="C30" s="18" t="s">
        <v>7</v>
      </c>
      <c r="D30" s="20">
        <f>-ROUND(+Temporaries!F30*(1-revsens),5)</f>
        <v>2.5139999999999999E-2</v>
      </c>
      <c r="E30" s="20">
        <f>-ROUND(+Temporaries!G30*(1-revsens),5)</f>
        <v>2.5669999999999998E-2</v>
      </c>
      <c r="F30" s="20">
        <f>-ROUND(+Temporaries!H30*(1-revsens),5)</f>
        <v>0</v>
      </c>
      <c r="G30" s="20">
        <f>-ROUND(+Temporaries!K30*(1-revsens),5)</f>
        <v>-1.1140000000000001E-2</v>
      </c>
      <c r="H30" s="20">
        <f>-ROUND(+Temporaries!L30*(1-revsens),5)</f>
        <v>-1.67E-3</v>
      </c>
      <c r="I30" s="20">
        <f>-ROUND(+Temporaries!V30*(1-revsens),5)</f>
        <v>-3.8999999999999999E-4</v>
      </c>
      <c r="J30" s="20">
        <f>-ROUND(Temporaries!W30*(1-revsens),5)</f>
        <v>2.5000000000000001E-4</v>
      </c>
      <c r="K30" s="20"/>
      <c r="L30" s="20"/>
      <c r="M30" s="20"/>
      <c r="N30" s="20"/>
      <c r="O30" s="20">
        <f t="shared" si="1"/>
        <v>3.7859999999999998E-2</v>
      </c>
      <c r="Q30" s="20">
        <f>+O30+(Temporaries!AD30*(1-revsens))</f>
        <v>1.04376000000031E-5</v>
      </c>
    </row>
    <row r="31" spans="1:17" x14ac:dyDescent="0.25">
      <c r="A31" s="4">
        <f t="shared" si="0"/>
        <v>25</v>
      </c>
      <c r="B31" s="17"/>
      <c r="C31" s="18" t="s">
        <v>8</v>
      </c>
      <c r="D31" s="20">
        <f>-ROUND(+Temporaries!F31*(1-revsens),5)</f>
        <v>2.5139999999999999E-2</v>
      </c>
      <c r="E31" s="20">
        <f>-ROUND(+Temporaries!G31*(1-revsens),5)</f>
        <v>2.5669999999999998E-2</v>
      </c>
      <c r="F31" s="20">
        <f>-ROUND(+Temporaries!H31*(1-revsens),5)</f>
        <v>0</v>
      </c>
      <c r="G31" s="20">
        <f>-ROUND(+Temporaries!K31*(1-revsens),5)</f>
        <v>-8.5400000000000007E-3</v>
      </c>
      <c r="H31" s="20">
        <f>-ROUND(+Temporaries!L31*(1-revsens),5)</f>
        <v>-1.2899999999999999E-3</v>
      </c>
      <c r="I31" s="20">
        <f>-ROUND(+Temporaries!V31*(1-revsens),5)</f>
        <v>-3.1E-4</v>
      </c>
      <c r="J31" s="20">
        <f>-ROUND(Temporaries!W31*(1-revsens),5)</f>
        <v>1.9000000000000001E-4</v>
      </c>
      <c r="K31" s="20"/>
      <c r="L31" s="20"/>
      <c r="M31" s="20"/>
      <c r="N31" s="20"/>
      <c r="O31" s="20">
        <f t="shared" si="1"/>
        <v>4.086E-2</v>
      </c>
      <c r="Q31" s="20">
        <f>+O31+(Temporaries!AD31*(1-revsens))</f>
        <v>-1.8443999999992466E-6</v>
      </c>
    </row>
    <row r="32" spans="1:17" x14ac:dyDescent="0.25">
      <c r="A32" s="4">
        <f t="shared" si="0"/>
        <v>26</v>
      </c>
      <c r="B32" s="17"/>
      <c r="C32" s="18" t="s">
        <v>9</v>
      </c>
      <c r="D32" s="20">
        <f>-ROUND(+Temporaries!F32*(1-revsens),5)</f>
        <v>2.5139999999999999E-2</v>
      </c>
      <c r="E32" s="20">
        <f>-ROUND(+Temporaries!G32*(1-revsens),5)</f>
        <v>2.5669999999999998E-2</v>
      </c>
      <c r="F32" s="20">
        <f>-ROUND(+Temporaries!H32*(1-revsens),5)</f>
        <v>0</v>
      </c>
      <c r="G32" s="20">
        <f>-ROUND(+Temporaries!K32*(1-revsens),5)</f>
        <v>-6.8399999999999997E-3</v>
      </c>
      <c r="H32" s="20">
        <f>-ROUND(+Temporaries!L32*(1-revsens),5)</f>
        <v>-1.0300000000000001E-3</v>
      </c>
      <c r="I32" s="20">
        <f>-ROUND(+Temporaries!V32*(1-revsens),5)</f>
        <v>-2.4000000000000001E-4</v>
      </c>
      <c r="J32" s="20">
        <f>-ROUND(Temporaries!W32*(1-revsens),5)</f>
        <v>1.4999999999999999E-4</v>
      </c>
      <c r="K32" s="20"/>
      <c r="L32" s="20"/>
      <c r="M32" s="20"/>
      <c r="N32" s="20"/>
      <c r="O32" s="20">
        <f t="shared" si="1"/>
        <v>4.2849999999999992E-2</v>
      </c>
      <c r="Q32" s="20">
        <f>+O32+(Temporaries!AD32*(1-revsens))</f>
        <v>-9.0680000000564753E-7</v>
      </c>
    </row>
    <row r="33" spans="1:17" x14ac:dyDescent="0.25">
      <c r="A33" s="4">
        <f t="shared" si="0"/>
        <v>27</v>
      </c>
      <c r="B33" s="17"/>
      <c r="C33" s="18" t="s">
        <v>10</v>
      </c>
      <c r="D33" s="20">
        <f>-ROUND(+Temporaries!F33*(1-revsens),5)</f>
        <v>2.5139999999999999E-2</v>
      </c>
      <c r="E33" s="20">
        <f>-ROUND(+Temporaries!G33*(1-revsens),5)</f>
        <v>2.5669999999999998E-2</v>
      </c>
      <c r="F33" s="20">
        <f>-ROUND(+Temporaries!H33*(1-revsens),5)</f>
        <v>0</v>
      </c>
      <c r="G33" s="20">
        <f>-ROUND(+Temporaries!K33*(1-revsens),5)</f>
        <v>-4.5500000000000002E-3</v>
      </c>
      <c r="H33" s="20">
        <f>-ROUND(+Temporaries!L33*(1-revsens),5)</f>
        <v>-6.8999999999999997E-4</v>
      </c>
      <c r="I33" s="20">
        <f>-ROUND(+Temporaries!V33*(1-revsens),5)</f>
        <v>-1.6000000000000001E-4</v>
      </c>
      <c r="J33" s="20">
        <f>-ROUND(Temporaries!W33*(1-revsens),5)</f>
        <v>1.1E-4</v>
      </c>
      <c r="K33" s="20"/>
      <c r="L33" s="20"/>
      <c r="M33" s="20"/>
      <c r="N33" s="20"/>
      <c r="O33" s="20">
        <f t="shared" si="1"/>
        <v>4.5519999999999991E-2</v>
      </c>
      <c r="Q33" s="20">
        <f>+O33+(Temporaries!AD33*(1-revsens))</f>
        <v>1.0634799999999223E-5</v>
      </c>
    </row>
    <row r="34" spans="1:17" x14ac:dyDescent="0.25">
      <c r="A34" s="4">
        <f t="shared" si="0"/>
        <v>28</v>
      </c>
      <c r="B34" s="21"/>
      <c r="C34" s="22" t="s">
        <v>11</v>
      </c>
      <c r="D34" s="14">
        <f>-ROUND(+Temporaries!F34*(1-revsens),5)</f>
        <v>2.5139999999999999E-2</v>
      </c>
      <c r="E34" s="14">
        <f>-ROUND(+Temporaries!G34*(1-revsens),5)</f>
        <v>2.5669999999999998E-2</v>
      </c>
      <c r="F34" s="14">
        <f>-ROUND(+Temporaries!H34*(1-revsens),5)</f>
        <v>0</v>
      </c>
      <c r="G34" s="14">
        <f>-ROUND(+Temporaries!K34*(1-revsens),5)</f>
        <v>-1.7099999999999999E-3</v>
      </c>
      <c r="H34" s="14">
        <f>-ROUND(+Temporaries!L34*(1-revsens),5)</f>
        <v>-2.5999999999999998E-4</v>
      </c>
      <c r="I34" s="14">
        <f>-ROUND(+Temporaries!V34*(1-revsens),5)</f>
        <v>-6.0000000000000002E-5</v>
      </c>
      <c r="J34" s="14">
        <f>-ROUND(Temporaries!W34*(1-revsens),5)</f>
        <v>4.0000000000000003E-5</v>
      </c>
      <c r="K34" s="14"/>
      <c r="L34" s="14"/>
      <c r="M34" s="14"/>
      <c r="N34" s="14"/>
      <c r="O34" s="14">
        <f t="shared" si="1"/>
        <v>4.8819999999999988E-2</v>
      </c>
      <c r="Q34" s="20">
        <f>+O34+(Temporaries!AD34*(1-revsens))</f>
        <v>1.9059999999890276E-6</v>
      </c>
    </row>
    <row r="35" spans="1:17" x14ac:dyDescent="0.25">
      <c r="A35" s="4">
        <f t="shared" si="0"/>
        <v>29</v>
      </c>
      <c r="B35" s="17" t="s">
        <v>164</v>
      </c>
      <c r="C35" s="18" t="s">
        <v>6</v>
      </c>
      <c r="D35" s="20">
        <f>-ROUND(+Temporaries!F35*(1-revsens),5)</f>
        <v>2.5139999999999999E-2</v>
      </c>
      <c r="E35" s="20">
        <f>-ROUND(+Temporaries!G35*(1-revsens),5)</f>
        <v>2.5669999999999998E-2</v>
      </c>
      <c r="F35" s="20">
        <f>-ROUND(+Temporaries!H35*(1-revsens),5)</f>
        <v>0</v>
      </c>
      <c r="G35" s="20">
        <f>-ROUND(+Temporaries!K35*(1-revsens),5)</f>
        <v>0</v>
      </c>
      <c r="H35" s="20">
        <f>-ROUND(+Temporaries!L35*(1-revsens),5)</f>
        <v>-1.99E-3</v>
      </c>
      <c r="I35" s="20">
        <f>-ROUND(+Temporaries!V35*(1-revsens),5)</f>
        <v>-4.6999999999999999E-4</v>
      </c>
      <c r="J35" s="20">
        <f>-ROUND(Temporaries!W35*(1-revsens),5)</f>
        <v>2.9999999999999997E-4</v>
      </c>
      <c r="K35" s="20"/>
      <c r="L35" s="20"/>
      <c r="M35" s="20"/>
      <c r="N35" s="20"/>
      <c r="O35" s="20">
        <f t="shared" si="1"/>
        <v>4.8649999999999999E-2</v>
      </c>
      <c r="Q35" s="20">
        <f>+O35+(Temporaries!AD35*(1-revsens))</f>
        <v>4.036399999997331E-6</v>
      </c>
    </row>
    <row r="36" spans="1:17" x14ac:dyDescent="0.25">
      <c r="A36" s="4">
        <f t="shared" si="0"/>
        <v>30</v>
      </c>
      <c r="B36" s="17"/>
      <c r="C36" s="18" t="s">
        <v>7</v>
      </c>
      <c r="D36" s="20">
        <f>-ROUND(+Temporaries!F36*(1-revsens),5)</f>
        <v>2.5139999999999999E-2</v>
      </c>
      <c r="E36" s="20">
        <f>-ROUND(+Temporaries!G36*(1-revsens),5)</f>
        <v>2.5669999999999998E-2</v>
      </c>
      <c r="F36" s="20">
        <f>-ROUND(+Temporaries!H36*(1-revsens),5)</f>
        <v>0</v>
      </c>
      <c r="G36" s="20">
        <f>-ROUND(+Temporaries!K36*(1-revsens),5)</f>
        <v>0</v>
      </c>
      <c r="H36" s="20">
        <f>-ROUND(+Temporaries!L36*(1-revsens),5)</f>
        <v>-1.7799999999999999E-3</v>
      </c>
      <c r="I36" s="20">
        <f>-ROUND(+Temporaries!V36*(1-revsens),5)</f>
        <v>-4.2000000000000002E-4</v>
      </c>
      <c r="J36" s="20">
        <f>-ROUND(Temporaries!W36*(1-revsens),5)</f>
        <v>2.5999999999999998E-4</v>
      </c>
      <c r="K36" s="20"/>
      <c r="L36" s="20"/>
      <c r="M36" s="20"/>
      <c r="N36" s="20"/>
      <c r="O36" s="20">
        <f t="shared" si="1"/>
        <v>4.8870000000000004E-2</v>
      </c>
      <c r="Q36" s="20">
        <f>+O36+(Temporaries!AD36*(1-revsens))</f>
        <v>4.0920000000041479E-6</v>
      </c>
    </row>
    <row r="37" spans="1:17" x14ac:dyDescent="0.25">
      <c r="A37" s="4">
        <f t="shared" si="0"/>
        <v>31</v>
      </c>
      <c r="B37" s="17"/>
      <c r="C37" s="18" t="s">
        <v>8</v>
      </c>
      <c r="D37" s="20">
        <f>-ROUND(+Temporaries!F37*(1-revsens),5)</f>
        <v>2.5139999999999999E-2</v>
      </c>
      <c r="E37" s="20">
        <f>-ROUND(+Temporaries!G37*(1-revsens),5)</f>
        <v>2.5669999999999998E-2</v>
      </c>
      <c r="F37" s="20">
        <f>-ROUND(+Temporaries!H37*(1-revsens),5)</f>
        <v>0</v>
      </c>
      <c r="G37" s="20">
        <f>-ROUND(+Temporaries!K37*(1-revsens),5)</f>
        <v>0</v>
      </c>
      <c r="H37" s="20">
        <f>-ROUND(+Temporaries!L37*(1-revsens),5)</f>
        <v>-1.3699999999999999E-3</v>
      </c>
      <c r="I37" s="20">
        <f>-ROUND(+Temporaries!V37*(1-revsens),5)</f>
        <v>-3.2000000000000003E-4</v>
      </c>
      <c r="J37" s="20">
        <f>-ROUND(Temporaries!W37*(1-revsens),5)</f>
        <v>2.0000000000000001E-4</v>
      </c>
      <c r="K37" s="20"/>
      <c r="L37" s="20"/>
      <c r="M37" s="20"/>
      <c r="N37" s="20"/>
      <c r="O37" s="20">
        <f t="shared" si="1"/>
        <v>4.9319999999999989E-2</v>
      </c>
      <c r="Q37" s="20">
        <f>+O37+(Temporaries!AD37*(1-revsens))</f>
        <v>-4.9224000000097634E-6</v>
      </c>
    </row>
    <row r="38" spans="1:17" x14ac:dyDescent="0.25">
      <c r="A38" s="4">
        <f t="shared" si="0"/>
        <v>32</v>
      </c>
      <c r="B38" s="17"/>
      <c r="C38" s="18" t="s">
        <v>9</v>
      </c>
      <c r="D38" s="20">
        <f>-ROUND(+Temporaries!F38*(1-revsens),5)</f>
        <v>2.5139999999999999E-2</v>
      </c>
      <c r="E38" s="20">
        <f>-ROUND(+Temporaries!G38*(1-revsens),5)</f>
        <v>2.5669999999999998E-2</v>
      </c>
      <c r="F38" s="20">
        <f>-ROUND(+Temporaries!H38*(1-revsens),5)</f>
        <v>0</v>
      </c>
      <c r="G38" s="20">
        <f>-ROUND(+Temporaries!K38*(1-revsens),5)</f>
        <v>0</v>
      </c>
      <c r="H38" s="20">
        <f>-ROUND(+Temporaries!L38*(1-revsens),5)</f>
        <v>-1.09E-3</v>
      </c>
      <c r="I38" s="20">
        <f>-ROUND(+Temporaries!V38*(1-revsens),5)</f>
        <v>-2.5999999999999998E-4</v>
      </c>
      <c r="J38" s="20">
        <f>-ROUND(Temporaries!W38*(1-revsens),5)</f>
        <v>1.6000000000000001E-4</v>
      </c>
      <c r="K38" s="20"/>
      <c r="L38" s="20"/>
      <c r="M38" s="20"/>
      <c r="N38" s="20"/>
      <c r="O38" s="20">
        <f t="shared" si="1"/>
        <v>4.9619999999999991E-2</v>
      </c>
      <c r="Q38" s="20">
        <f>+O38+(Temporaries!AD38*(1-revsens))</f>
        <v>-1.369200000010673E-6</v>
      </c>
    </row>
    <row r="39" spans="1:17" x14ac:dyDescent="0.25">
      <c r="A39" s="4">
        <f t="shared" si="0"/>
        <v>33</v>
      </c>
      <c r="B39" s="17"/>
      <c r="C39" s="18" t="s">
        <v>10</v>
      </c>
      <c r="D39" s="20">
        <f>-ROUND(+Temporaries!F39*(1-revsens),5)</f>
        <v>2.5139999999999999E-2</v>
      </c>
      <c r="E39" s="20">
        <f>-ROUND(+Temporaries!G39*(1-revsens),5)</f>
        <v>2.5669999999999998E-2</v>
      </c>
      <c r="F39" s="20">
        <f>-ROUND(+Temporaries!H39*(1-revsens),5)</f>
        <v>0</v>
      </c>
      <c r="G39" s="20">
        <f>-ROUND(+Temporaries!K39*(1-revsens),5)</f>
        <v>0</v>
      </c>
      <c r="H39" s="20">
        <f>-ROUND(+Temporaries!L39*(1-revsens),5)</f>
        <v>-7.2999999999999996E-4</v>
      </c>
      <c r="I39" s="20">
        <f>-ROUND(+Temporaries!V39*(1-revsens),5)</f>
        <v>-1.7000000000000001E-4</v>
      </c>
      <c r="J39" s="20">
        <f>-ROUND(Temporaries!W39*(1-revsens),5)</f>
        <v>1.1E-4</v>
      </c>
      <c r="K39" s="20"/>
      <c r="L39" s="20"/>
      <c r="M39" s="20"/>
      <c r="N39" s="20"/>
      <c r="O39" s="20">
        <f t="shared" si="1"/>
        <v>5.0019999999999995E-2</v>
      </c>
      <c r="Q39" s="20">
        <f>+O39+(Temporaries!AD39*(1-revsens))</f>
        <v>6.5559999999978413E-6</v>
      </c>
    </row>
    <row r="40" spans="1:17" x14ac:dyDescent="0.25">
      <c r="A40" s="4">
        <f t="shared" si="0"/>
        <v>34</v>
      </c>
      <c r="B40" s="21"/>
      <c r="C40" s="22" t="s">
        <v>11</v>
      </c>
      <c r="D40" s="14">
        <f>-ROUND(+Temporaries!F40*(1-revsens),5)</f>
        <v>2.5139999999999999E-2</v>
      </c>
      <c r="E40" s="14">
        <f>-ROUND(+Temporaries!G40*(1-revsens),5)</f>
        <v>2.5669999999999998E-2</v>
      </c>
      <c r="F40" s="14">
        <f>-ROUND(+Temporaries!H40*(1-revsens),5)</f>
        <v>0</v>
      </c>
      <c r="G40" s="14">
        <f>-ROUND(+Temporaries!K40*(1-revsens),5)</f>
        <v>0</v>
      </c>
      <c r="H40" s="14">
        <f>-ROUND(+Temporaries!L40*(1-revsens),5)</f>
        <v>-2.7999999999999998E-4</v>
      </c>
      <c r="I40" s="14">
        <f>-ROUND(+Temporaries!V40*(1-revsens),5)</f>
        <v>-6.9999999999999994E-5</v>
      </c>
      <c r="J40" s="14">
        <f>-ROUND(Temporaries!W40*(1-revsens),5)</f>
        <v>4.0000000000000003E-5</v>
      </c>
      <c r="K40" s="14"/>
      <c r="L40" s="14"/>
      <c r="M40" s="14"/>
      <c r="N40" s="14"/>
      <c r="O40" s="14">
        <f t="shared" si="1"/>
        <v>5.0499999999999989E-2</v>
      </c>
      <c r="Q40" s="20">
        <f>+O40+(Temporaries!AD40*(1-revsens))</f>
        <v>-1.1468000000042222E-6</v>
      </c>
    </row>
    <row r="41" spans="1:17" x14ac:dyDescent="0.25">
      <c r="A41" s="4">
        <f t="shared" si="0"/>
        <v>35</v>
      </c>
      <c r="B41" s="17" t="s">
        <v>165</v>
      </c>
      <c r="C41" s="18" t="s">
        <v>6</v>
      </c>
      <c r="D41" s="20">
        <f>-ROUND(+Temporaries!F41*(1-revsens),5)</f>
        <v>0</v>
      </c>
      <c r="E41" s="20">
        <f>-ROUND(+Temporaries!G41*(1-revsens),5)</f>
        <v>0</v>
      </c>
      <c r="F41" s="20">
        <f>-ROUND(+Temporaries!H41*(1-revsens),5)</f>
        <v>0</v>
      </c>
      <c r="G41" s="20">
        <f>-ROUND(+Temporaries!K41*(1-revsens),5)</f>
        <v>0</v>
      </c>
      <c r="H41" s="20">
        <f>-ROUND(+Temporaries!L41*(1-revsens),5)</f>
        <v>0</v>
      </c>
      <c r="I41" s="20">
        <f>-ROUND(+Temporaries!V41*(1-revsens),5)</f>
        <v>0</v>
      </c>
      <c r="J41" s="20">
        <f>-ROUND(Temporaries!W41*(1-revsens),5)</f>
        <v>2.2000000000000001E-4</v>
      </c>
      <c r="K41" s="20"/>
      <c r="L41" s="20"/>
      <c r="M41" s="20"/>
      <c r="N41" s="20"/>
      <c r="O41" s="20">
        <f t="shared" si="1"/>
        <v>2.2000000000000001E-4</v>
      </c>
      <c r="Q41" s="20">
        <f>+O41+(Temporaries!AD41*(1-revsens))</f>
        <v>5.5599999999986389E-8</v>
      </c>
    </row>
    <row r="42" spans="1:17" x14ac:dyDescent="0.25">
      <c r="A42" s="4">
        <f t="shared" si="0"/>
        <v>36</v>
      </c>
      <c r="B42" s="17"/>
      <c r="C42" s="18" t="s">
        <v>7</v>
      </c>
      <c r="D42" s="20">
        <f>-ROUND(+Temporaries!F42*(1-revsens),5)</f>
        <v>0</v>
      </c>
      <c r="E42" s="20">
        <f>-ROUND(+Temporaries!G42*(1-revsens),5)</f>
        <v>0</v>
      </c>
      <c r="F42" s="20">
        <f>-ROUND(+Temporaries!H42*(1-revsens),5)</f>
        <v>0</v>
      </c>
      <c r="G42" s="20">
        <f>-ROUND(+Temporaries!K42*(1-revsens),5)</f>
        <v>0</v>
      </c>
      <c r="H42" s="20">
        <f>-ROUND(+Temporaries!L42*(1-revsens),5)</f>
        <v>0</v>
      </c>
      <c r="I42" s="20">
        <f>-ROUND(+Temporaries!V42*(1-revsens),5)</f>
        <v>0</v>
      </c>
      <c r="J42" s="20">
        <f>-ROUND(Temporaries!W42*(1-revsens),5)</f>
        <v>2.0000000000000001E-4</v>
      </c>
      <c r="K42" s="20"/>
      <c r="L42" s="20"/>
      <c r="M42" s="20"/>
      <c r="N42" s="20"/>
      <c r="O42" s="20">
        <f t="shared" si="1"/>
        <v>2.0000000000000001E-4</v>
      </c>
      <c r="Q42" s="20">
        <f>+O42+(Temporaries!AD42*(1-revsens))</f>
        <v>-8.1880000000000646E-7</v>
      </c>
    </row>
    <row r="43" spans="1:17" x14ac:dyDescent="0.25">
      <c r="A43" s="4">
        <f t="shared" si="0"/>
        <v>37</v>
      </c>
      <c r="B43" s="17"/>
      <c r="C43" s="18" t="s">
        <v>8</v>
      </c>
      <c r="D43" s="20">
        <f>-ROUND(+Temporaries!F43*(1-revsens),5)</f>
        <v>0</v>
      </c>
      <c r="E43" s="20">
        <f>-ROUND(+Temporaries!G43*(1-revsens),5)</f>
        <v>0</v>
      </c>
      <c r="F43" s="20">
        <f>-ROUND(+Temporaries!H43*(1-revsens),5)</f>
        <v>0</v>
      </c>
      <c r="G43" s="20">
        <f>-ROUND(+Temporaries!K43*(1-revsens),5)</f>
        <v>0</v>
      </c>
      <c r="H43" s="20">
        <f>-ROUND(+Temporaries!L43*(1-revsens),5)</f>
        <v>0</v>
      </c>
      <c r="I43" s="20">
        <f>-ROUND(+Temporaries!V43*(1-revsens),5)</f>
        <v>0</v>
      </c>
      <c r="J43" s="20">
        <f>-ROUND(Temporaries!W43*(1-revsens),5)</f>
        <v>1.4999999999999999E-4</v>
      </c>
      <c r="K43" s="20"/>
      <c r="L43" s="20"/>
      <c r="M43" s="20"/>
      <c r="N43" s="20"/>
      <c r="O43" s="20">
        <f t="shared" si="1"/>
        <v>1.4999999999999999E-4</v>
      </c>
      <c r="Q43" s="20">
        <f>+O43+(Temporaries!AD43*(1-revsens))</f>
        <v>-3.0048000000000292E-6</v>
      </c>
    </row>
    <row r="44" spans="1:17" x14ac:dyDescent="0.25">
      <c r="A44" s="4">
        <f t="shared" si="0"/>
        <v>38</v>
      </c>
      <c r="B44" s="17"/>
      <c r="C44" s="18" t="s">
        <v>9</v>
      </c>
      <c r="D44" s="20">
        <f>-ROUND(+Temporaries!F44*(1-revsens),5)</f>
        <v>0</v>
      </c>
      <c r="E44" s="20">
        <f>-ROUND(+Temporaries!G44*(1-revsens),5)</f>
        <v>0</v>
      </c>
      <c r="F44" s="20">
        <f>-ROUND(+Temporaries!H44*(1-revsens),5)</f>
        <v>0</v>
      </c>
      <c r="G44" s="20">
        <f>-ROUND(+Temporaries!K44*(1-revsens),5)</f>
        <v>0</v>
      </c>
      <c r="H44" s="20">
        <f>-ROUND(+Temporaries!L44*(1-revsens),5)</f>
        <v>0</v>
      </c>
      <c r="I44" s="20">
        <f>-ROUND(+Temporaries!V44*(1-revsens),5)</f>
        <v>0</v>
      </c>
      <c r="J44" s="20">
        <f>-ROUND(Temporaries!W44*(1-revsens),5)</f>
        <v>1.2E-4</v>
      </c>
      <c r="K44" s="20"/>
      <c r="L44" s="20"/>
      <c r="M44" s="20"/>
      <c r="N44" s="20"/>
      <c r="O44" s="20">
        <f t="shared" ref="O44:O67" si="2">SUM(D44:N44)</f>
        <v>1.2E-4</v>
      </c>
      <c r="Q44" s="20">
        <f>+O44+(Temporaries!AD44*(1-revsens))</f>
        <v>-4.3163999999999914E-6</v>
      </c>
    </row>
    <row r="45" spans="1:17" x14ac:dyDescent="0.25">
      <c r="A45" s="4">
        <f t="shared" si="0"/>
        <v>39</v>
      </c>
      <c r="B45" s="17"/>
      <c r="C45" s="18" t="s">
        <v>10</v>
      </c>
      <c r="D45" s="20">
        <f>-ROUND(+Temporaries!F45*(1-revsens),5)</f>
        <v>0</v>
      </c>
      <c r="E45" s="20">
        <f>-ROUND(+Temporaries!G45*(1-revsens),5)</f>
        <v>0</v>
      </c>
      <c r="F45" s="20">
        <f>-ROUND(+Temporaries!H45*(1-revsens),5)</f>
        <v>0</v>
      </c>
      <c r="G45" s="20">
        <f>-ROUND(+Temporaries!K45*(1-revsens),5)</f>
        <v>0</v>
      </c>
      <c r="H45" s="20">
        <f>-ROUND(+Temporaries!L45*(1-revsens),5)</f>
        <v>0</v>
      </c>
      <c r="I45" s="20">
        <f>-ROUND(+Temporaries!V45*(1-revsens),5)</f>
        <v>0</v>
      </c>
      <c r="J45" s="20">
        <f>-ROUND(Temporaries!W45*(1-revsens),5)</f>
        <v>9.0000000000000006E-5</v>
      </c>
      <c r="K45" s="20"/>
      <c r="L45" s="20"/>
      <c r="M45" s="20"/>
      <c r="N45" s="20"/>
      <c r="O45" s="20">
        <f t="shared" si="2"/>
        <v>9.0000000000000006E-5</v>
      </c>
      <c r="Q45" s="20">
        <f>+O45+(Temporaries!AD45*(1-revsens))</f>
        <v>3.9347999999999949E-6</v>
      </c>
    </row>
    <row r="46" spans="1:17" x14ac:dyDescent="0.25">
      <c r="A46" s="4">
        <f t="shared" si="0"/>
        <v>40</v>
      </c>
      <c r="B46" s="21"/>
      <c r="C46" s="22" t="s">
        <v>11</v>
      </c>
      <c r="D46" s="14">
        <f>-ROUND(+Temporaries!F46*(1-revsens),5)</f>
        <v>0</v>
      </c>
      <c r="E46" s="14">
        <f>-ROUND(+Temporaries!G46*(1-revsens),5)</f>
        <v>0</v>
      </c>
      <c r="F46" s="14">
        <f>-ROUND(+Temporaries!H46*(1-revsens),5)</f>
        <v>0</v>
      </c>
      <c r="G46" s="14">
        <f>-ROUND(+Temporaries!K46*(1-revsens),5)</f>
        <v>0</v>
      </c>
      <c r="H46" s="14">
        <f>-ROUND(+Temporaries!L46*(1-revsens),5)</f>
        <v>0</v>
      </c>
      <c r="I46" s="14">
        <f>-ROUND(+Temporaries!V46*(1-revsens),5)</f>
        <v>0</v>
      </c>
      <c r="J46" s="14">
        <f>-ROUND(Temporaries!W46*(1-revsens),5)</f>
        <v>3.0000000000000001E-5</v>
      </c>
      <c r="K46" s="14"/>
      <c r="L46" s="14"/>
      <c r="M46" s="14"/>
      <c r="N46" s="14"/>
      <c r="O46" s="14">
        <f t="shared" si="2"/>
        <v>3.0000000000000001E-5</v>
      </c>
      <c r="Q46" s="20">
        <f>+O46+(Temporaries!AD46*(1-revsens))</f>
        <v>1.3115999999999994E-6</v>
      </c>
    </row>
    <row r="47" spans="1:17" x14ac:dyDescent="0.25">
      <c r="A47" s="4">
        <f t="shared" si="0"/>
        <v>41</v>
      </c>
      <c r="B47" s="17" t="s">
        <v>369</v>
      </c>
      <c r="C47" s="18" t="s">
        <v>6</v>
      </c>
      <c r="D47" s="20">
        <f>-ROUND(+Temporaries!F47*(1-revsens),5)</f>
        <v>2.5139999999999999E-2</v>
      </c>
      <c r="E47" s="20">
        <f>-ROUND(+Temporaries!G47*(1-revsens),5)</f>
        <v>0</v>
      </c>
      <c r="F47" s="20">
        <f>-ROUND(+Temporaries!H47*(1-revsens),5)</f>
        <v>8.9599999999999992E-3</v>
      </c>
      <c r="G47" s="20">
        <f>-ROUND(+Temporaries!K47*(1-revsens),5)</f>
        <v>-1.0290000000000001E-2</v>
      </c>
      <c r="H47" s="20">
        <f>-ROUND(+Temporaries!L47*(1-revsens),5)</f>
        <v>-1.5499999999999999E-3</v>
      </c>
      <c r="I47" s="20">
        <f>-ROUND(+Temporaries!V47*(1-revsens),5)</f>
        <v>-3.6000000000000002E-4</v>
      </c>
      <c r="J47" s="20">
        <f>-ROUND(Temporaries!W47*(1-revsens),5)</f>
        <v>2.3000000000000001E-4</v>
      </c>
      <c r="K47" s="20"/>
      <c r="L47" s="20"/>
      <c r="M47" s="20"/>
      <c r="N47" s="20"/>
      <c r="O47" s="20">
        <f t="shared" ref="O47:O52" si="3">SUM(D47:N47)</f>
        <v>2.213E-2</v>
      </c>
      <c r="Q47" s="20">
        <f>+O47+(Temporaries!AD47*(1-revsens))</f>
        <v>1.680800000000704E-6</v>
      </c>
    </row>
    <row r="48" spans="1:17" x14ac:dyDescent="0.25">
      <c r="A48" s="4">
        <f t="shared" si="0"/>
        <v>42</v>
      </c>
      <c r="B48" s="17"/>
      <c r="C48" s="18" t="s">
        <v>7</v>
      </c>
      <c r="D48" s="20">
        <f>-ROUND(+Temporaries!F48*(1-revsens),5)</f>
        <v>2.5139999999999999E-2</v>
      </c>
      <c r="E48" s="20">
        <f>-ROUND(+Temporaries!G48*(1-revsens),5)</f>
        <v>0</v>
      </c>
      <c r="F48" s="20">
        <f>-ROUND(+Temporaries!H48*(1-revsens),5)</f>
        <v>8.9599999999999992E-3</v>
      </c>
      <c r="G48" s="20">
        <f>-ROUND(+Temporaries!K48*(1-revsens),5)</f>
        <v>-9.2099999999999994E-3</v>
      </c>
      <c r="H48" s="20">
        <f>-ROUND(+Temporaries!L48*(1-revsens),5)</f>
        <v>-1.39E-3</v>
      </c>
      <c r="I48" s="20">
        <f>-ROUND(+Temporaries!V48*(1-revsens),5)</f>
        <v>-3.3E-4</v>
      </c>
      <c r="J48" s="20">
        <f>-ROUND(Temporaries!W48*(1-revsens),5)</f>
        <v>2.0000000000000001E-4</v>
      </c>
      <c r="K48" s="20"/>
      <c r="L48" s="20"/>
      <c r="M48" s="20"/>
      <c r="N48" s="20"/>
      <c r="O48" s="20">
        <f t="shared" si="3"/>
        <v>2.3369999999999998E-2</v>
      </c>
      <c r="Q48" s="20">
        <f>+O48+(Temporaries!AD48*(1-revsens))</f>
        <v>-1.1046000000000666E-5</v>
      </c>
    </row>
    <row r="49" spans="1:17" x14ac:dyDescent="0.25">
      <c r="A49" s="4">
        <f t="shared" si="0"/>
        <v>43</v>
      </c>
      <c r="B49" s="17"/>
      <c r="C49" s="18" t="s">
        <v>8</v>
      </c>
      <c r="D49" s="20">
        <f>-ROUND(+Temporaries!F49*(1-revsens),5)</f>
        <v>2.5139999999999999E-2</v>
      </c>
      <c r="E49" s="20">
        <f>-ROUND(+Temporaries!G49*(1-revsens),5)</f>
        <v>0</v>
      </c>
      <c r="F49" s="20">
        <f>-ROUND(+Temporaries!H49*(1-revsens),5)</f>
        <v>8.9599999999999992E-3</v>
      </c>
      <c r="G49" s="20">
        <f>-ROUND(+Temporaries!K49*(1-revsens),5)</f>
        <v>-7.0600000000000003E-3</v>
      </c>
      <c r="H49" s="20">
        <f>-ROUND(+Temporaries!L49*(1-revsens),5)</f>
        <v>-1.06E-3</v>
      </c>
      <c r="I49" s="20">
        <f>-ROUND(+Temporaries!V49*(1-revsens),5)</f>
        <v>-2.5000000000000001E-4</v>
      </c>
      <c r="J49" s="20">
        <f>-ROUND(Temporaries!W49*(1-revsens),5)</f>
        <v>1.4999999999999999E-4</v>
      </c>
      <c r="K49" s="20"/>
      <c r="L49" s="20"/>
      <c r="M49" s="20"/>
      <c r="N49" s="20"/>
      <c r="O49" s="20">
        <f t="shared" si="3"/>
        <v>2.588E-2</v>
      </c>
      <c r="Q49" s="20">
        <f>+O49+(Temporaries!AD49*(1-revsens))</f>
        <v>-6.4995999999976906E-6</v>
      </c>
    </row>
    <row r="50" spans="1:17" x14ac:dyDescent="0.25">
      <c r="A50" s="4">
        <f t="shared" si="0"/>
        <v>44</v>
      </c>
      <c r="B50" s="17"/>
      <c r="C50" s="18" t="s">
        <v>9</v>
      </c>
      <c r="D50" s="20">
        <f>-ROUND(+Temporaries!F50*(1-revsens),5)</f>
        <v>2.5139999999999999E-2</v>
      </c>
      <c r="E50" s="20">
        <f>-ROUND(+Temporaries!G50*(1-revsens),5)</f>
        <v>0</v>
      </c>
      <c r="F50" s="20">
        <f>-ROUND(+Temporaries!H50*(1-revsens),5)</f>
        <v>8.9599999999999992E-3</v>
      </c>
      <c r="G50" s="20">
        <f>-ROUND(+Temporaries!K50*(1-revsens),5)</f>
        <v>-5.6499999999999996E-3</v>
      </c>
      <c r="H50" s="20">
        <f>-ROUND(+Temporaries!L50*(1-revsens),5)</f>
        <v>-8.4999999999999995E-4</v>
      </c>
      <c r="I50" s="20">
        <f>-ROUND(+Temporaries!V50*(1-revsens),5)</f>
        <v>-2.0000000000000001E-4</v>
      </c>
      <c r="J50" s="20">
        <f>-ROUND(Temporaries!W50*(1-revsens),5)</f>
        <v>1.2E-4</v>
      </c>
      <c r="K50" s="20"/>
      <c r="L50" s="20"/>
      <c r="M50" s="20"/>
      <c r="N50" s="20"/>
      <c r="O50" s="20">
        <f t="shared" si="3"/>
        <v>2.7519999999999999E-2</v>
      </c>
      <c r="Q50" s="20">
        <f>+O50+(Temporaries!AD50*(1-revsens))</f>
        <v>-1.7383999999995292E-6</v>
      </c>
    </row>
    <row r="51" spans="1:17" x14ac:dyDescent="0.25">
      <c r="A51" s="4">
        <f t="shared" si="0"/>
        <v>45</v>
      </c>
      <c r="B51" s="17"/>
      <c r="C51" s="18" t="s">
        <v>10</v>
      </c>
      <c r="D51" s="20">
        <f>-ROUND(+Temporaries!F51*(1-revsens),5)</f>
        <v>2.5139999999999999E-2</v>
      </c>
      <c r="E51" s="20">
        <f>-ROUND(+Temporaries!G51*(1-revsens),5)</f>
        <v>0</v>
      </c>
      <c r="F51" s="20">
        <f>-ROUND(+Temporaries!H51*(1-revsens),5)</f>
        <v>8.9599999999999992E-3</v>
      </c>
      <c r="G51" s="20">
        <f>-ROUND(+Temporaries!K51*(1-revsens),5)</f>
        <v>-3.7699999999999999E-3</v>
      </c>
      <c r="H51" s="20">
        <f>-ROUND(+Temporaries!L51*(1-revsens),5)</f>
        <v>-5.5999999999999995E-4</v>
      </c>
      <c r="I51" s="20">
        <f>-ROUND(+Temporaries!V51*(1-revsens),5)</f>
        <v>-1.2999999999999999E-4</v>
      </c>
      <c r="J51" s="20">
        <f>-ROUND(Temporaries!W51*(1-revsens),5)</f>
        <v>9.0000000000000006E-5</v>
      </c>
      <c r="K51" s="20"/>
      <c r="L51" s="20"/>
      <c r="M51" s="20"/>
      <c r="N51" s="20"/>
      <c r="O51" s="20">
        <f t="shared" si="3"/>
        <v>2.9729999999999996E-2</v>
      </c>
      <c r="Q51" s="20">
        <f>+O51+(Temporaries!AD51*(1-revsens))</f>
        <v>8.817599999998843E-6</v>
      </c>
    </row>
    <row r="52" spans="1:17" x14ac:dyDescent="0.25">
      <c r="A52" s="4">
        <f t="shared" si="0"/>
        <v>46</v>
      </c>
      <c r="B52" s="21"/>
      <c r="C52" s="22" t="s">
        <v>11</v>
      </c>
      <c r="D52" s="14">
        <f>-ROUND(+Temporaries!F52*(1-revsens),5)</f>
        <v>2.5139999999999999E-2</v>
      </c>
      <c r="E52" s="14">
        <f>-ROUND(+Temporaries!G52*(1-revsens),5)</f>
        <v>0</v>
      </c>
      <c r="F52" s="14">
        <f>-ROUND(+Temporaries!H52*(1-revsens),5)</f>
        <v>8.9599999999999992E-3</v>
      </c>
      <c r="G52" s="14">
        <f>-ROUND(+Temporaries!K52*(1-revsens),5)</f>
        <v>-1.42E-3</v>
      </c>
      <c r="H52" s="14">
        <f>-ROUND(+Temporaries!L52*(1-revsens),5)</f>
        <v>-2.1000000000000001E-4</v>
      </c>
      <c r="I52" s="14">
        <f>-ROUND(+Temporaries!V52*(1-revsens),5)</f>
        <v>-5.0000000000000002E-5</v>
      </c>
      <c r="J52" s="14">
        <f>-ROUND(Temporaries!W52*(1-revsens),5)</f>
        <v>3.0000000000000001E-5</v>
      </c>
      <c r="K52" s="14"/>
      <c r="L52" s="14"/>
      <c r="M52" s="14"/>
      <c r="N52" s="14"/>
      <c r="O52" s="14">
        <f t="shared" si="3"/>
        <v>3.245E-2</v>
      </c>
      <c r="Q52" s="20">
        <f>+O52+(Temporaries!AD52*(1-revsens))</f>
        <v>-6.143199999995852E-6</v>
      </c>
    </row>
    <row r="53" spans="1:17" x14ac:dyDescent="0.25">
      <c r="A53" s="4">
        <f t="shared" si="0"/>
        <v>47</v>
      </c>
      <c r="B53" s="17" t="s">
        <v>370</v>
      </c>
      <c r="C53" s="18" t="s">
        <v>6</v>
      </c>
      <c r="D53" s="20">
        <f>-ROUND(+Temporaries!F53*(1-revsens),5)</f>
        <v>2.5139999999999999E-2</v>
      </c>
      <c r="E53" s="20">
        <f>-ROUND(+Temporaries!G53*(1-revsens),5)</f>
        <v>0</v>
      </c>
      <c r="F53" s="20">
        <f>-ROUND(+Temporaries!H53*(1-revsens),5)</f>
        <v>8.9599999999999992E-3</v>
      </c>
      <c r="G53" s="20">
        <f>-ROUND(+Temporaries!K53*(1-revsens),5)</f>
        <v>0</v>
      </c>
      <c r="H53" s="20">
        <f>-ROUND(+Temporaries!L53*(1-revsens),5)</f>
        <v>-2E-3</v>
      </c>
      <c r="I53" s="20">
        <f>-ROUND(+Temporaries!V53*(1-revsens),5)</f>
        <v>-4.6999999999999999E-4</v>
      </c>
      <c r="J53" s="20">
        <f>-ROUND(Temporaries!W53*(1-revsens),5)</f>
        <v>2.9999999999999997E-4</v>
      </c>
      <c r="K53" s="20"/>
      <c r="L53" s="20"/>
      <c r="M53" s="20"/>
      <c r="N53" s="20"/>
      <c r="O53" s="20">
        <f t="shared" si="2"/>
        <v>3.193E-2</v>
      </c>
      <c r="Q53" s="20">
        <f>+O53+(Temporaries!AD53*(1-revsens))</f>
        <v>-1.8919999999339465E-7</v>
      </c>
    </row>
    <row r="54" spans="1:17" x14ac:dyDescent="0.25">
      <c r="A54" s="4">
        <f t="shared" si="0"/>
        <v>48</v>
      </c>
      <c r="B54" s="17"/>
      <c r="C54" s="18" t="s">
        <v>7</v>
      </c>
      <c r="D54" s="20">
        <f>-ROUND(+Temporaries!F54*(1-revsens),5)</f>
        <v>2.5139999999999999E-2</v>
      </c>
      <c r="E54" s="20">
        <f>-ROUND(+Temporaries!G54*(1-revsens),5)</f>
        <v>0</v>
      </c>
      <c r="F54" s="20">
        <f>-ROUND(+Temporaries!H54*(1-revsens),5)</f>
        <v>8.9599999999999992E-3</v>
      </c>
      <c r="G54" s="20">
        <f>-ROUND(+Temporaries!K54*(1-revsens),5)</f>
        <v>0</v>
      </c>
      <c r="H54" s="20">
        <f>-ROUND(+Temporaries!L54*(1-revsens),5)</f>
        <v>-1.7899999999999999E-3</v>
      </c>
      <c r="I54" s="20">
        <f>-ROUND(+Temporaries!V54*(1-revsens),5)</f>
        <v>-4.2000000000000002E-4</v>
      </c>
      <c r="J54" s="20">
        <f>-ROUND(Temporaries!W54*(1-revsens),5)</f>
        <v>2.7E-4</v>
      </c>
      <c r="K54" s="20"/>
      <c r="L54" s="20"/>
      <c r="M54" s="20"/>
      <c r="N54" s="20"/>
      <c r="O54" s="20">
        <f t="shared" si="2"/>
        <v>3.2160000000000001E-2</v>
      </c>
      <c r="Q54" s="20">
        <f>+O54+(Temporaries!AD54*(1-revsens))</f>
        <v>3.036000000011807E-7</v>
      </c>
    </row>
    <row r="55" spans="1:17" x14ac:dyDescent="0.25">
      <c r="A55" s="4">
        <f t="shared" si="0"/>
        <v>49</v>
      </c>
      <c r="B55" s="17"/>
      <c r="C55" s="18" t="s">
        <v>8</v>
      </c>
      <c r="D55" s="20">
        <f>-ROUND(+Temporaries!F55*(1-revsens),5)</f>
        <v>2.5139999999999999E-2</v>
      </c>
      <c r="E55" s="20">
        <f>-ROUND(+Temporaries!G55*(1-revsens),5)</f>
        <v>0</v>
      </c>
      <c r="F55" s="20">
        <f>-ROUND(+Temporaries!H55*(1-revsens),5)</f>
        <v>8.9599999999999992E-3</v>
      </c>
      <c r="G55" s="20">
        <f>-ROUND(+Temporaries!K55*(1-revsens),5)</f>
        <v>0</v>
      </c>
      <c r="H55" s="20">
        <f>-ROUND(+Temporaries!L55*(1-revsens),5)</f>
        <v>-1.3699999999999999E-3</v>
      </c>
      <c r="I55" s="20">
        <f>-ROUND(+Temporaries!V55*(1-revsens),5)</f>
        <v>-3.3E-4</v>
      </c>
      <c r="J55" s="20">
        <f>-ROUND(Temporaries!W55*(1-revsens),5)</f>
        <v>2.0000000000000001E-4</v>
      </c>
      <c r="K55" s="20"/>
      <c r="L55" s="20"/>
      <c r="M55" s="20"/>
      <c r="N55" s="20"/>
      <c r="O55" s="20">
        <f t="shared" si="2"/>
        <v>3.2599999999999997E-2</v>
      </c>
      <c r="Q55" s="20">
        <f>+O55+(Temporaries!AD55*(1-revsens))</f>
        <v>-9.1480000000004891E-6</v>
      </c>
    </row>
    <row r="56" spans="1:17" x14ac:dyDescent="0.25">
      <c r="A56" s="4">
        <f t="shared" si="0"/>
        <v>50</v>
      </c>
      <c r="B56" s="17"/>
      <c r="C56" s="18" t="s">
        <v>9</v>
      </c>
      <c r="D56" s="20">
        <f>-ROUND(+Temporaries!F56*(1-revsens),5)</f>
        <v>2.5139999999999999E-2</v>
      </c>
      <c r="E56" s="20">
        <f>-ROUND(+Temporaries!G56*(1-revsens),5)</f>
        <v>0</v>
      </c>
      <c r="F56" s="20">
        <f>-ROUND(+Temporaries!H56*(1-revsens),5)</f>
        <v>8.9599999999999992E-3</v>
      </c>
      <c r="G56" s="20">
        <f>-ROUND(+Temporaries!K56*(1-revsens),5)</f>
        <v>0</v>
      </c>
      <c r="H56" s="20">
        <f>-ROUND(+Temporaries!L56*(1-revsens),5)</f>
        <v>-1.1000000000000001E-3</v>
      </c>
      <c r="I56" s="20">
        <f>-ROUND(+Temporaries!V56*(1-revsens),5)</f>
        <v>-2.5999999999999998E-4</v>
      </c>
      <c r="J56" s="20">
        <f>-ROUND(Temporaries!W56*(1-revsens),5)</f>
        <v>1.6000000000000001E-4</v>
      </c>
      <c r="K56" s="20"/>
      <c r="L56" s="20"/>
      <c r="M56" s="20"/>
      <c r="N56" s="20"/>
      <c r="O56" s="20">
        <f t="shared" si="2"/>
        <v>3.2899999999999999E-2</v>
      </c>
      <c r="Q56" s="20">
        <f>+O56+(Temporaries!AD56*(1-revsens))</f>
        <v>-5.5948000000013987E-6</v>
      </c>
    </row>
    <row r="57" spans="1:17" x14ac:dyDescent="0.25">
      <c r="A57" s="4">
        <f t="shared" si="0"/>
        <v>51</v>
      </c>
      <c r="B57" s="17"/>
      <c r="C57" s="18" t="s">
        <v>10</v>
      </c>
      <c r="D57" s="20">
        <f>-ROUND(+Temporaries!F57*(1-revsens),5)</f>
        <v>2.5139999999999999E-2</v>
      </c>
      <c r="E57" s="20">
        <f>-ROUND(+Temporaries!G57*(1-revsens),5)</f>
        <v>0</v>
      </c>
      <c r="F57" s="20">
        <f>-ROUND(+Temporaries!H57*(1-revsens),5)</f>
        <v>8.9599999999999992E-3</v>
      </c>
      <c r="G57" s="20">
        <f>-ROUND(+Temporaries!K57*(1-revsens),5)</f>
        <v>0</v>
      </c>
      <c r="H57" s="20">
        <f>-ROUND(+Temporaries!L57*(1-revsens),5)</f>
        <v>-7.2999999999999996E-4</v>
      </c>
      <c r="I57" s="20">
        <f>-ROUND(+Temporaries!V57*(1-revsens),5)</f>
        <v>-1.7000000000000001E-4</v>
      </c>
      <c r="J57" s="20">
        <f>-ROUND(Temporaries!W57*(1-revsens),5)</f>
        <v>1.1E-4</v>
      </c>
      <c r="K57" s="20"/>
      <c r="L57" s="20"/>
      <c r="M57" s="20"/>
      <c r="N57" s="20"/>
      <c r="O57" s="20">
        <f t="shared" si="2"/>
        <v>3.3309999999999992E-2</v>
      </c>
      <c r="Q57" s="20">
        <f>+O57+(Temporaries!AD57*(1-revsens))</f>
        <v>2.7675999999948742E-6</v>
      </c>
    </row>
    <row r="58" spans="1:17" x14ac:dyDescent="0.25">
      <c r="A58" s="4">
        <f t="shared" si="0"/>
        <v>52</v>
      </c>
      <c r="B58" s="21"/>
      <c r="C58" s="22" t="s">
        <v>11</v>
      </c>
      <c r="D58" s="14">
        <f>-ROUND(+Temporaries!F58*(1-revsens),5)</f>
        <v>2.5139999999999999E-2</v>
      </c>
      <c r="E58" s="14">
        <f>-ROUND(+Temporaries!G58*(1-revsens),5)</f>
        <v>0</v>
      </c>
      <c r="F58" s="14">
        <f>-ROUND(+Temporaries!H58*(1-revsens),5)</f>
        <v>8.9599999999999992E-3</v>
      </c>
      <c r="G58" s="14">
        <f>-ROUND(+Temporaries!K58*(1-revsens),5)</f>
        <v>0</v>
      </c>
      <c r="H58" s="14">
        <f>-ROUND(+Temporaries!L58*(1-revsens),5)</f>
        <v>-2.7999999999999998E-4</v>
      </c>
      <c r="I58" s="14">
        <f>-ROUND(+Temporaries!V58*(1-revsens),5)</f>
        <v>-6.9999999999999994E-5</v>
      </c>
      <c r="J58" s="14">
        <f>-ROUND(Temporaries!W58*(1-revsens),5)</f>
        <v>4.0000000000000003E-5</v>
      </c>
      <c r="K58" s="14"/>
      <c r="L58" s="14"/>
      <c r="M58" s="14"/>
      <c r="N58" s="14"/>
      <c r="O58" s="14">
        <f t="shared" si="2"/>
        <v>3.3789999999999994E-2</v>
      </c>
      <c r="Q58" s="20">
        <f>+O58+(Temporaries!AD58*(1-revsens))</f>
        <v>-4.9352000000002505E-6</v>
      </c>
    </row>
    <row r="59" spans="1:17" x14ac:dyDescent="0.25">
      <c r="A59" s="4">
        <f t="shared" si="0"/>
        <v>53</v>
      </c>
      <c r="B59" s="17" t="s">
        <v>166</v>
      </c>
      <c r="C59" s="18" t="s">
        <v>6</v>
      </c>
      <c r="D59" s="20">
        <f>-ROUND(+Temporaries!F59*(1-revsens),5)</f>
        <v>0</v>
      </c>
      <c r="E59" s="20">
        <f>-ROUND(+Temporaries!G59*(1-revsens),5)</f>
        <v>0</v>
      </c>
      <c r="F59" s="20">
        <f>-ROUND(+Temporaries!H59*(1-revsens),5)</f>
        <v>0</v>
      </c>
      <c r="G59" s="20">
        <f>-ROUND(+Temporaries!K59*(1-revsens),5)</f>
        <v>0</v>
      </c>
      <c r="H59" s="20">
        <f>-ROUND(+Temporaries!L59*(1-revsens),5)</f>
        <v>0</v>
      </c>
      <c r="I59" s="20">
        <f>-ROUND(+Temporaries!V59*(1-revsens),5)</f>
        <v>0</v>
      </c>
      <c r="J59" s="20">
        <f>-ROUND(Temporaries!W59*(1-revsens),5)</f>
        <v>2.0000000000000001E-4</v>
      </c>
      <c r="K59" s="20"/>
      <c r="L59" s="20"/>
      <c r="M59" s="20"/>
      <c r="N59" s="20"/>
      <c r="O59" s="20">
        <f t="shared" si="2"/>
        <v>2.0000000000000001E-4</v>
      </c>
      <c r="Q59" s="20">
        <f>+O59+(Temporaries!AD59*(1-revsens))</f>
        <v>-8.1880000000000646E-7</v>
      </c>
    </row>
    <row r="60" spans="1:17" x14ac:dyDescent="0.25">
      <c r="A60" s="4">
        <f t="shared" si="0"/>
        <v>54</v>
      </c>
      <c r="B60" s="17"/>
      <c r="C60" s="18" t="s">
        <v>7</v>
      </c>
      <c r="D60" s="20">
        <f>-ROUND(+Temporaries!F60*(1-revsens),5)</f>
        <v>0</v>
      </c>
      <c r="E60" s="20">
        <f>-ROUND(+Temporaries!G60*(1-revsens),5)</f>
        <v>0</v>
      </c>
      <c r="F60" s="20">
        <f>-ROUND(+Temporaries!H60*(1-revsens),5)</f>
        <v>0</v>
      </c>
      <c r="G60" s="20">
        <f>-ROUND(+Temporaries!K60*(1-revsens),5)</f>
        <v>0</v>
      </c>
      <c r="H60" s="20">
        <f>-ROUND(+Temporaries!L60*(1-revsens),5)</f>
        <v>0</v>
      </c>
      <c r="I60" s="20">
        <f>-ROUND(+Temporaries!V60*(1-revsens),5)</f>
        <v>0</v>
      </c>
      <c r="J60" s="20">
        <f>-ROUND(Temporaries!W60*(1-revsens),5)</f>
        <v>1.8000000000000001E-4</v>
      </c>
      <c r="K60" s="20"/>
      <c r="L60" s="20"/>
      <c r="M60" s="20"/>
      <c r="N60" s="20"/>
      <c r="O60" s="20">
        <f t="shared" si="2"/>
        <v>1.8000000000000001E-4</v>
      </c>
      <c r="Q60" s="20">
        <f>+O60+(Temporaries!AD60*(1-revsens))</f>
        <v>-1.6931999999999993E-6</v>
      </c>
    </row>
    <row r="61" spans="1:17" x14ac:dyDescent="0.25">
      <c r="A61" s="4">
        <f t="shared" si="0"/>
        <v>55</v>
      </c>
      <c r="B61" s="17"/>
      <c r="C61" s="18" t="s">
        <v>8</v>
      </c>
      <c r="D61" s="20">
        <f>-ROUND(+Temporaries!F61*(1-revsens),5)</f>
        <v>0</v>
      </c>
      <c r="E61" s="20">
        <f>-ROUND(+Temporaries!G61*(1-revsens),5)</f>
        <v>0</v>
      </c>
      <c r="F61" s="20">
        <f>-ROUND(+Temporaries!H61*(1-revsens),5)</f>
        <v>0</v>
      </c>
      <c r="G61" s="20">
        <f>-ROUND(+Temporaries!K61*(1-revsens),5)</f>
        <v>0</v>
      </c>
      <c r="H61" s="20">
        <f>-ROUND(+Temporaries!L61*(1-revsens),5)</f>
        <v>0</v>
      </c>
      <c r="I61" s="20">
        <f>-ROUND(+Temporaries!V61*(1-revsens),5)</f>
        <v>0</v>
      </c>
      <c r="J61" s="20">
        <f>-ROUND(Temporaries!W61*(1-revsens),5)</f>
        <v>1.2999999999999999E-4</v>
      </c>
      <c r="K61" s="20"/>
      <c r="L61" s="20"/>
      <c r="M61" s="20"/>
      <c r="N61" s="20"/>
      <c r="O61" s="20">
        <f t="shared" si="2"/>
        <v>1.2999999999999999E-4</v>
      </c>
      <c r="Q61" s="20">
        <f>+O61+(Temporaries!AD61*(1-revsens))</f>
        <v>-3.879199999999995E-6</v>
      </c>
    </row>
    <row r="62" spans="1:17" x14ac:dyDescent="0.25">
      <c r="A62" s="4">
        <f t="shared" si="0"/>
        <v>56</v>
      </c>
      <c r="B62" s="17"/>
      <c r="C62" s="18" t="s">
        <v>9</v>
      </c>
      <c r="D62" s="20">
        <f>-ROUND(+Temporaries!F62*(1-revsens),5)</f>
        <v>0</v>
      </c>
      <c r="E62" s="20">
        <f>-ROUND(+Temporaries!G62*(1-revsens),5)</f>
        <v>0</v>
      </c>
      <c r="F62" s="20">
        <f>-ROUND(+Temporaries!H62*(1-revsens),5)</f>
        <v>0</v>
      </c>
      <c r="G62" s="20">
        <f>-ROUND(+Temporaries!K62*(1-revsens),5)</f>
        <v>0</v>
      </c>
      <c r="H62" s="20">
        <f>-ROUND(+Temporaries!L62*(1-revsens),5)</f>
        <v>0</v>
      </c>
      <c r="I62" s="20">
        <f>-ROUND(+Temporaries!V62*(1-revsens),5)</f>
        <v>0</v>
      </c>
      <c r="J62" s="20">
        <f>-ROUND(Temporaries!W62*(1-revsens),5)</f>
        <v>1.1E-4</v>
      </c>
      <c r="K62" s="20"/>
      <c r="L62" s="20"/>
      <c r="M62" s="20"/>
      <c r="N62" s="20"/>
      <c r="O62" s="20">
        <f t="shared" si="2"/>
        <v>1.1E-4</v>
      </c>
      <c r="Q62" s="20">
        <f>+O62+(Temporaries!AD62*(1-revsens))</f>
        <v>4.8092000000000013E-6</v>
      </c>
    </row>
    <row r="63" spans="1:17" x14ac:dyDescent="0.25">
      <c r="A63" s="4">
        <f t="shared" si="0"/>
        <v>57</v>
      </c>
      <c r="B63" s="17"/>
      <c r="C63" s="18" t="s">
        <v>10</v>
      </c>
      <c r="D63" s="20">
        <f>-ROUND(+Temporaries!F63*(1-revsens),5)</f>
        <v>0</v>
      </c>
      <c r="E63" s="20">
        <f>-ROUND(+Temporaries!G63*(1-revsens),5)</f>
        <v>0</v>
      </c>
      <c r="F63" s="20">
        <f>-ROUND(+Temporaries!H63*(1-revsens),5)</f>
        <v>0</v>
      </c>
      <c r="G63" s="20">
        <f>-ROUND(+Temporaries!K63*(1-revsens),5)</f>
        <v>0</v>
      </c>
      <c r="H63" s="20">
        <f>-ROUND(+Temporaries!L63*(1-revsens),5)</f>
        <v>0</v>
      </c>
      <c r="I63" s="20">
        <f>-ROUND(+Temporaries!V63*(1-revsens),5)</f>
        <v>0</v>
      </c>
      <c r="J63" s="20">
        <f>-ROUND(Temporaries!W63*(1-revsens),5)</f>
        <v>8.0000000000000007E-5</v>
      </c>
      <c r="K63" s="20"/>
      <c r="L63" s="20"/>
      <c r="M63" s="20"/>
      <c r="N63" s="20"/>
      <c r="O63" s="20">
        <f t="shared" si="2"/>
        <v>8.0000000000000007E-5</v>
      </c>
      <c r="Q63" s="20">
        <f>+O63+(Temporaries!AD63*(1-revsens))</f>
        <v>3.4975999999999985E-6</v>
      </c>
    </row>
    <row r="64" spans="1:17" x14ac:dyDescent="0.25">
      <c r="A64" s="4">
        <f t="shared" si="0"/>
        <v>58</v>
      </c>
      <c r="B64" s="21"/>
      <c r="C64" s="22" t="s">
        <v>11</v>
      </c>
      <c r="D64" s="14">
        <f>-ROUND(+Temporaries!F64*(1-revsens),5)</f>
        <v>0</v>
      </c>
      <c r="E64" s="14">
        <f>-ROUND(+Temporaries!G64*(1-revsens),5)</f>
        <v>0</v>
      </c>
      <c r="F64" s="14">
        <f>-ROUND(+Temporaries!H64*(1-revsens),5)</f>
        <v>0</v>
      </c>
      <c r="G64" s="14">
        <f>-ROUND(+Temporaries!K64*(1-revsens),5)</f>
        <v>0</v>
      </c>
      <c r="H64" s="14">
        <f>-ROUND(+Temporaries!L64*(1-revsens),5)</f>
        <v>0</v>
      </c>
      <c r="I64" s="14">
        <f>-ROUND(+Temporaries!V64*(1-revsens),5)</f>
        <v>0</v>
      </c>
      <c r="J64" s="14">
        <f>-ROUND(Temporaries!W64*(1-revsens),5)</f>
        <v>3.0000000000000001E-5</v>
      </c>
      <c r="K64" s="14"/>
      <c r="L64" s="14"/>
      <c r="M64" s="14"/>
      <c r="N64" s="14"/>
      <c r="O64" s="14">
        <f t="shared" si="2"/>
        <v>3.0000000000000001E-5</v>
      </c>
      <c r="Q64" s="20">
        <f>+O64+(Temporaries!AD64*(1-revsens))</f>
        <v>1.3115999999999994E-6</v>
      </c>
    </row>
    <row r="65" spans="1:17" x14ac:dyDescent="0.25">
      <c r="A65" s="4">
        <f t="shared" si="0"/>
        <v>59</v>
      </c>
      <c r="B65" s="21" t="s">
        <v>167</v>
      </c>
      <c r="C65" s="21"/>
      <c r="D65" s="23">
        <f>-ROUND(+Temporaries!F65*(1-revsens),5)</f>
        <v>0</v>
      </c>
      <c r="E65" s="23">
        <f>-ROUND(+Temporaries!G65*(1-revsens),5)</f>
        <v>0</v>
      </c>
      <c r="F65" s="23">
        <f>-ROUND(+Temporaries!H65*(1-revsens),5)</f>
        <v>0</v>
      </c>
      <c r="G65" s="23">
        <f>-ROUND(+Temporaries!K65*(1-revsens),5)</f>
        <v>0</v>
      </c>
      <c r="H65" s="23">
        <f>-ROUND(+Temporaries!L65*(1-revsens),5)</f>
        <v>0</v>
      </c>
      <c r="I65" s="23">
        <f>-ROUND(+Temporaries!V65*(1-revsens),5)</f>
        <v>0</v>
      </c>
      <c r="J65" s="23">
        <f>-ROUND(Temporaries!W65*(1-revsens),5)</f>
        <v>1.0000000000000001E-5</v>
      </c>
      <c r="K65" s="14"/>
      <c r="L65" s="14"/>
      <c r="M65" s="14"/>
      <c r="N65" s="14"/>
      <c r="O65" s="23">
        <f t="shared" si="2"/>
        <v>1.0000000000000001E-5</v>
      </c>
      <c r="Q65" s="20">
        <f>+O65+(Temporaries!AD65*(1-revsens))</f>
        <v>4.3719999999999981E-7</v>
      </c>
    </row>
    <row r="66" spans="1:17" x14ac:dyDescent="0.25">
      <c r="A66" s="4">
        <f t="shared" si="0"/>
        <v>60</v>
      </c>
      <c r="B66" s="13" t="s">
        <v>168</v>
      </c>
      <c r="C66" s="13"/>
      <c r="D66" s="24">
        <f>-ROUND(+Temporaries!F66*(1-revsens),5)</f>
        <v>0</v>
      </c>
      <c r="E66" s="24">
        <f>-ROUND(+Temporaries!G66*(1-revsens),5)</f>
        <v>0</v>
      </c>
      <c r="F66" s="24">
        <f>-ROUND(+Temporaries!H66*(1-revsens),5)</f>
        <v>0</v>
      </c>
      <c r="G66" s="24">
        <f>-ROUND(+Temporaries!K66*(1-revsens),5)</f>
        <v>0</v>
      </c>
      <c r="H66" s="24">
        <f>-ROUND(+Temporaries!L66*(1-revsens),5)</f>
        <v>0</v>
      </c>
      <c r="I66" s="24">
        <f>-ROUND(+Temporaries!V66*(1-revsens),5)</f>
        <v>0</v>
      </c>
      <c r="J66" s="24">
        <f>-ROUND(Temporaries!W66*(1-revsens),5)</f>
        <v>1.0000000000000001E-5</v>
      </c>
      <c r="K66" s="14"/>
      <c r="L66" s="14"/>
      <c r="M66" s="14"/>
      <c r="N66" s="14"/>
      <c r="O66" s="24">
        <f t="shared" si="2"/>
        <v>1.0000000000000001E-5</v>
      </c>
      <c r="Q66" s="20">
        <f>+O66+(Temporaries!AD66*(1-revsens))</f>
        <v>4.3719999999999981E-7</v>
      </c>
    </row>
    <row r="67" spans="1:17" x14ac:dyDescent="0.25">
      <c r="A67" s="4">
        <f t="shared" si="0"/>
        <v>61</v>
      </c>
      <c r="B67" s="15" t="s">
        <v>217</v>
      </c>
      <c r="C67" s="13"/>
      <c r="D67" s="25">
        <f>-ROUND(+Temporaries!F67*(1-revsens),5)</f>
        <v>0</v>
      </c>
      <c r="E67" s="25">
        <f>-ROUND(+Temporaries!G67*(1-revsens),5)</f>
        <v>0</v>
      </c>
      <c r="F67" s="25">
        <f>-ROUND(+Temporaries!H67*(1-revsens),5)</f>
        <v>0</v>
      </c>
      <c r="G67" s="25">
        <f>-ROUND(+Temporaries!K67*(1-revsens),5)</f>
        <v>0</v>
      </c>
      <c r="H67" s="25">
        <f>-ROUND(+Temporaries!L67*(1-revsens),5)</f>
        <v>0</v>
      </c>
      <c r="I67" s="25">
        <f>-ROUND(+Temporaries!V67*(1-revsens),5)</f>
        <v>0</v>
      </c>
      <c r="J67" s="25">
        <f>-ROUND(Temporaries!W67*(1-revsens),5)</f>
        <v>0</v>
      </c>
      <c r="K67" s="14"/>
      <c r="L67" s="14"/>
      <c r="M67" s="14"/>
      <c r="N67" s="14"/>
      <c r="O67" s="25">
        <f t="shared" si="2"/>
        <v>0</v>
      </c>
      <c r="Q67" s="20">
        <f>+O67+(Temporaries!AD67*(1-revsens))</f>
        <v>0</v>
      </c>
    </row>
    <row r="68" spans="1:17" x14ac:dyDescent="0.25">
      <c r="A68" s="4">
        <f t="shared" si="0"/>
        <v>62</v>
      </c>
    </row>
    <row r="69" spans="1:17" ht="13.8" thickBot="1" x14ac:dyDescent="0.3">
      <c r="A69" s="4">
        <f t="shared" si="0"/>
        <v>63</v>
      </c>
      <c r="B69" s="26" t="s">
        <v>171</v>
      </c>
    </row>
    <row r="70" spans="1:17" ht="13.8" thickBot="1" x14ac:dyDescent="0.3">
      <c r="A70" s="4">
        <f t="shared" si="0"/>
        <v>64</v>
      </c>
      <c r="B70" s="27" t="s">
        <v>533</v>
      </c>
      <c r="C70" s="28"/>
      <c r="D70" s="30" t="s">
        <v>534</v>
      </c>
      <c r="E70" s="30" t="s">
        <v>535</v>
      </c>
      <c r="F70" s="30" t="s">
        <v>68</v>
      </c>
      <c r="G70" s="30" t="s">
        <v>536</v>
      </c>
      <c r="H70" s="30" t="s">
        <v>265</v>
      </c>
      <c r="I70" s="30" t="s">
        <v>177</v>
      </c>
      <c r="J70" s="30" t="s">
        <v>534</v>
      </c>
      <c r="K70" s="30" t="s">
        <v>534</v>
      </c>
      <c r="L70" s="30" t="s">
        <v>534</v>
      </c>
      <c r="M70" s="30" t="s">
        <v>534</v>
      </c>
      <c r="N70" s="30" t="s">
        <v>534</v>
      </c>
      <c r="O70" s="518"/>
    </row>
    <row r="71" spans="1:17" x14ac:dyDescent="0.25">
      <c r="A71" s="4">
        <f t="shared" si="0"/>
        <v>65</v>
      </c>
    </row>
    <row r="72" spans="1:17" x14ac:dyDescent="0.25">
      <c r="A72" s="31"/>
    </row>
    <row r="73" spans="1:17" x14ac:dyDescent="0.25">
      <c r="A73" s="31"/>
    </row>
    <row r="74" spans="1:17" x14ac:dyDescent="0.25">
      <c r="A74" s="31"/>
    </row>
    <row r="75" spans="1:17" x14ac:dyDescent="0.25">
      <c r="A75" s="31"/>
    </row>
    <row r="76" spans="1:17" x14ac:dyDescent="0.25">
      <c r="A76" s="31"/>
    </row>
    <row r="77" spans="1:17" x14ac:dyDescent="0.25">
      <c r="A77" s="31"/>
    </row>
    <row r="78" spans="1:17" x14ac:dyDescent="0.25">
      <c r="A78" s="31"/>
    </row>
    <row r="79" spans="1:17" x14ac:dyDescent="0.25">
      <c r="A79" s="31"/>
    </row>
    <row r="80" spans="1:17" x14ac:dyDescent="0.25">
      <c r="A80" s="31"/>
    </row>
    <row r="81" spans="1:1" x14ac:dyDescent="0.25">
      <c r="A81" s="31"/>
    </row>
    <row r="82" spans="1:1" x14ac:dyDescent="0.25">
      <c r="A82" s="31"/>
    </row>
    <row r="83" spans="1:1" x14ac:dyDescent="0.25">
      <c r="A83" s="31"/>
    </row>
    <row r="84" spans="1:1" x14ac:dyDescent="0.25">
      <c r="A84" s="31"/>
    </row>
    <row r="85" spans="1:1" x14ac:dyDescent="0.25">
      <c r="A85" s="31"/>
    </row>
    <row r="86" spans="1:1" x14ac:dyDescent="0.25">
      <c r="A86" s="31"/>
    </row>
    <row r="87" spans="1:1" x14ac:dyDescent="0.25">
      <c r="A87" s="31"/>
    </row>
    <row r="88" spans="1:1" x14ac:dyDescent="0.25">
      <c r="A88" s="31"/>
    </row>
    <row r="89" spans="1:1" x14ac:dyDescent="0.25">
      <c r="A89" s="31"/>
    </row>
    <row r="90" spans="1:1" x14ac:dyDescent="0.25">
      <c r="A90" s="31"/>
    </row>
    <row r="91" spans="1:1" x14ac:dyDescent="0.25">
      <c r="A91" s="31"/>
    </row>
    <row r="92" spans="1:1" x14ac:dyDescent="0.25">
      <c r="A92" s="31"/>
    </row>
    <row r="93" spans="1:1" x14ac:dyDescent="0.25">
      <c r="A93" s="31"/>
    </row>
    <row r="94" spans="1:1" x14ac:dyDescent="0.25">
      <c r="A94" s="31"/>
    </row>
    <row r="95" spans="1:1" x14ac:dyDescent="0.25">
      <c r="A95" s="31"/>
    </row>
    <row r="96" spans="1:1" x14ac:dyDescent="0.25">
      <c r="A96" s="31"/>
    </row>
    <row r="97" spans="1:1" x14ac:dyDescent="0.25">
      <c r="A97" s="31"/>
    </row>
    <row r="98" spans="1:1" x14ac:dyDescent="0.25">
      <c r="A98" s="31"/>
    </row>
    <row r="99" spans="1:1" x14ac:dyDescent="0.25">
      <c r="A99" s="31"/>
    </row>
    <row r="100" spans="1:1" x14ac:dyDescent="0.25">
      <c r="A100" s="31"/>
    </row>
    <row r="101" spans="1:1" x14ac:dyDescent="0.25">
      <c r="A101" s="31"/>
    </row>
    <row r="102" spans="1:1" x14ac:dyDescent="0.25">
      <c r="A102" s="31"/>
    </row>
    <row r="103" spans="1:1" x14ac:dyDescent="0.25">
      <c r="A103" s="31"/>
    </row>
    <row r="104" spans="1:1" x14ac:dyDescent="0.25">
      <c r="A104" s="31"/>
    </row>
    <row r="105" spans="1:1" x14ac:dyDescent="0.25">
      <c r="A105" s="31"/>
    </row>
    <row r="106" spans="1:1" x14ac:dyDescent="0.25">
      <c r="A106" s="31"/>
    </row>
    <row r="107" spans="1:1" x14ac:dyDescent="0.25">
      <c r="A107" s="31"/>
    </row>
    <row r="108" spans="1:1" x14ac:dyDescent="0.25">
      <c r="A108" s="31"/>
    </row>
    <row r="109" spans="1:1" x14ac:dyDescent="0.25">
      <c r="A109" s="31"/>
    </row>
    <row r="110" spans="1:1" x14ac:dyDescent="0.25">
      <c r="A110" s="31"/>
    </row>
    <row r="111" spans="1:1" x14ac:dyDescent="0.25">
      <c r="A111" s="31"/>
    </row>
    <row r="112" spans="1:1" x14ac:dyDescent="0.25">
      <c r="A112" s="31"/>
    </row>
    <row r="113" spans="1:1" x14ac:dyDescent="0.25">
      <c r="A113" s="31"/>
    </row>
    <row r="114" spans="1:1" x14ac:dyDescent="0.25">
      <c r="A114" s="31"/>
    </row>
    <row r="115" spans="1:1" x14ac:dyDescent="0.25">
      <c r="A115" s="31"/>
    </row>
    <row r="116" spans="1:1" x14ac:dyDescent="0.25">
      <c r="A116" s="31"/>
    </row>
    <row r="117" spans="1:1" x14ac:dyDescent="0.25">
      <c r="A117" s="31"/>
    </row>
    <row r="118" spans="1:1" x14ac:dyDescent="0.25">
      <c r="A118" s="31"/>
    </row>
    <row r="119" spans="1:1" x14ac:dyDescent="0.25">
      <c r="A119" s="31"/>
    </row>
    <row r="120" spans="1:1" x14ac:dyDescent="0.25">
      <c r="A120" s="31"/>
    </row>
    <row r="121" spans="1:1" x14ac:dyDescent="0.25">
      <c r="A121" s="31"/>
    </row>
    <row r="122" spans="1:1" x14ac:dyDescent="0.25">
      <c r="A122" s="31"/>
    </row>
    <row r="123" spans="1:1" x14ac:dyDescent="0.25">
      <c r="A123" s="31"/>
    </row>
    <row r="124" spans="1:1" x14ac:dyDescent="0.25">
      <c r="A124" s="31"/>
    </row>
    <row r="125" spans="1:1" x14ac:dyDescent="0.25">
      <c r="A125" s="31"/>
    </row>
    <row r="126" spans="1:1" x14ac:dyDescent="0.25">
      <c r="A126" s="31"/>
    </row>
    <row r="127" spans="1:1" x14ac:dyDescent="0.25">
      <c r="A127" s="31"/>
    </row>
    <row r="128" spans="1:1" x14ac:dyDescent="0.25">
      <c r="A128" s="31"/>
    </row>
    <row r="129" spans="1:1" x14ac:dyDescent="0.25">
      <c r="A129" s="31"/>
    </row>
    <row r="130" spans="1:1" x14ac:dyDescent="0.25">
      <c r="A130" s="31"/>
    </row>
    <row r="131" spans="1:1" x14ac:dyDescent="0.25">
      <c r="A131" s="31"/>
    </row>
  </sheetData>
  <phoneticPr fontId="2" type="noConversion"/>
  <printOptions horizontalCentered="1"/>
  <pageMargins left="0.25" right="0.25" top="0.5" bottom="0.5" header="0.25" footer="0.25"/>
  <pageSetup scale="62" orientation="portrait" r:id="rId1"/>
  <headerFooter alignWithMargins="0">
    <oddFooter>&amp;C&amp;F &amp;D &amp;T
&amp;A</oddFooter>
  </headerFooter>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91"/>
  <sheetViews>
    <sheetView zoomScale="75" workbookViewId="0">
      <selection activeCell="I1" sqref="I1:O90"/>
    </sheetView>
  </sheetViews>
  <sheetFormatPr defaultColWidth="8.88671875" defaultRowHeight="13.2" x14ac:dyDescent="0.25"/>
  <cols>
    <col min="1" max="1" width="8.88671875" style="243" customWidth="1"/>
    <col min="2" max="12" width="14.88671875" style="243" customWidth="1"/>
    <col min="13" max="13" width="17.44140625" style="243" customWidth="1"/>
    <col min="14" max="14" width="18" style="243" customWidth="1"/>
    <col min="15" max="23" width="14.88671875" style="243" customWidth="1"/>
    <col min="24" max="16384" width="8.88671875" style="243"/>
  </cols>
  <sheetData>
    <row r="1" spans="1:16" ht="13.8" thickBot="1" x14ac:dyDescent="0.3">
      <c r="I1" s="244" t="s">
        <v>283</v>
      </c>
      <c r="M1" s="363">
        <f ca="1">NOW()</f>
        <v>43766.592570370369</v>
      </c>
    </row>
    <row r="2" spans="1:16" ht="15.6" thickTop="1" x14ac:dyDescent="0.25">
      <c r="A2" s="245">
        <v>3</v>
      </c>
      <c r="B2" s="246" t="s">
        <v>284</v>
      </c>
      <c r="C2" s="247"/>
      <c r="D2" s="247"/>
      <c r="E2" s="247"/>
      <c r="F2" s="247"/>
      <c r="G2" s="247"/>
      <c r="H2" s="248"/>
      <c r="I2" s="246" t="s">
        <v>181</v>
      </c>
      <c r="J2" s="247"/>
      <c r="K2" s="247"/>
      <c r="L2" s="247"/>
      <c r="M2" s="247"/>
      <c r="N2" s="247"/>
      <c r="O2" s="248"/>
    </row>
    <row r="3" spans="1:16" x14ac:dyDescent="0.25">
      <c r="A3" s="245">
        <v>3</v>
      </c>
      <c r="B3" s="249"/>
      <c r="C3" s="250" t="s">
        <v>285</v>
      </c>
      <c r="D3" s="250" t="s">
        <v>286</v>
      </c>
      <c r="E3" s="250" t="s">
        <v>287</v>
      </c>
      <c r="F3" s="250" t="s">
        <v>288</v>
      </c>
      <c r="G3" s="250" t="s">
        <v>289</v>
      </c>
      <c r="H3" s="251" t="s">
        <v>229</v>
      </c>
      <c r="I3" s="249"/>
      <c r="J3" s="250" t="s">
        <v>285</v>
      </c>
      <c r="K3" s="250" t="s">
        <v>286</v>
      </c>
      <c r="L3" s="250" t="s">
        <v>287</v>
      </c>
      <c r="M3" s="250" t="s">
        <v>288</v>
      </c>
      <c r="N3" s="250" t="s">
        <v>289</v>
      </c>
      <c r="O3" s="251" t="s">
        <v>229</v>
      </c>
    </row>
    <row r="4" spans="1:16" x14ac:dyDescent="0.25">
      <c r="A4" s="245">
        <v>3</v>
      </c>
      <c r="B4" s="252" t="s">
        <v>290</v>
      </c>
      <c r="C4" s="253"/>
      <c r="D4" s="253"/>
      <c r="E4" s="253"/>
      <c r="F4" s="253"/>
      <c r="G4" s="253"/>
      <c r="H4" s="254"/>
      <c r="I4" s="252" t="s">
        <v>290</v>
      </c>
      <c r="J4" s="253"/>
      <c r="K4" s="253"/>
      <c r="L4" s="253"/>
      <c r="M4" s="253"/>
      <c r="N4" s="253"/>
      <c r="O4" s="254">
        <f>+'Avg Bill by RS'!G16</f>
        <v>15</v>
      </c>
    </row>
    <row r="5" spans="1:16" x14ac:dyDescent="0.25">
      <c r="A5" s="245">
        <v>3</v>
      </c>
      <c r="B5" s="252" t="s">
        <v>47</v>
      </c>
      <c r="C5" s="255"/>
      <c r="D5" s="255"/>
      <c r="E5" s="255"/>
      <c r="F5" s="255"/>
      <c r="G5" s="255"/>
      <c r="H5" s="256"/>
      <c r="I5" s="252" t="s">
        <v>47</v>
      </c>
      <c r="J5" s="255">
        <f>+'Rates in detail'!V16-Inputs!B16-Inputs!B18-Temporaries!AD16</f>
        <v>0.41858000000000012</v>
      </c>
      <c r="K5" s="255">
        <v>0</v>
      </c>
      <c r="L5" s="255">
        <f>+Inputs!B18</f>
        <v>0.1113</v>
      </c>
      <c r="M5" s="255">
        <f>+Inputs!B16</f>
        <v>0.22356000000000001</v>
      </c>
      <c r="N5" s="255">
        <f>+Temporaries!AD16</f>
        <v>-1.8099999999999991E-2</v>
      </c>
      <c r="O5" s="256">
        <f>SUM(J5:N5)</f>
        <v>0.7353400000000001</v>
      </c>
      <c r="P5" s="301">
        <f>+O5-'Rates in summary'!Q16</f>
        <v>0</v>
      </c>
    </row>
    <row r="6" spans="1:16" ht="13.8" thickBot="1" x14ac:dyDescent="0.3">
      <c r="A6" s="245">
        <v>3</v>
      </c>
      <c r="B6" s="257" t="s">
        <v>232</v>
      </c>
      <c r="C6" s="258"/>
      <c r="D6" s="258"/>
      <c r="E6" s="259"/>
      <c r="F6" s="259"/>
      <c r="G6" s="258"/>
      <c r="H6" s="260"/>
      <c r="I6" s="257" t="s">
        <v>232</v>
      </c>
      <c r="J6" s="258">
        <f>+'Rates in detail'!V17-Inputs!B16-Inputs!B18-Temporaries!AD17</f>
        <v>0.41844999999999954</v>
      </c>
      <c r="K6" s="258">
        <v>0</v>
      </c>
      <c r="L6" s="259" t="s">
        <v>291</v>
      </c>
      <c r="M6" s="259" t="s">
        <v>291</v>
      </c>
      <c r="N6" s="258">
        <f>+Temporaries!AD17</f>
        <v>-4.8729999999999996E-2</v>
      </c>
      <c r="O6" s="260">
        <f>N6+M5+L5+K6+J6</f>
        <v>0.70457999999999954</v>
      </c>
      <c r="P6" s="301">
        <f>+O6-'Rates in summary'!Q17</f>
        <v>0</v>
      </c>
    </row>
    <row r="7" spans="1:16" ht="13.8" thickTop="1" x14ac:dyDescent="0.25">
      <c r="H7" s="261"/>
    </row>
    <row r="8" spans="1:16" ht="15" x14ac:dyDescent="0.25">
      <c r="A8" s="262" t="s">
        <v>292</v>
      </c>
      <c r="B8" s="263" t="s">
        <v>284</v>
      </c>
      <c r="I8" s="263" t="s">
        <v>181</v>
      </c>
      <c r="O8" s="264"/>
    </row>
    <row r="9" spans="1:16" ht="13.8" thickBot="1" x14ac:dyDescent="0.3">
      <c r="A9" s="262" t="s">
        <v>292</v>
      </c>
      <c r="C9" s="265"/>
      <c r="D9" s="266" t="s">
        <v>285</v>
      </c>
      <c r="E9" s="266" t="s">
        <v>286</v>
      </c>
      <c r="F9" s="266" t="s">
        <v>288</v>
      </c>
      <c r="G9" s="266" t="s">
        <v>289</v>
      </c>
      <c r="H9" s="266" t="s">
        <v>229</v>
      </c>
      <c r="J9" s="265"/>
      <c r="K9" s="266" t="s">
        <v>285</v>
      </c>
      <c r="L9" s="266" t="s">
        <v>286</v>
      </c>
      <c r="M9" s="266" t="s">
        <v>288</v>
      </c>
      <c r="N9" s="266" t="s">
        <v>289</v>
      </c>
      <c r="O9" s="266" t="s">
        <v>229</v>
      </c>
    </row>
    <row r="10" spans="1:16" ht="13.8" thickTop="1" x14ac:dyDescent="0.25">
      <c r="A10" s="262" t="s">
        <v>292</v>
      </c>
      <c r="B10" s="267" t="s">
        <v>293</v>
      </c>
      <c r="C10" s="247" t="s">
        <v>294</v>
      </c>
      <c r="D10" s="247"/>
      <c r="E10" s="247"/>
      <c r="F10" s="247"/>
      <c r="G10" s="247"/>
      <c r="H10" s="268"/>
      <c r="I10" s="267" t="s">
        <v>295</v>
      </c>
      <c r="J10" s="247" t="s">
        <v>294</v>
      </c>
      <c r="K10" s="247"/>
      <c r="L10" s="247"/>
      <c r="M10" s="247"/>
      <c r="N10" s="247"/>
      <c r="O10" s="268">
        <f>+'Avg Bill by RS'!G19</f>
        <v>250</v>
      </c>
    </row>
    <row r="11" spans="1:16" x14ac:dyDescent="0.25">
      <c r="A11" s="262" t="s">
        <v>292</v>
      </c>
      <c r="B11" s="252"/>
      <c r="C11" s="265" t="s">
        <v>6</v>
      </c>
      <c r="D11" s="255"/>
      <c r="E11" s="255"/>
      <c r="F11" s="255"/>
      <c r="G11" s="255"/>
      <c r="H11" s="256"/>
      <c r="I11" s="252"/>
      <c r="J11" s="265" t="s">
        <v>6</v>
      </c>
      <c r="K11" s="255">
        <f>+'Rates in detail'!V19-Inputs!B16-Temporaries!AD19</f>
        <v>0.30164000000000019</v>
      </c>
      <c r="L11" s="255">
        <v>0</v>
      </c>
      <c r="M11" s="255">
        <f>+Inputs!B16</f>
        <v>0.22356000000000001</v>
      </c>
      <c r="N11" s="255">
        <f>+Temporaries!AD19</f>
        <v>-2.5939999999999998E-2</v>
      </c>
      <c r="O11" s="256">
        <f>SUM(K11:N11)</f>
        <v>0.4992600000000002</v>
      </c>
      <c r="P11" s="301">
        <f>+O11-'Rates in detail'!V19</f>
        <v>0</v>
      </c>
    </row>
    <row r="12" spans="1:16" x14ac:dyDescent="0.25">
      <c r="A12" s="262" t="s">
        <v>292</v>
      </c>
      <c r="B12" s="252"/>
      <c r="C12" s="265" t="s">
        <v>7</v>
      </c>
      <c r="D12" s="255"/>
      <c r="E12" s="255"/>
      <c r="F12" s="269"/>
      <c r="G12" s="255"/>
      <c r="H12" s="256"/>
      <c r="I12" s="252"/>
      <c r="J12" s="265" t="s">
        <v>7</v>
      </c>
      <c r="K12" s="255">
        <f>+'Rates in detail'!V20-Inputs!B16-Temporaries!AD20</f>
        <v>0.26579000000000003</v>
      </c>
      <c r="L12" s="255">
        <v>0</v>
      </c>
      <c r="M12" s="269" t="s">
        <v>291</v>
      </c>
      <c r="N12" s="255">
        <f>+Temporaries!AD20</f>
        <v>-2.9169999999999995E-2</v>
      </c>
      <c r="O12" s="256">
        <f>N12+M11+L12+K12</f>
        <v>0.46018000000000003</v>
      </c>
      <c r="P12" s="301">
        <f>+O12-'Rates in detail'!V20</f>
        <v>0</v>
      </c>
    </row>
    <row r="13" spans="1:16" x14ac:dyDescent="0.25">
      <c r="A13" s="262" t="s">
        <v>292</v>
      </c>
      <c r="B13" s="252"/>
      <c r="C13" s="265" t="s">
        <v>296</v>
      </c>
      <c r="D13" s="255"/>
      <c r="E13" s="255"/>
      <c r="F13" s="269"/>
      <c r="G13" s="255"/>
      <c r="H13" s="270"/>
      <c r="I13" s="252"/>
      <c r="J13" s="265" t="s">
        <v>296</v>
      </c>
      <c r="K13" s="255"/>
      <c r="L13" s="255"/>
      <c r="M13" s="269"/>
      <c r="N13" s="255"/>
      <c r="O13" s="270">
        <f>+Inputs!B18</f>
        <v>0.1113</v>
      </c>
    </row>
    <row r="14" spans="1:16" ht="13.8" thickBot="1" x14ac:dyDescent="0.3">
      <c r="A14" s="262" t="s">
        <v>292</v>
      </c>
      <c r="B14" s="257"/>
      <c r="C14" s="271" t="s">
        <v>297</v>
      </c>
      <c r="D14" s="271"/>
      <c r="E14" s="271"/>
      <c r="F14" s="272"/>
      <c r="G14" s="271"/>
      <c r="H14" s="273"/>
      <c r="I14" s="257"/>
      <c r="J14" s="271" t="s">
        <v>297</v>
      </c>
      <c r="K14" s="271"/>
      <c r="L14" s="271"/>
      <c r="M14" s="272"/>
      <c r="N14" s="271"/>
      <c r="O14" s="273">
        <f>+Inputs!B22</f>
        <v>1.66</v>
      </c>
    </row>
    <row r="15" spans="1:16" ht="13.8" thickTop="1" x14ac:dyDescent="0.25">
      <c r="A15" s="262" t="s">
        <v>292</v>
      </c>
      <c r="B15" s="274" t="s">
        <v>298</v>
      </c>
      <c r="C15" s="275" t="s">
        <v>294</v>
      </c>
      <c r="D15" s="275"/>
      <c r="E15" s="275"/>
      <c r="F15" s="276"/>
      <c r="G15" s="275"/>
      <c r="H15" s="277"/>
      <c r="I15" s="274" t="s">
        <v>299</v>
      </c>
      <c r="J15" s="275" t="s">
        <v>294</v>
      </c>
      <c r="K15" s="275"/>
      <c r="L15" s="275"/>
      <c r="M15" s="276"/>
      <c r="N15" s="275"/>
      <c r="O15" s="277" t="s">
        <v>291</v>
      </c>
    </row>
    <row r="16" spans="1:16" x14ac:dyDescent="0.25">
      <c r="A16" s="262" t="s">
        <v>292</v>
      </c>
      <c r="B16" s="278"/>
      <c r="C16" s="279" t="s">
        <v>6</v>
      </c>
      <c r="D16" s="280"/>
      <c r="E16" s="280"/>
      <c r="F16" s="281"/>
      <c r="G16" s="280"/>
      <c r="H16" s="282"/>
      <c r="I16" s="278"/>
      <c r="J16" s="279" t="s">
        <v>6</v>
      </c>
      <c r="K16" s="280">
        <f>+'Rates in detail'!V21-Inputs!B16-Temporaries!AD21</f>
        <v>0.30140999999999996</v>
      </c>
      <c r="L16" s="280">
        <v>0</v>
      </c>
      <c r="M16" s="281" t="s">
        <v>291</v>
      </c>
      <c r="N16" s="280">
        <f>+'Rates in detail'!N21</f>
        <v>-9.779999999999997E-3</v>
      </c>
      <c r="O16" s="291">
        <f>N16+M11+L16+K16</f>
        <v>0.51519000000000004</v>
      </c>
      <c r="P16" s="301">
        <f>+O16-'Rates in detail'!V21</f>
        <v>0</v>
      </c>
    </row>
    <row r="17" spans="1:16" x14ac:dyDescent="0.25">
      <c r="A17" s="262" t="s">
        <v>292</v>
      </c>
      <c r="B17" s="278"/>
      <c r="C17" s="279" t="s">
        <v>7</v>
      </c>
      <c r="D17" s="280"/>
      <c r="E17" s="280"/>
      <c r="F17" s="283"/>
      <c r="G17" s="280"/>
      <c r="H17" s="282"/>
      <c r="I17" s="278"/>
      <c r="J17" s="279" t="s">
        <v>7</v>
      </c>
      <c r="K17" s="280">
        <f>+'Rates in detail'!V22-Inputs!B16-Temporaries!AD22</f>
        <v>0.26555999999999991</v>
      </c>
      <c r="L17" s="280">
        <v>0</v>
      </c>
      <c r="M17" s="281" t="s">
        <v>291</v>
      </c>
      <c r="N17" s="280">
        <f>+'Rates in detail'!N22</f>
        <v>-1.286E-2</v>
      </c>
      <c r="O17" s="291">
        <f>N17+M11+L17+K17</f>
        <v>0.47625999999999991</v>
      </c>
      <c r="P17" s="301">
        <f>+O17-'Rates in detail'!V22</f>
        <v>0</v>
      </c>
    </row>
    <row r="18" spans="1:16" ht="13.8" thickBot="1" x14ac:dyDescent="0.3">
      <c r="A18" s="262" t="s">
        <v>292</v>
      </c>
      <c r="B18" s="284"/>
      <c r="C18" s="285" t="s">
        <v>300</v>
      </c>
      <c r="D18" s="285"/>
      <c r="E18" s="285"/>
      <c r="F18" s="285"/>
      <c r="G18" s="285"/>
      <c r="H18" s="286"/>
      <c r="I18" s="284"/>
      <c r="J18" s="285" t="s">
        <v>300</v>
      </c>
      <c r="K18" s="285"/>
      <c r="L18" s="285"/>
      <c r="M18" s="285"/>
      <c r="N18" s="285"/>
      <c r="O18" s="286">
        <f>+Inputs!B20</f>
        <v>3.8879999999999998E-2</v>
      </c>
    </row>
    <row r="19" spans="1:16" ht="13.8" thickTop="1" x14ac:dyDescent="0.25">
      <c r="A19" s="262" t="s">
        <v>292</v>
      </c>
      <c r="B19" s="267" t="s">
        <v>301</v>
      </c>
      <c r="C19" s="247" t="s">
        <v>302</v>
      </c>
      <c r="D19" s="247"/>
      <c r="E19" s="247"/>
      <c r="F19" s="247"/>
      <c r="G19" s="247"/>
      <c r="H19" s="287"/>
      <c r="I19" s="267" t="s">
        <v>303</v>
      </c>
      <c r="J19" s="247" t="s">
        <v>302</v>
      </c>
      <c r="K19" s="247"/>
      <c r="L19" s="247"/>
      <c r="M19" s="247"/>
      <c r="N19" s="247"/>
      <c r="O19" s="287" t="s">
        <v>291</v>
      </c>
    </row>
    <row r="20" spans="1:16" x14ac:dyDescent="0.25">
      <c r="A20" s="262" t="s">
        <v>292</v>
      </c>
      <c r="B20" s="252"/>
      <c r="C20" s="265" t="s">
        <v>304</v>
      </c>
      <c r="D20" s="265"/>
      <c r="E20" s="265"/>
      <c r="F20" s="265"/>
      <c r="G20" s="265"/>
      <c r="H20" s="254"/>
      <c r="I20" s="252"/>
      <c r="J20" s="265" t="s">
        <v>304</v>
      </c>
      <c r="K20" s="265"/>
      <c r="L20" s="265"/>
      <c r="M20" s="265"/>
      <c r="N20" s="265"/>
      <c r="O20" s="254">
        <f>+'Avg Bill by RS'!G25-'Avg Bill by RS'!G19</f>
        <v>250</v>
      </c>
    </row>
    <row r="21" spans="1:16" x14ac:dyDescent="0.25">
      <c r="A21" s="262" t="s">
        <v>292</v>
      </c>
      <c r="B21" s="252"/>
      <c r="C21" s="265" t="s">
        <v>6</v>
      </c>
      <c r="D21" s="255"/>
      <c r="E21" s="255"/>
      <c r="F21" s="266"/>
      <c r="G21" s="255"/>
      <c r="H21" s="288"/>
      <c r="I21" s="252"/>
      <c r="J21" s="265" t="s">
        <v>6</v>
      </c>
      <c r="K21" s="418">
        <f>+'Rates in detail'!V23-Temporaries!AD23</f>
        <v>0.30076999999999998</v>
      </c>
      <c r="L21" s="255">
        <v>0</v>
      </c>
      <c r="M21" s="266" t="s">
        <v>305</v>
      </c>
      <c r="N21" s="255">
        <f>+Temporaries!AD23</f>
        <v>-5.8E-4</v>
      </c>
      <c r="O21" s="288">
        <f>N21+L21+K21</f>
        <v>0.30018999999999996</v>
      </c>
      <c r="P21" s="301">
        <f>+O21-'Rates in detail'!V23</f>
        <v>0</v>
      </c>
    </row>
    <row r="22" spans="1:16" ht="13.8" thickBot="1" x14ac:dyDescent="0.3">
      <c r="A22" s="262" t="s">
        <v>292</v>
      </c>
      <c r="B22" s="257"/>
      <c r="C22" s="271" t="s">
        <v>7</v>
      </c>
      <c r="D22" s="255"/>
      <c r="E22" s="255"/>
      <c r="F22" s="289"/>
      <c r="G22" s="255"/>
      <c r="H22" s="290"/>
      <c r="I22" s="257"/>
      <c r="J22" s="271" t="s">
        <v>7</v>
      </c>
      <c r="K22" s="418">
        <f>+'Rates in detail'!V24-Temporaries!AD24</f>
        <v>0.26500000000000001</v>
      </c>
      <c r="L22" s="258">
        <v>0</v>
      </c>
      <c r="M22" s="289" t="s">
        <v>305</v>
      </c>
      <c r="N22" s="255">
        <f>+Temporaries!AD24</f>
        <v>-5.1000000000000004E-4</v>
      </c>
      <c r="O22" s="290">
        <f>N22+L22+K22</f>
        <v>0.26449</v>
      </c>
      <c r="P22" s="301">
        <f>+O22-'Rates in detail'!V24</f>
        <v>0</v>
      </c>
    </row>
    <row r="23" spans="1:16" ht="13.8" thickTop="1" x14ac:dyDescent="0.25">
      <c r="A23" s="262" t="s">
        <v>292</v>
      </c>
      <c r="B23" s="274" t="s">
        <v>306</v>
      </c>
      <c r="C23" s="275" t="s">
        <v>294</v>
      </c>
      <c r="D23" s="275"/>
      <c r="E23" s="275"/>
      <c r="F23" s="275"/>
      <c r="G23" s="275"/>
      <c r="H23" s="277"/>
      <c r="I23" s="274" t="s">
        <v>307</v>
      </c>
      <c r="J23" s="275" t="s">
        <v>294</v>
      </c>
      <c r="K23" s="275"/>
      <c r="L23" s="275"/>
      <c r="M23" s="275"/>
      <c r="N23" s="275"/>
      <c r="O23" s="277" t="s">
        <v>291</v>
      </c>
    </row>
    <row r="24" spans="1:16" x14ac:dyDescent="0.25">
      <c r="A24" s="262" t="s">
        <v>292</v>
      </c>
      <c r="B24" s="278"/>
      <c r="C24" s="279" t="s">
        <v>6</v>
      </c>
      <c r="D24" s="280"/>
      <c r="E24" s="280"/>
      <c r="F24" s="281"/>
      <c r="G24" s="280"/>
      <c r="H24" s="291"/>
      <c r="I24" s="278"/>
      <c r="J24" s="279" t="s">
        <v>6</v>
      </c>
      <c r="K24" s="280">
        <f>+'Rates in detail'!V25-Inputs!B16-Temporaries!AD25</f>
        <v>0.30168000000000023</v>
      </c>
      <c r="L24" s="280">
        <v>0</v>
      </c>
      <c r="M24" s="281" t="s">
        <v>291</v>
      </c>
      <c r="N24" s="280">
        <f>+'Rates in detail'!N25</f>
        <v>-4.9319999999999996E-2</v>
      </c>
      <c r="O24" s="291">
        <f>N24+M11+L24+K24</f>
        <v>0.47592000000000023</v>
      </c>
      <c r="P24" s="301">
        <f>+O24-'Rates in detail'!V25</f>
        <v>0</v>
      </c>
    </row>
    <row r="25" spans="1:16" x14ac:dyDescent="0.25">
      <c r="A25" s="262" t="s">
        <v>292</v>
      </c>
      <c r="B25" s="278"/>
      <c r="C25" s="279" t="s">
        <v>7</v>
      </c>
      <c r="D25" s="280"/>
      <c r="E25" s="280"/>
      <c r="F25" s="281"/>
      <c r="G25" s="280"/>
      <c r="H25" s="291"/>
      <c r="I25" s="278"/>
      <c r="J25" s="279" t="s">
        <v>7</v>
      </c>
      <c r="K25" s="280">
        <f>+'Rates in detail'!V26-Inputs!B16-Temporaries!AD26</f>
        <v>0.26581999999999989</v>
      </c>
      <c r="L25" s="280">
        <v>0</v>
      </c>
      <c r="M25" s="281" t="s">
        <v>291</v>
      </c>
      <c r="N25" s="280">
        <f>+'Rates in detail'!N26</f>
        <v>-4.9779999999999998E-2</v>
      </c>
      <c r="O25" s="291">
        <f>N25+M11+L25+K25</f>
        <v>0.43959999999999988</v>
      </c>
      <c r="P25" s="301">
        <f>+O25-'Rates in detail'!V26</f>
        <v>0</v>
      </c>
    </row>
    <row r="26" spans="1:16" x14ac:dyDescent="0.25">
      <c r="A26" s="262" t="s">
        <v>292</v>
      </c>
      <c r="B26" s="278"/>
      <c r="C26" s="279" t="s">
        <v>296</v>
      </c>
      <c r="D26" s="280"/>
      <c r="E26" s="280"/>
      <c r="F26" s="281"/>
      <c r="G26" s="280"/>
      <c r="H26" s="291"/>
      <c r="I26" s="278"/>
      <c r="J26" s="279" t="s">
        <v>296</v>
      </c>
      <c r="K26" s="280"/>
      <c r="L26" s="280"/>
      <c r="M26" s="281"/>
      <c r="N26" s="280"/>
      <c r="O26" s="291" t="s">
        <v>291</v>
      </c>
    </row>
    <row r="27" spans="1:16" ht="13.8" thickBot="1" x14ac:dyDescent="0.3">
      <c r="A27" s="262" t="s">
        <v>292</v>
      </c>
      <c r="B27" s="284"/>
      <c r="C27" s="285" t="s">
        <v>297</v>
      </c>
      <c r="D27" s="285"/>
      <c r="E27" s="285"/>
      <c r="F27" s="292"/>
      <c r="G27" s="285"/>
      <c r="H27" s="293"/>
      <c r="I27" s="284"/>
      <c r="J27" s="285" t="s">
        <v>297</v>
      </c>
      <c r="K27" s="285"/>
      <c r="L27" s="285"/>
      <c r="M27" s="292"/>
      <c r="N27" s="285"/>
      <c r="O27" s="293" t="s">
        <v>291</v>
      </c>
    </row>
    <row r="28" spans="1:16" ht="13.8" thickTop="1" x14ac:dyDescent="0.25">
      <c r="A28" s="262" t="s">
        <v>292</v>
      </c>
      <c r="B28" s="267" t="s">
        <v>308</v>
      </c>
      <c r="C28" s="247" t="s">
        <v>294</v>
      </c>
      <c r="D28" s="247"/>
      <c r="E28" s="247"/>
      <c r="F28" s="294"/>
      <c r="G28" s="247"/>
      <c r="H28" s="287"/>
      <c r="I28" s="267" t="s">
        <v>309</v>
      </c>
      <c r="J28" s="247" t="s">
        <v>294</v>
      </c>
      <c r="K28" s="247"/>
      <c r="L28" s="247"/>
      <c r="M28" s="294"/>
      <c r="N28" s="247"/>
      <c r="O28" s="287" t="s">
        <v>291</v>
      </c>
    </row>
    <row r="29" spans="1:16" x14ac:dyDescent="0.25">
      <c r="A29" s="262" t="s">
        <v>292</v>
      </c>
      <c r="B29" s="252"/>
      <c r="C29" s="265" t="s">
        <v>6</v>
      </c>
      <c r="D29" s="255"/>
      <c r="E29" s="255"/>
      <c r="F29" s="269"/>
      <c r="G29" s="255"/>
      <c r="H29" s="295"/>
      <c r="I29" s="252"/>
      <c r="J29" s="265" t="s">
        <v>6</v>
      </c>
      <c r="K29" s="255">
        <f>+'Rates in detail'!V27-Inputs!B16-Temporaries!AD27</f>
        <v>0.30141000000000001</v>
      </c>
      <c r="L29" s="255">
        <v>0</v>
      </c>
      <c r="M29" s="269" t="s">
        <v>291</v>
      </c>
      <c r="N29" s="255">
        <f>+Temporaries!AD27</f>
        <v>-3.1969999999999998E-2</v>
      </c>
      <c r="O29" s="295">
        <f>N29+M11+L29+K29</f>
        <v>0.49299999999999999</v>
      </c>
      <c r="P29" s="301">
        <f>+O29-'Rates in detail'!V27</f>
        <v>0</v>
      </c>
    </row>
    <row r="30" spans="1:16" x14ac:dyDescent="0.25">
      <c r="A30" s="262" t="s">
        <v>292</v>
      </c>
      <c r="B30" s="252"/>
      <c r="C30" s="265" t="s">
        <v>7</v>
      </c>
      <c r="D30" s="255"/>
      <c r="E30" s="255"/>
      <c r="F30" s="266"/>
      <c r="G30" s="255"/>
      <c r="H30" s="295"/>
      <c r="I30" s="252"/>
      <c r="J30" s="265" t="s">
        <v>7</v>
      </c>
      <c r="K30" s="255">
        <f>+'Rates in detail'!V28-Inputs!B16-Temporaries!AD28</f>
        <v>0.26555999999999991</v>
      </c>
      <c r="L30" s="255">
        <v>0</v>
      </c>
      <c r="M30" s="266" t="s">
        <v>291</v>
      </c>
      <c r="N30" s="255">
        <f>+Temporaries!AD28</f>
        <v>-3.2409999999999994E-2</v>
      </c>
      <c r="O30" s="295">
        <f>N30+M11+L30+K30</f>
        <v>0.45670999999999995</v>
      </c>
      <c r="P30" s="301">
        <f>+O30-'Rates in detail'!V28</f>
        <v>0</v>
      </c>
    </row>
    <row r="31" spans="1:16" ht="13.8" thickBot="1" x14ac:dyDescent="0.3">
      <c r="A31" s="262" t="s">
        <v>292</v>
      </c>
      <c r="B31" s="257"/>
      <c r="C31" s="271" t="s">
        <v>300</v>
      </c>
      <c r="D31" s="271"/>
      <c r="E31" s="271"/>
      <c r="F31" s="271"/>
      <c r="G31" s="271"/>
      <c r="H31" s="260"/>
      <c r="I31" s="257"/>
      <c r="J31" s="271" t="s">
        <v>300</v>
      </c>
      <c r="K31" s="271"/>
      <c r="L31" s="271"/>
      <c r="M31" s="271"/>
      <c r="N31" s="271"/>
      <c r="O31" s="260" t="s">
        <v>291</v>
      </c>
    </row>
    <row r="32" spans="1:16" ht="13.8" thickTop="1" x14ac:dyDescent="0.25">
      <c r="A32" s="262" t="s">
        <v>292</v>
      </c>
      <c r="B32" s="274" t="s">
        <v>310</v>
      </c>
      <c r="C32" s="275" t="s">
        <v>302</v>
      </c>
      <c r="D32" s="275"/>
      <c r="E32" s="275"/>
      <c r="F32" s="275"/>
      <c r="G32" s="275"/>
      <c r="H32" s="277"/>
      <c r="I32" s="274" t="s">
        <v>311</v>
      </c>
      <c r="J32" s="275" t="s">
        <v>302</v>
      </c>
      <c r="K32" s="275"/>
      <c r="L32" s="275"/>
      <c r="M32" s="275"/>
      <c r="N32" s="275"/>
      <c r="O32" s="277" t="s">
        <v>291</v>
      </c>
    </row>
    <row r="33" spans="1:16" x14ac:dyDescent="0.25">
      <c r="A33" s="262" t="s">
        <v>292</v>
      </c>
      <c r="B33" s="278"/>
      <c r="C33" s="279" t="s">
        <v>304</v>
      </c>
      <c r="D33" s="279"/>
      <c r="E33" s="279"/>
      <c r="F33" s="279"/>
      <c r="G33" s="279"/>
      <c r="H33" s="296"/>
      <c r="I33" s="278"/>
      <c r="J33" s="279" t="s">
        <v>304</v>
      </c>
      <c r="K33" s="279"/>
      <c r="L33" s="279"/>
      <c r="M33" s="279"/>
      <c r="N33" s="279"/>
      <c r="O33" s="296" t="s">
        <v>291</v>
      </c>
    </row>
    <row r="34" spans="1:16" x14ac:dyDescent="0.25">
      <c r="A34" s="262" t="s">
        <v>292</v>
      </c>
      <c r="B34" s="278"/>
      <c r="C34" s="279" t="s">
        <v>6</v>
      </c>
      <c r="D34" s="280"/>
      <c r="E34" s="280"/>
      <c r="F34" s="283"/>
      <c r="G34" s="280"/>
      <c r="H34" s="297"/>
      <c r="I34" s="278"/>
      <c r="J34" s="279" t="s">
        <v>6</v>
      </c>
      <c r="K34" s="280">
        <f>+'Rates in detail'!V23-Temporaries!AD23</f>
        <v>0.30076999999999998</v>
      </c>
      <c r="L34" s="280">
        <v>0</v>
      </c>
      <c r="M34" s="283" t="s">
        <v>305</v>
      </c>
      <c r="N34" s="280">
        <f>+Temporaries!AD23</f>
        <v>-5.8E-4</v>
      </c>
      <c r="O34" s="297">
        <f>N34+L34+K34</f>
        <v>0.30018999999999996</v>
      </c>
      <c r="P34" s="301">
        <f>+O34-'Rates in detail'!V23</f>
        <v>0</v>
      </c>
    </row>
    <row r="35" spans="1:16" ht="13.8" thickBot="1" x14ac:dyDescent="0.3">
      <c r="A35" s="262" t="s">
        <v>292</v>
      </c>
      <c r="B35" s="284"/>
      <c r="C35" s="285" t="s">
        <v>7</v>
      </c>
      <c r="D35" s="298"/>
      <c r="E35" s="298"/>
      <c r="F35" s="299"/>
      <c r="G35" s="298"/>
      <c r="H35" s="300"/>
      <c r="I35" s="284"/>
      <c r="J35" s="285" t="s">
        <v>7</v>
      </c>
      <c r="K35" s="298">
        <f>+'Rates in detail'!V24-Temporaries!AD24</f>
        <v>0.26500000000000001</v>
      </c>
      <c r="L35" s="298">
        <v>0</v>
      </c>
      <c r="M35" s="299" t="s">
        <v>305</v>
      </c>
      <c r="N35" s="298">
        <f>+Temporaries!AD24</f>
        <v>-5.1000000000000004E-4</v>
      </c>
      <c r="O35" s="300">
        <f>N35+L35+K35</f>
        <v>0.26449</v>
      </c>
      <c r="P35" s="301">
        <f>+O35-'Rates in detail'!V24</f>
        <v>0</v>
      </c>
    </row>
    <row r="36" spans="1:16" ht="13.8" thickTop="1" x14ac:dyDescent="0.25">
      <c r="H36" s="301"/>
    </row>
    <row r="37" spans="1:16" ht="15" x14ac:dyDescent="0.25">
      <c r="A37" s="262" t="s">
        <v>312</v>
      </c>
      <c r="B37" s="302" t="s">
        <v>284</v>
      </c>
      <c r="C37" s="303"/>
      <c r="D37" s="304"/>
      <c r="E37" s="265"/>
      <c r="F37" s="265"/>
      <c r="G37" s="265"/>
      <c r="H37" s="265"/>
      <c r="I37" s="305" t="s">
        <v>181</v>
      </c>
      <c r="J37" s="265"/>
      <c r="K37" s="265"/>
      <c r="L37" s="265"/>
      <c r="M37" s="265"/>
      <c r="N37" s="265"/>
      <c r="O37" s="306"/>
    </row>
    <row r="38" spans="1:16" ht="13.8" thickBot="1" x14ac:dyDescent="0.3">
      <c r="A38" s="262" t="s">
        <v>312</v>
      </c>
      <c r="B38" s="303"/>
      <c r="C38" s="303"/>
      <c r="D38" s="307" t="s">
        <v>285</v>
      </c>
      <c r="E38" s="266" t="s">
        <v>286</v>
      </c>
      <c r="F38" s="266" t="s">
        <v>288</v>
      </c>
      <c r="G38" s="266" t="s">
        <v>289</v>
      </c>
      <c r="H38" s="266" t="s">
        <v>229</v>
      </c>
      <c r="I38" s="265"/>
      <c r="J38" s="265"/>
      <c r="K38" s="266" t="s">
        <v>285</v>
      </c>
      <c r="L38" s="266" t="s">
        <v>286</v>
      </c>
      <c r="M38" s="266" t="s">
        <v>288</v>
      </c>
      <c r="N38" s="266" t="s">
        <v>289</v>
      </c>
      <c r="O38" s="308" t="s">
        <v>229</v>
      </c>
    </row>
    <row r="39" spans="1:16" ht="13.8" thickTop="1" x14ac:dyDescent="0.25">
      <c r="A39" s="262" t="s">
        <v>312</v>
      </c>
      <c r="B39" s="309" t="s">
        <v>313</v>
      </c>
      <c r="C39" s="310" t="s">
        <v>294</v>
      </c>
      <c r="D39" s="310"/>
      <c r="E39" s="310"/>
      <c r="F39" s="310"/>
      <c r="G39" s="310"/>
      <c r="H39" s="311"/>
      <c r="I39" s="309" t="s">
        <v>314</v>
      </c>
      <c r="J39" s="310" t="s">
        <v>294</v>
      </c>
      <c r="K39" s="312"/>
      <c r="L39" s="312"/>
      <c r="M39" s="312"/>
      <c r="N39" s="313"/>
      <c r="O39" s="311">
        <f>+'Avg Bill by RS'!G34</f>
        <v>1300</v>
      </c>
    </row>
    <row r="40" spans="1:16" x14ac:dyDescent="0.25">
      <c r="A40" s="262" t="s">
        <v>312</v>
      </c>
      <c r="B40" s="314" t="s">
        <v>315</v>
      </c>
      <c r="C40" s="315" t="s">
        <v>6</v>
      </c>
      <c r="D40" s="316"/>
      <c r="E40" s="316"/>
      <c r="F40" s="316"/>
      <c r="G40" s="316"/>
      <c r="H40" s="317"/>
      <c r="I40" s="314" t="s">
        <v>316</v>
      </c>
      <c r="J40" s="315" t="s">
        <v>6</v>
      </c>
      <c r="K40" s="316">
        <f>+'Rates in detail'!V29-Inputs!$B$16-Temporaries!AD29</f>
        <v>0.11876999999999993</v>
      </c>
      <c r="L40" s="316">
        <v>0</v>
      </c>
      <c r="M40" s="316">
        <f>+Inputs!B16</f>
        <v>0.22356000000000001</v>
      </c>
      <c r="N40" s="316">
        <f>+Temporaries!AD29</f>
        <v>-3.7989999999999996E-2</v>
      </c>
      <c r="O40" s="317">
        <f>SUM(K40:N40)</f>
        <v>0.30433999999999994</v>
      </c>
      <c r="P40" s="301">
        <f>+O40-'Rates in detail'!V29</f>
        <v>0</v>
      </c>
    </row>
    <row r="41" spans="1:16" x14ac:dyDescent="0.25">
      <c r="A41" s="262" t="s">
        <v>312</v>
      </c>
      <c r="B41" s="314"/>
      <c r="C41" s="315" t="s">
        <v>7</v>
      </c>
      <c r="D41" s="316"/>
      <c r="E41" s="316"/>
      <c r="F41" s="318"/>
      <c r="G41" s="316"/>
      <c r="H41" s="317"/>
      <c r="I41" s="314"/>
      <c r="J41" s="315" t="s">
        <v>7</v>
      </c>
      <c r="K41" s="316">
        <f>+'Rates in detail'!V30-Inputs!$B$16-Temporaries!AD30</f>
        <v>0.10631999999999978</v>
      </c>
      <c r="L41" s="316">
        <v>0</v>
      </c>
      <c r="M41" s="318" t="s">
        <v>291</v>
      </c>
      <c r="N41" s="316">
        <f>+Temporaries!AD30</f>
        <v>-3.9579999999999997E-2</v>
      </c>
      <c r="O41" s="317">
        <f t="shared" ref="O41:O51" si="0">K41+L41+$M$40+N41</f>
        <v>0.29029999999999978</v>
      </c>
      <c r="P41" s="301">
        <f>+O41-'Rates in detail'!V30</f>
        <v>0</v>
      </c>
    </row>
    <row r="42" spans="1:16" x14ac:dyDescent="0.25">
      <c r="A42" s="262" t="s">
        <v>312</v>
      </c>
      <c r="B42" s="314"/>
      <c r="C42" s="315" t="s">
        <v>8</v>
      </c>
      <c r="D42" s="316"/>
      <c r="E42" s="316"/>
      <c r="F42" s="318"/>
      <c r="G42" s="316"/>
      <c r="H42" s="317"/>
      <c r="I42" s="314"/>
      <c r="J42" s="315" t="s">
        <v>8</v>
      </c>
      <c r="K42" s="316">
        <f>+'Rates in detail'!V31-Inputs!$B$16-Temporaries!AD31</f>
        <v>8.1539999999999918E-2</v>
      </c>
      <c r="L42" s="316">
        <v>0</v>
      </c>
      <c r="M42" s="318" t="s">
        <v>291</v>
      </c>
      <c r="N42" s="316">
        <f>+Temporaries!AD31</f>
        <v>-4.2729999999999997E-2</v>
      </c>
      <c r="O42" s="317">
        <f t="shared" si="0"/>
        <v>0.26236999999999994</v>
      </c>
      <c r="P42" s="301">
        <f>+O42-'Rates in detail'!V31</f>
        <v>0</v>
      </c>
    </row>
    <row r="43" spans="1:16" x14ac:dyDescent="0.25">
      <c r="A43" s="262" t="s">
        <v>312</v>
      </c>
      <c r="B43" s="314"/>
      <c r="C43" s="315" t="s">
        <v>9</v>
      </c>
      <c r="D43" s="316"/>
      <c r="E43" s="316"/>
      <c r="F43" s="318"/>
      <c r="G43" s="316"/>
      <c r="H43" s="317"/>
      <c r="I43" s="314"/>
      <c r="J43" s="315" t="s">
        <v>9</v>
      </c>
      <c r="K43" s="316">
        <f>+'Rates in detail'!V32-Inputs!$B$16-Temporaries!AD32</f>
        <v>6.5230000000000204E-2</v>
      </c>
      <c r="L43" s="316">
        <v>0</v>
      </c>
      <c r="M43" s="318" t="s">
        <v>291</v>
      </c>
      <c r="N43" s="316">
        <f>+Temporaries!AD32</f>
        <v>-4.4809999999999996E-2</v>
      </c>
      <c r="O43" s="317">
        <f t="shared" si="0"/>
        <v>0.24398000000000022</v>
      </c>
      <c r="P43" s="301">
        <f>+O43-'Rates in detail'!V32</f>
        <v>0</v>
      </c>
    </row>
    <row r="44" spans="1:16" x14ac:dyDescent="0.25">
      <c r="A44" s="262" t="s">
        <v>312</v>
      </c>
      <c r="B44" s="314"/>
      <c r="C44" s="315" t="s">
        <v>10</v>
      </c>
      <c r="D44" s="316"/>
      <c r="E44" s="316"/>
      <c r="F44" s="318"/>
      <c r="G44" s="316"/>
      <c r="H44" s="317"/>
      <c r="I44" s="314"/>
      <c r="J44" s="315" t="s">
        <v>10</v>
      </c>
      <c r="K44" s="316">
        <f>+'Rates in detail'!V33-Inputs!$B$16-Temporaries!AD33</f>
        <v>4.3479999999999935E-2</v>
      </c>
      <c r="L44" s="316">
        <v>0</v>
      </c>
      <c r="M44" s="318" t="s">
        <v>291</v>
      </c>
      <c r="N44" s="316">
        <f>+Temporaries!AD33</f>
        <v>-4.7589999999999993E-2</v>
      </c>
      <c r="O44" s="317">
        <f t="shared" si="0"/>
        <v>0.21944999999999995</v>
      </c>
      <c r="P44" s="301">
        <f>+O44-'Rates in detail'!V33</f>
        <v>0</v>
      </c>
    </row>
    <row r="45" spans="1:16" ht="13.8" thickBot="1" x14ac:dyDescent="0.3">
      <c r="A45" s="262" t="s">
        <v>312</v>
      </c>
      <c r="B45" s="319"/>
      <c r="C45" s="303" t="s">
        <v>11</v>
      </c>
      <c r="D45" s="316"/>
      <c r="E45" s="316"/>
      <c r="F45" s="320"/>
      <c r="G45" s="316"/>
      <c r="H45" s="321"/>
      <c r="I45" s="319"/>
      <c r="J45" s="303" t="s">
        <v>11</v>
      </c>
      <c r="K45" s="322">
        <f>+'Rates in detail'!V34-Inputs!$B$16-Temporaries!AD34</f>
        <v>1.6300000000000078E-2</v>
      </c>
      <c r="L45" s="322">
        <v>0</v>
      </c>
      <c r="M45" s="320" t="s">
        <v>291</v>
      </c>
      <c r="N45" s="322">
        <f>+Temporaries!AD34</f>
        <v>-5.1049999999999998E-2</v>
      </c>
      <c r="O45" s="321">
        <f t="shared" si="0"/>
        <v>0.18881000000000009</v>
      </c>
      <c r="P45" s="301">
        <f>+O45-'Rates in detail'!V34</f>
        <v>0</v>
      </c>
    </row>
    <row r="46" spans="1:16" ht="13.8" thickTop="1" x14ac:dyDescent="0.25">
      <c r="A46" s="262" t="s">
        <v>312</v>
      </c>
      <c r="B46" s="309" t="s">
        <v>317</v>
      </c>
      <c r="C46" s="310" t="s">
        <v>6</v>
      </c>
      <c r="D46" s="323"/>
      <c r="E46" s="323"/>
      <c r="F46" s="324"/>
      <c r="G46" s="323"/>
      <c r="H46" s="325"/>
      <c r="I46" s="309" t="s">
        <v>318</v>
      </c>
      <c r="J46" s="310" t="s">
        <v>6</v>
      </c>
      <c r="K46" s="323">
        <f>+'Rates in detail'!V35-Inputs!$B$16-Temporaries!AD35</f>
        <v>0.11870999999999998</v>
      </c>
      <c r="L46" s="323">
        <v>0</v>
      </c>
      <c r="M46" s="324" t="s">
        <v>291</v>
      </c>
      <c r="N46" s="323">
        <f>+Temporaries!AD35</f>
        <v>-5.0869999999999999E-2</v>
      </c>
      <c r="O46" s="325">
        <f t="shared" si="0"/>
        <v>0.29139999999999999</v>
      </c>
      <c r="P46" s="301">
        <f>+O46-'Rates in detail'!V35</f>
        <v>0</v>
      </c>
    </row>
    <row r="47" spans="1:16" x14ac:dyDescent="0.25">
      <c r="A47" s="262" t="s">
        <v>312</v>
      </c>
      <c r="B47" s="314"/>
      <c r="C47" s="315" t="s">
        <v>7</v>
      </c>
      <c r="D47" s="316"/>
      <c r="E47" s="316"/>
      <c r="F47" s="318"/>
      <c r="G47" s="316"/>
      <c r="H47" s="317"/>
      <c r="I47" s="314"/>
      <c r="J47" s="315" t="s">
        <v>7</v>
      </c>
      <c r="K47" s="316">
        <f>+'Rates in detail'!V36-Inputs!$B$16-Temporaries!AD36</f>
        <v>0.10626000000000008</v>
      </c>
      <c r="L47" s="316">
        <v>0</v>
      </c>
      <c r="M47" s="318" t="s">
        <v>291</v>
      </c>
      <c r="N47" s="316">
        <f>+Temporaries!AD36</f>
        <v>-5.11E-2</v>
      </c>
      <c r="O47" s="317">
        <f t="shared" si="0"/>
        <v>0.27872000000000013</v>
      </c>
      <c r="P47" s="301">
        <f>+O47-'Rates in detail'!V36</f>
        <v>0</v>
      </c>
    </row>
    <row r="48" spans="1:16" x14ac:dyDescent="0.25">
      <c r="A48" s="262" t="s">
        <v>312</v>
      </c>
      <c r="B48" s="314"/>
      <c r="C48" s="315" t="s">
        <v>8</v>
      </c>
      <c r="D48" s="316"/>
      <c r="E48" s="316"/>
      <c r="F48" s="318"/>
      <c r="G48" s="316"/>
      <c r="H48" s="317"/>
      <c r="I48" s="314"/>
      <c r="J48" s="315" t="s">
        <v>8</v>
      </c>
      <c r="K48" s="316">
        <f>+'Rates in detail'!V37-Inputs!$B$16-Temporaries!AD37</f>
        <v>8.1489999999999896E-2</v>
      </c>
      <c r="L48" s="316">
        <v>0</v>
      </c>
      <c r="M48" s="318" t="s">
        <v>291</v>
      </c>
      <c r="N48" s="316">
        <f>+Temporaries!AD37</f>
        <v>-5.1579999999999994E-2</v>
      </c>
      <c r="O48" s="317">
        <f t="shared" si="0"/>
        <v>0.25346999999999992</v>
      </c>
      <c r="P48" s="301">
        <f>+O48-'Rates in detail'!V37</f>
        <v>0</v>
      </c>
    </row>
    <row r="49" spans="1:16" x14ac:dyDescent="0.25">
      <c r="A49" s="262" t="s">
        <v>312</v>
      </c>
      <c r="B49" s="314"/>
      <c r="C49" s="315" t="s">
        <v>9</v>
      </c>
      <c r="D49" s="316"/>
      <c r="E49" s="316"/>
      <c r="F49" s="318"/>
      <c r="G49" s="316"/>
      <c r="H49" s="317"/>
      <c r="I49" s="314"/>
      <c r="J49" s="315" t="s">
        <v>9</v>
      </c>
      <c r="K49" s="316">
        <f>+'Rates in detail'!V38-Inputs!$B$16-Temporaries!AD38</f>
        <v>6.5190000000000164E-2</v>
      </c>
      <c r="L49" s="316">
        <v>0</v>
      </c>
      <c r="M49" s="318" t="s">
        <v>291</v>
      </c>
      <c r="N49" s="316">
        <f>+Temporaries!AD38</f>
        <v>-5.1889999999999999E-2</v>
      </c>
      <c r="O49" s="317">
        <f t="shared" si="0"/>
        <v>0.23686000000000018</v>
      </c>
      <c r="P49" s="301">
        <f>+O49-'Rates in detail'!V38</f>
        <v>0</v>
      </c>
    </row>
    <row r="50" spans="1:16" x14ac:dyDescent="0.25">
      <c r="A50" s="262" t="s">
        <v>312</v>
      </c>
      <c r="B50" s="314"/>
      <c r="C50" s="315" t="s">
        <v>10</v>
      </c>
      <c r="D50" s="316"/>
      <c r="E50" s="316"/>
      <c r="F50" s="318"/>
      <c r="G50" s="316"/>
      <c r="H50" s="317"/>
      <c r="I50" s="314"/>
      <c r="J50" s="315" t="s">
        <v>10</v>
      </c>
      <c r="K50" s="316">
        <f>+'Rates in detail'!V39-Inputs!$B$16-Temporaries!AD39</f>
        <v>4.3470000000000189E-2</v>
      </c>
      <c r="L50" s="316">
        <v>0</v>
      </c>
      <c r="M50" s="318" t="s">
        <v>291</v>
      </c>
      <c r="N50" s="316">
        <f>+Temporaries!AD39</f>
        <v>-5.2299999999999999E-2</v>
      </c>
      <c r="O50" s="317">
        <f t="shared" si="0"/>
        <v>0.2147300000000002</v>
      </c>
      <c r="P50" s="301">
        <f>+O50-'Rates in detail'!V39</f>
        <v>0</v>
      </c>
    </row>
    <row r="51" spans="1:16" ht="13.8" thickBot="1" x14ac:dyDescent="0.3">
      <c r="A51" s="262" t="s">
        <v>312</v>
      </c>
      <c r="B51" s="326"/>
      <c r="C51" s="327" t="s">
        <v>11</v>
      </c>
      <c r="D51" s="328"/>
      <c r="E51" s="328"/>
      <c r="F51" s="329"/>
      <c r="G51" s="328"/>
      <c r="H51" s="330"/>
      <c r="I51" s="326"/>
      <c r="J51" s="327" t="s">
        <v>11</v>
      </c>
      <c r="K51" s="328">
        <f>+'Rates in detail'!V40-Inputs!$B$16-Temporaries!AD40</f>
        <v>1.6289999999999916E-2</v>
      </c>
      <c r="L51" s="328">
        <v>0</v>
      </c>
      <c r="M51" s="329" t="s">
        <v>291</v>
      </c>
      <c r="N51" s="328">
        <f>+Temporaries!AD40</f>
        <v>-5.2809999999999996E-2</v>
      </c>
      <c r="O51" s="330">
        <f t="shared" si="0"/>
        <v>0.18703999999999993</v>
      </c>
      <c r="P51" s="301">
        <f>+O51-'Rates in detail'!V40</f>
        <v>0</v>
      </c>
    </row>
    <row r="52" spans="1:16" ht="13.8" thickTop="1" x14ac:dyDescent="0.25">
      <c r="A52" s="262" t="s">
        <v>312</v>
      </c>
      <c r="B52" s="331" t="s">
        <v>313</v>
      </c>
      <c r="C52" s="332" t="s">
        <v>319</v>
      </c>
      <c r="D52" s="333"/>
      <c r="E52" s="333"/>
      <c r="F52" s="334"/>
      <c r="G52" s="333"/>
      <c r="H52" s="335"/>
      <c r="I52" s="331" t="s">
        <v>314</v>
      </c>
      <c r="J52" s="332" t="s">
        <v>319</v>
      </c>
      <c r="K52" s="333"/>
      <c r="L52" s="333"/>
      <c r="M52" s="334"/>
      <c r="N52" s="333"/>
      <c r="O52" s="336">
        <f>+Inputs!B24</f>
        <v>0.15748000000000001</v>
      </c>
    </row>
    <row r="53" spans="1:16" x14ac:dyDescent="0.25">
      <c r="A53" s="262" t="s">
        <v>312</v>
      </c>
      <c r="B53" s="314"/>
      <c r="C53" s="315" t="s">
        <v>320</v>
      </c>
      <c r="D53" s="337"/>
      <c r="E53" s="337"/>
      <c r="F53" s="318"/>
      <c r="G53" s="337"/>
      <c r="H53" s="335"/>
      <c r="I53" s="314"/>
      <c r="J53" s="315" t="s">
        <v>320</v>
      </c>
      <c r="K53" s="337"/>
      <c r="L53" s="337"/>
      <c r="M53" s="318"/>
      <c r="N53" s="337"/>
      <c r="O53" s="338">
        <f>+Inputs!B26</f>
        <v>0.20415</v>
      </c>
    </row>
    <row r="54" spans="1:16" x14ac:dyDescent="0.25">
      <c r="A54" s="262" t="s">
        <v>312</v>
      </c>
      <c r="B54" s="314"/>
      <c r="C54" s="315" t="s">
        <v>321</v>
      </c>
      <c r="D54" s="337"/>
      <c r="E54" s="337"/>
      <c r="F54" s="318"/>
      <c r="G54" s="337"/>
      <c r="H54" s="339"/>
      <c r="I54" s="314"/>
      <c r="J54" s="315" t="s">
        <v>321</v>
      </c>
      <c r="K54" s="337"/>
      <c r="L54" s="337"/>
      <c r="M54" s="318"/>
      <c r="N54" s="337"/>
      <c r="O54" s="338">
        <f>+Inputs!B18</f>
        <v>0.1113</v>
      </c>
    </row>
    <row r="55" spans="1:16" ht="13.8" thickBot="1" x14ac:dyDescent="0.3">
      <c r="A55" s="262" t="s">
        <v>312</v>
      </c>
      <c r="B55" s="326"/>
      <c r="C55" s="340" t="s">
        <v>322</v>
      </c>
      <c r="D55" s="341"/>
      <c r="E55" s="341"/>
      <c r="F55" s="329"/>
      <c r="G55" s="341"/>
      <c r="H55" s="342"/>
      <c r="I55" s="326"/>
      <c r="J55" s="340" t="s">
        <v>322</v>
      </c>
      <c r="K55" s="341"/>
      <c r="L55" s="341"/>
      <c r="M55" s="329"/>
      <c r="N55" s="341"/>
      <c r="O55" s="377">
        <f>+Inputs!B22</f>
        <v>1.66</v>
      </c>
    </row>
    <row r="56" spans="1:16" ht="13.8" thickTop="1" x14ac:dyDescent="0.25">
      <c r="A56" s="262" t="s">
        <v>312</v>
      </c>
      <c r="B56" s="428" t="s">
        <v>372</v>
      </c>
      <c r="C56" s="332" t="s">
        <v>294</v>
      </c>
      <c r="D56" s="333"/>
      <c r="E56" s="333"/>
      <c r="F56" s="334"/>
      <c r="G56" s="333"/>
      <c r="H56" s="343"/>
      <c r="I56" s="434" t="s">
        <v>374</v>
      </c>
      <c r="J56" s="310" t="s">
        <v>294</v>
      </c>
      <c r="K56" s="344"/>
      <c r="L56" s="344"/>
      <c r="M56" s="324"/>
      <c r="N56" s="344"/>
      <c r="O56" s="345" t="s">
        <v>291</v>
      </c>
    </row>
    <row r="57" spans="1:16" x14ac:dyDescent="0.25">
      <c r="A57" s="262" t="s">
        <v>312</v>
      </c>
      <c r="B57" s="314"/>
      <c r="C57" s="315" t="s">
        <v>6</v>
      </c>
      <c r="D57" s="316"/>
      <c r="E57" s="316"/>
      <c r="F57" s="318"/>
      <c r="G57" s="316"/>
      <c r="H57" s="317"/>
      <c r="I57" s="314"/>
      <c r="J57" s="315" t="s">
        <v>6</v>
      </c>
      <c r="K57" s="316">
        <f>+'Rates in detail'!V47-Inputs!$B$16-Temporaries!AD47</f>
        <v>0.11855999999999997</v>
      </c>
      <c r="L57" s="316">
        <v>0</v>
      </c>
      <c r="M57" s="318" t="s">
        <v>291</v>
      </c>
      <c r="N57" s="316">
        <f>+Temporaries!AD47</f>
        <v>-2.3139999999999997E-2</v>
      </c>
      <c r="O57" s="317">
        <f t="shared" ref="O57:O62" si="1">K57+L57+$M$40+N57</f>
        <v>0.31897999999999999</v>
      </c>
      <c r="P57" s="301">
        <f>+O57-'Rates in detail'!V47</f>
        <v>0</v>
      </c>
    </row>
    <row r="58" spans="1:16" x14ac:dyDescent="0.25">
      <c r="A58" s="262" t="s">
        <v>312</v>
      </c>
      <c r="B58" s="314"/>
      <c r="C58" s="315" t="s">
        <v>7</v>
      </c>
      <c r="D58" s="316"/>
      <c r="E58" s="316"/>
      <c r="F58" s="318"/>
      <c r="G58" s="316"/>
      <c r="H58" s="317"/>
      <c r="I58" s="314"/>
      <c r="J58" s="315" t="s">
        <v>7</v>
      </c>
      <c r="K58" s="316">
        <f>+'Rates in detail'!V48-Inputs!$B$16-Temporaries!AD48</f>
        <v>0.10611999999999988</v>
      </c>
      <c r="L58" s="316">
        <v>0</v>
      </c>
      <c r="M58" s="318" t="s">
        <v>291</v>
      </c>
      <c r="N58" s="316">
        <f>+Temporaries!AD48</f>
        <v>-2.445E-2</v>
      </c>
      <c r="O58" s="317">
        <f t="shared" si="1"/>
        <v>0.30522999999999989</v>
      </c>
      <c r="P58" s="301">
        <f>+O58-'Rates in detail'!V48</f>
        <v>0</v>
      </c>
    </row>
    <row r="59" spans="1:16" x14ac:dyDescent="0.25">
      <c r="A59" s="262" t="s">
        <v>312</v>
      </c>
      <c r="B59" s="314"/>
      <c r="C59" s="315" t="s">
        <v>8</v>
      </c>
      <c r="D59" s="316"/>
      <c r="E59" s="316"/>
      <c r="F59" s="318"/>
      <c r="G59" s="316"/>
      <c r="H59" s="317"/>
      <c r="I59" s="314"/>
      <c r="J59" s="315" t="s">
        <v>8</v>
      </c>
      <c r="K59" s="316">
        <f>+'Rates in detail'!V49-Inputs!$B$16-Temporaries!AD49</f>
        <v>8.1380000000000105E-2</v>
      </c>
      <c r="L59" s="316">
        <v>0</v>
      </c>
      <c r="M59" s="318" t="s">
        <v>291</v>
      </c>
      <c r="N59" s="316">
        <f>+Temporaries!AD49</f>
        <v>-2.7069999999999997E-2</v>
      </c>
      <c r="O59" s="317">
        <f t="shared" si="1"/>
        <v>0.27787000000000012</v>
      </c>
      <c r="P59" s="301">
        <f>+O59-'Rates in detail'!V49</f>
        <v>0</v>
      </c>
    </row>
    <row r="60" spans="1:16" x14ac:dyDescent="0.25">
      <c r="A60" s="262" t="s">
        <v>312</v>
      </c>
      <c r="B60" s="314"/>
      <c r="C60" s="315" t="s">
        <v>9</v>
      </c>
      <c r="D60" s="316"/>
      <c r="E60" s="316"/>
      <c r="F60" s="318"/>
      <c r="G60" s="316"/>
      <c r="H60" s="317"/>
      <c r="I60" s="314"/>
      <c r="J60" s="315" t="s">
        <v>9</v>
      </c>
      <c r="K60" s="316">
        <f>+'Rates in detail'!V50-Inputs!$B$16-Temporaries!AD50</f>
        <v>6.5099999999999936E-2</v>
      </c>
      <c r="L60" s="316">
        <v>0</v>
      </c>
      <c r="M60" s="318" t="s">
        <v>291</v>
      </c>
      <c r="N60" s="316">
        <f>+Temporaries!AD50</f>
        <v>-2.8779999999999997E-2</v>
      </c>
      <c r="O60" s="317">
        <f t="shared" si="1"/>
        <v>0.25987999999999994</v>
      </c>
      <c r="P60" s="301">
        <f>+O60-'Rates in detail'!V50</f>
        <v>0</v>
      </c>
    </row>
    <row r="61" spans="1:16" x14ac:dyDescent="0.25">
      <c r="A61" s="262" t="s">
        <v>312</v>
      </c>
      <c r="B61" s="314"/>
      <c r="C61" s="315" t="s">
        <v>10</v>
      </c>
      <c r="D61" s="316"/>
      <c r="E61" s="316"/>
      <c r="F61" s="318"/>
      <c r="G61" s="316"/>
      <c r="H61" s="317"/>
      <c r="I61" s="314"/>
      <c r="J61" s="315" t="s">
        <v>10</v>
      </c>
      <c r="K61" s="316">
        <f>+'Rates in detail'!V51-Inputs!$B$16-Temporaries!AD51</f>
        <v>4.3400000000000022E-2</v>
      </c>
      <c r="L61" s="316">
        <v>0</v>
      </c>
      <c r="M61" s="318" t="s">
        <v>291</v>
      </c>
      <c r="N61" s="316">
        <f>+Temporaries!AD51</f>
        <v>-3.1079999999999997E-2</v>
      </c>
      <c r="O61" s="317">
        <f t="shared" si="1"/>
        <v>0.23588000000000003</v>
      </c>
      <c r="P61" s="301">
        <f>+O61-'Rates in detail'!V51</f>
        <v>0</v>
      </c>
    </row>
    <row r="62" spans="1:16" x14ac:dyDescent="0.25">
      <c r="A62" s="262" t="s">
        <v>312</v>
      </c>
      <c r="B62" s="314"/>
      <c r="C62" s="315" t="s">
        <v>11</v>
      </c>
      <c r="D62" s="316"/>
      <c r="E62" s="316"/>
      <c r="F62" s="318"/>
      <c r="G62" s="316"/>
      <c r="H62" s="317"/>
      <c r="I62" s="314"/>
      <c r="J62" s="315" t="s">
        <v>11</v>
      </c>
      <c r="K62" s="316">
        <f>+'Rates in detail'!V52-Inputs!$B$16-Temporaries!AD52</f>
        <v>1.6279999999999906E-2</v>
      </c>
      <c r="L62" s="316">
        <v>0</v>
      </c>
      <c r="M62" s="318" t="s">
        <v>291</v>
      </c>
      <c r="N62" s="316">
        <f>+Temporaries!AD52</f>
        <v>-3.3939999999999998E-2</v>
      </c>
      <c r="O62" s="317">
        <f t="shared" si="1"/>
        <v>0.20589999999999992</v>
      </c>
      <c r="P62" s="301">
        <f>+O62-'Rates in detail'!V52</f>
        <v>0</v>
      </c>
    </row>
    <row r="63" spans="1:16" x14ac:dyDescent="0.25">
      <c r="A63" s="262" t="s">
        <v>312</v>
      </c>
      <c r="B63" s="319"/>
      <c r="C63" s="303" t="s">
        <v>323</v>
      </c>
      <c r="D63" s="346"/>
      <c r="E63" s="346"/>
      <c r="F63" s="320"/>
      <c r="G63" s="346"/>
      <c r="H63" s="347"/>
      <c r="I63" s="319"/>
      <c r="J63" s="303" t="s">
        <v>323</v>
      </c>
      <c r="K63" s="337"/>
      <c r="L63" s="337"/>
      <c r="M63" s="318"/>
      <c r="N63" s="337"/>
      <c r="O63" s="339">
        <f>+Inputs!B20</f>
        <v>3.8879999999999998E-2</v>
      </c>
    </row>
    <row r="64" spans="1:16" ht="13.8" thickBot="1" x14ac:dyDescent="0.3">
      <c r="A64" s="262" t="s">
        <v>312</v>
      </c>
      <c r="B64" s="429"/>
      <c r="C64" s="430" t="s">
        <v>320</v>
      </c>
      <c r="D64" s="431"/>
      <c r="E64" s="431"/>
      <c r="F64" s="432"/>
      <c r="G64" s="431"/>
      <c r="H64" s="433"/>
      <c r="I64" s="429"/>
      <c r="J64" s="354" t="s">
        <v>320</v>
      </c>
      <c r="K64" s="341"/>
      <c r="L64" s="341"/>
      <c r="M64" s="329"/>
      <c r="N64" s="341"/>
      <c r="O64" s="355">
        <f>+Inputs!B28</f>
        <v>0.10208</v>
      </c>
    </row>
    <row r="65" spans="1:16" ht="13.8" thickTop="1" x14ac:dyDescent="0.25">
      <c r="A65" s="262" t="s">
        <v>312</v>
      </c>
      <c r="B65" s="428" t="s">
        <v>373</v>
      </c>
      <c r="C65" s="332" t="s">
        <v>294</v>
      </c>
      <c r="D65" s="333"/>
      <c r="E65" s="333"/>
      <c r="F65" s="334"/>
      <c r="G65" s="333"/>
      <c r="H65" s="343"/>
      <c r="I65" s="428" t="s">
        <v>375</v>
      </c>
      <c r="J65" s="310" t="s">
        <v>294</v>
      </c>
      <c r="K65" s="344"/>
      <c r="L65" s="344"/>
      <c r="M65" s="324"/>
      <c r="N65" s="344"/>
      <c r="O65" s="345" t="s">
        <v>291</v>
      </c>
    </row>
    <row r="66" spans="1:16" x14ac:dyDescent="0.25">
      <c r="A66" s="262" t="s">
        <v>312</v>
      </c>
      <c r="B66" s="314"/>
      <c r="C66" s="315" t="s">
        <v>6</v>
      </c>
      <c r="D66" s="316"/>
      <c r="E66" s="316"/>
      <c r="F66" s="318"/>
      <c r="G66" s="316"/>
      <c r="H66" s="317"/>
      <c r="I66" s="314"/>
      <c r="J66" s="315" t="s">
        <v>6</v>
      </c>
      <c r="K66" s="316">
        <f>+'Rates in detail'!V53-Inputs!$B$16-Temporaries!AD53</f>
        <v>0.11869999999999997</v>
      </c>
      <c r="L66" s="316">
        <v>0</v>
      </c>
      <c r="M66" s="318" t="s">
        <v>291</v>
      </c>
      <c r="N66" s="316">
        <f>+Temporaries!AD53</f>
        <v>-3.3389999999999996E-2</v>
      </c>
      <c r="O66" s="317">
        <f t="shared" ref="O66:O71" si="2">K66+L66+$M$40+N66</f>
        <v>0.30887000000000003</v>
      </c>
      <c r="P66" s="301">
        <f>+O66-'Rates in detail'!V53</f>
        <v>0</v>
      </c>
    </row>
    <row r="67" spans="1:16" x14ac:dyDescent="0.25">
      <c r="A67" s="262" t="s">
        <v>312</v>
      </c>
      <c r="B67" s="314"/>
      <c r="C67" s="315" t="s">
        <v>7</v>
      </c>
      <c r="D67" s="316"/>
      <c r="E67" s="316"/>
      <c r="F67" s="318"/>
      <c r="G67" s="316"/>
      <c r="H67" s="317"/>
      <c r="I67" s="314"/>
      <c r="J67" s="315" t="s">
        <v>7</v>
      </c>
      <c r="K67" s="316">
        <f>+'Rates in detail'!V54-Inputs!$B$16-Temporaries!AD54</f>
        <v>0.10624999999999987</v>
      </c>
      <c r="L67" s="316">
        <v>0</v>
      </c>
      <c r="M67" s="318" t="s">
        <v>291</v>
      </c>
      <c r="N67" s="316">
        <f>+Temporaries!AD54</f>
        <v>-3.363E-2</v>
      </c>
      <c r="O67" s="317">
        <f t="shared" si="2"/>
        <v>0.29617999999999989</v>
      </c>
      <c r="P67" s="301">
        <f>+O67-'Rates in detail'!V54</f>
        <v>0</v>
      </c>
    </row>
    <row r="68" spans="1:16" x14ac:dyDescent="0.25">
      <c r="A68" s="262" t="s">
        <v>312</v>
      </c>
      <c r="B68" s="314"/>
      <c r="C68" s="315" t="s">
        <v>8</v>
      </c>
      <c r="D68" s="316"/>
      <c r="E68" s="316"/>
      <c r="F68" s="318"/>
      <c r="G68" s="316"/>
      <c r="H68" s="317"/>
      <c r="I68" s="314"/>
      <c r="J68" s="315" t="s">
        <v>8</v>
      </c>
      <c r="K68" s="316">
        <f>+'Rates in detail'!V55-Inputs!$B$16-Temporaries!AD55</f>
        <v>8.1480000000000052E-2</v>
      </c>
      <c r="L68" s="316">
        <v>0</v>
      </c>
      <c r="M68" s="318" t="s">
        <v>291</v>
      </c>
      <c r="N68" s="316">
        <f>+Temporaries!AD55</f>
        <v>-3.4099999999999998E-2</v>
      </c>
      <c r="O68" s="317">
        <f t="shared" si="2"/>
        <v>0.27094000000000007</v>
      </c>
      <c r="P68" s="301">
        <f>+O68-'Rates in detail'!V55</f>
        <v>0</v>
      </c>
    </row>
    <row r="69" spans="1:16" x14ac:dyDescent="0.25">
      <c r="A69" s="262" t="s">
        <v>312</v>
      </c>
      <c r="B69" s="314"/>
      <c r="C69" s="315" t="s">
        <v>9</v>
      </c>
      <c r="D69" s="316"/>
      <c r="E69" s="316"/>
      <c r="F69" s="318"/>
      <c r="G69" s="316"/>
      <c r="H69" s="317"/>
      <c r="I69" s="314"/>
      <c r="J69" s="315" t="s">
        <v>9</v>
      </c>
      <c r="K69" s="316">
        <f>+'Rates in detail'!V56-Inputs!$B$16-Temporaries!AD56</f>
        <v>6.5179999999999821E-2</v>
      </c>
      <c r="L69" s="316">
        <v>0</v>
      </c>
      <c r="M69" s="318" t="s">
        <v>291</v>
      </c>
      <c r="N69" s="316">
        <f>+Temporaries!AD56</f>
        <v>-3.4409999999999996E-2</v>
      </c>
      <c r="O69" s="317">
        <f t="shared" si="2"/>
        <v>0.25432999999999983</v>
      </c>
      <c r="P69" s="301">
        <f>+O69-'Rates in detail'!V56</f>
        <v>0</v>
      </c>
    </row>
    <row r="70" spans="1:16" x14ac:dyDescent="0.25">
      <c r="A70" s="262" t="s">
        <v>312</v>
      </c>
      <c r="B70" s="314"/>
      <c r="C70" s="315" t="s">
        <v>10</v>
      </c>
      <c r="D70" s="316"/>
      <c r="E70" s="316"/>
      <c r="F70" s="318"/>
      <c r="G70" s="316"/>
      <c r="H70" s="317"/>
      <c r="I70" s="314"/>
      <c r="J70" s="315" t="s">
        <v>10</v>
      </c>
      <c r="K70" s="316">
        <f>+'Rates in detail'!V57-Inputs!$B$16-Temporaries!AD57</f>
        <v>4.3450000000000016E-2</v>
      </c>
      <c r="L70" s="316">
        <v>0</v>
      </c>
      <c r="M70" s="318" t="s">
        <v>291</v>
      </c>
      <c r="N70" s="316">
        <f>+Temporaries!AD57</f>
        <v>-3.483E-2</v>
      </c>
      <c r="O70" s="317">
        <f t="shared" si="2"/>
        <v>0.23218000000000003</v>
      </c>
      <c r="P70" s="301">
        <f>+O70-'Rates in detail'!V57</f>
        <v>0</v>
      </c>
    </row>
    <row r="71" spans="1:16" x14ac:dyDescent="0.25">
      <c r="A71" s="262" t="s">
        <v>312</v>
      </c>
      <c r="B71" s="314"/>
      <c r="C71" s="315" t="s">
        <v>11</v>
      </c>
      <c r="D71" s="316"/>
      <c r="E71" s="316"/>
      <c r="F71" s="318"/>
      <c r="G71" s="316"/>
      <c r="H71" s="317"/>
      <c r="I71" s="314"/>
      <c r="J71" s="315" t="s">
        <v>11</v>
      </c>
      <c r="K71" s="316">
        <f>+'Rates in detail'!V58-Inputs!$B$16-Temporaries!AD58</f>
        <v>1.6299999999999912E-2</v>
      </c>
      <c r="L71" s="316">
        <v>0</v>
      </c>
      <c r="M71" s="318" t="s">
        <v>291</v>
      </c>
      <c r="N71" s="316">
        <f>+Temporaries!AD58</f>
        <v>-3.5339999999999996E-2</v>
      </c>
      <c r="O71" s="317">
        <f t="shared" si="2"/>
        <v>0.20451999999999992</v>
      </c>
      <c r="P71" s="301">
        <f>+O71-'Rates in detail'!V58</f>
        <v>0</v>
      </c>
    </row>
    <row r="72" spans="1:16" x14ac:dyDescent="0.25">
      <c r="A72" s="262" t="s">
        <v>312</v>
      </c>
      <c r="B72" s="319"/>
      <c r="C72" s="303" t="s">
        <v>323</v>
      </c>
      <c r="D72" s="346"/>
      <c r="E72" s="346"/>
      <c r="F72" s="320"/>
      <c r="G72" s="346"/>
      <c r="H72" s="347"/>
      <c r="I72" s="319"/>
      <c r="J72" s="303" t="s">
        <v>323</v>
      </c>
      <c r="K72" s="337"/>
      <c r="L72" s="337"/>
      <c r="M72" s="318"/>
      <c r="N72" s="337"/>
      <c r="O72" s="339">
        <f>+O63</f>
        <v>3.8879999999999998E-2</v>
      </c>
    </row>
    <row r="73" spans="1:16" ht="13.8" thickBot="1" x14ac:dyDescent="0.3">
      <c r="A73" s="262" t="s">
        <v>312</v>
      </c>
      <c r="B73" s="348"/>
      <c r="C73" s="349" t="s">
        <v>320</v>
      </c>
      <c r="D73" s="350"/>
      <c r="E73" s="350"/>
      <c r="F73" s="351"/>
      <c r="G73" s="350"/>
      <c r="H73" s="352"/>
      <c r="I73" s="353"/>
      <c r="J73" s="354" t="s">
        <v>320</v>
      </c>
      <c r="K73" s="341"/>
      <c r="L73" s="341"/>
      <c r="M73" s="329"/>
      <c r="N73" s="341"/>
      <c r="O73" s="355">
        <f>+O64</f>
        <v>0.10208</v>
      </c>
    </row>
    <row r="74" spans="1:16" ht="13.8" thickTop="1" x14ac:dyDescent="0.25">
      <c r="A74" s="262" t="s">
        <v>312</v>
      </c>
      <c r="B74" s="309" t="s">
        <v>324</v>
      </c>
      <c r="C74" s="310" t="s">
        <v>302</v>
      </c>
      <c r="D74" s="344"/>
      <c r="E74" s="344"/>
      <c r="F74" s="324"/>
      <c r="G74" s="344"/>
      <c r="H74" s="345"/>
      <c r="I74" s="331" t="s">
        <v>325</v>
      </c>
      <c r="J74" s="332" t="s">
        <v>302</v>
      </c>
      <c r="K74" s="333"/>
      <c r="L74" s="333"/>
      <c r="M74" s="334"/>
      <c r="N74" s="333"/>
      <c r="O74" s="345" t="s">
        <v>291</v>
      </c>
    </row>
    <row r="75" spans="1:16" x14ac:dyDescent="0.25">
      <c r="A75" s="262" t="s">
        <v>312</v>
      </c>
      <c r="B75" s="314"/>
      <c r="C75" s="315" t="s">
        <v>326</v>
      </c>
      <c r="D75" s="337"/>
      <c r="E75" s="337"/>
      <c r="F75" s="318"/>
      <c r="G75" s="337"/>
      <c r="H75" s="356"/>
      <c r="I75" s="314"/>
      <c r="J75" s="315" t="s">
        <v>326</v>
      </c>
      <c r="K75" s="337"/>
      <c r="L75" s="337"/>
      <c r="M75" s="318"/>
      <c r="N75" s="337"/>
      <c r="O75" s="357">
        <f>+'Avg Bill by RS'!G48-'Avg Bill by RS'!G41</f>
        <v>250</v>
      </c>
    </row>
    <row r="76" spans="1:16" x14ac:dyDescent="0.25">
      <c r="A76" s="262" t="s">
        <v>312</v>
      </c>
      <c r="B76" s="314"/>
      <c r="C76" s="315" t="s">
        <v>6</v>
      </c>
      <c r="D76" s="316"/>
      <c r="E76" s="316"/>
      <c r="F76" s="318"/>
      <c r="G76" s="316"/>
      <c r="H76" s="317"/>
      <c r="I76" s="314"/>
      <c r="J76" s="315" t="s">
        <v>6</v>
      </c>
      <c r="K76" s="316">
        <f>+'Rates in detail'!V41-Temporaries!AD41</f>
        <v>0.11817999999999999</v>
      </c>
      <c r="L76" s="316">
        <v>0</v>
      </c>
      <c r="M76" s="318" t="s">
        <v>305</v>
      </c>
      <c r="N76" s="316">
        <f>+Temporaries!AD41</f>
        <v>-2.3000000000000001E-4</v>
      </c>
      <c r="O76" s="317">
        <f t="shared" ref="O76:O81" si="3">N76+L76+K76</f>
        <v>0.11795</v>
      </c>
      <c r="P76" s="301">
        <f>+O76-'Rates in detail'!V41</f>
        <v>0</v>
      </c>
    </row>
    <row r="77" spans="1:16" x14ac:dyDescent="0.25">
      <c r="A77" s="262" t="s">
        <v>312</v>
      </c>
      <c r="B77" s="314"/>
      <c r="C77" s="315" t="s">
        <v>7</v>
      </c>
      <c r="D77" s="316"/>
      <c r="E77" s="316"/>
      <c r="F77" s="318"/>
      <c r="G77" s="316"/>
      <c r="H77" s="317"/>
      <c r="I77" s="314"/>
      <c r="J77" s="315" t="s">
        <v>7</v>
      </c>
      <c r="K77" s="316">
        <f>+'Rates in detail'!V42-Temporaries!AD42</f>
        <v>0.10579</v>
      </c>
      <c r="L77" s="316">
        <v>0</v>
      </c>
      <c r="M77" s="318" t="s">
        <v>305</v>
      </c>
      <c r="N77" s="316">
        <f>+Temporaries!AD42</f>
        <v>-2.1000000000000001E-4</v>
      </c>
      <c r="O77" s="317">
        <f t="shared" si="3"/>
        <v>0.10557999999999999</v>
      </c>
      <c r="P77" s="301">
        <f>+O77-'Rates in detail'!V42</f>
        <v>0</v>
      </c>
    </row>
    <row r="78" spans="1:16" x14ac:dyDescent="0.25">
      <c r="A78" s="262" t="s">
        <v>312</v>
      </c>
      <c r="B78" s="314"/>
      <c r="C78" s="315" t="s">
        <v>8</v>
      </c>
      <c r="D78" s="316"/>
      <c r="E78" s="316"/>
      <c r="F78" s="318"/>
      <c r="G78" s="316"/>
      <c r="H78" s="317"/>
      <c r="I78" s="314"/>
      <c r="J78" s="315" t="s">
        <v>8</v>
      </c>
      <c r="K78" s="316">
        <f>+'Rates in detail'!V43-Temporaries!AD43</f>
        <v>8.1119999999999998E-2</v>
      </c>
      <c r="L78" s="316">
        <v>0</v>
      </c>
      <c r="M78" s="318" t="s">
        <v>305</v>
      </c>
      <c r="N78" s="316">
        <f>+Temporaries!AD43</f>
        <v>-1.6000000000000001E-4</v>
      </c>
      <c r="O78" s="317">
        <f t="shared" si="3"/>
        <v>8.0960000000000004E-2</v>
      </c>
      <c r="P78" s="301">
        <f>+O78-'Rates in detail'!V43</f>
        <v>0</v>
      </c>
    </row>
    <row r="79" spans="1:16" x14ac:dyDescent="0.25">
      <c r="A79" s="262" t="s">
        <v>312</v>
      </c>
      <c r="B79" s="314"/>
      <c r="C79" s="315" t="s">
        <v>9</v>
      </c>
      <c r="D79" s="316"/>
      <c r="E79" s="316"/>
      <c r="F79" s="318"/>
      <c r="G79" s="316"/>
      <c r="H79" s="317"/>
      <c r="I79" s="314"/>
      <c r="J79" s="315" t="s">
        <v>9</v>
      </c>
      <c r="K79" s="316">
        <f>+'Rates in detail'!V44-Temporaries!AD44</f>
        <v>6.4899999999999999E-2</v>
      </c>
      <c r="L79" s="316">
        <v>0</v>
      </c>
      <c r="M79" s="318" t="s">
        <v>305</v>
      </c>
      <c r="N79" s="316">
        <f>+Temporaries!AD44</f>
        <v>-1.2999999999999999E-4</v>
      </c>
      <c r="O79" s="317">
        <f t="shared" si="3"/>
        <v>6.4769999999999994E-2</v>
      </c>
      <c r="P79" s="301">
        <f>+O79-'Rates in detail'!V44</f>
        <v>0</v>
      </c>
    </row>
    <row r="80" spans="1:16" x14ac:dyDescent="0.25">
      <c r="A80" s="262" t="s">
        <v>312</v>
      </c>
      <c r="B80" s="314"/>
      <c r="C80" s="315" t="s">
        <v>10</v>
      </c>
      <c r="D80" s="316"/>
      <c r="E80" s="316"/>
      <c r="F80" s="318"/>
      <c r="G80" s="316"/>
      <c r="H80" s="317"/>
      <c r="I80" s="314"/>
      <c r="J80" s="315" t="s">
        <v>10</v>
      </c>
      <c r="K80" s="316">
        <f>+'Rates in detail'!V45-Temporaries!AD45</f>
        <v>4.3270000000000003E-2</v>
      </c>
      <c r="L80" s="316">
        <v>0</v>
      </c>
      <c r="M80" s="318" t="s">
        <v>305</v>
      </c>
      <c r="N80" s="316">
        <f>+Temporaries!AD45</f>
        <v>-9.0000000000000006E-5</v>
      </c>
      <c r="O80" s="317">
        <f t="shared" si="3"/>
        <v>4.3180000000000003E-2</v>
      </c>
      <c r="P80" s="301">
        <f>+O80-'Rates in detail'!V45</f>
        <v>0</v>
      </c>
    </row>
    <row r="81" spans="1:16" x14ac:dyDescent="0.25">
      <c r="A81" s="262" t="s">
        <v>312</v>
      </c>
      <c r="B81" s="314"/>
      <c r="C81" s="315" t="s">
        <v>11</v>
      </c>
      <c r="D81" s="316"/>
      <c r="E81" s="316"/>
      <c r="F81" s="318"/>
      <c r="G81" s="316"/>
      <c r="H81" s="317"/>
      <c r="I81" s="314"/>
      <c r="J81" s="315" t="s">
        <v>11</v>
      </c>
      <c r="K81" s="316">
        <f>+'Rates in detail'!V46-Temporaries!AD46</f>
        <v>1.6219999999999998E-2</v>
      </c>
      <c r="L81" s="316">
        <v>0</v>
      </c>
      <c r="M81" s="318" t="s">
        <v>305</v>
      </c>
      <c r="N81" s="316">
        <f>+Temporaries!AD46</f>
        <v>-3.0000000000000001E-5</v>
      </c>
      <c r="O81" s="317">
        <f t="shared" si="3"/>
        <v>1.619E-2</v>
      </c>
      <c r="P81" s="301">
        <f>+O81-'Rates in detail'!V46</f>
        <v>0</v>
      </c>
    </row>
    <row r="82" spans="1:16" ht="13.8" thickBot="1" x14ac:dyDescent="0.3">
      <c r="A82" s="262" t="s">
        <v>312</v>
      </c>
      <c r="B82" s="326"/>
      <c r="C82" s="327" t="s">
        <v>319</v>
      </c>
      <c r="D82" s="341"/>
      <c r="E82" s="341"/>
      <c r="F82" s="329"/>
      <c r="G82" s="341"/>
      <c r="H82" s="358"/>
      <c r="I82" s="319"/>
      <c r="J82" s="303" t="s">
        <v>319</v>
      </c>
      <c r="K82" s="346"/>
      <c r="L82" s="346"/>
      <c r="M82" s="320"/>
      <c r="N82" s="346"/>
      <c r="O82" s="378">
        <f>+Inputs!B24</f>
        <v>0.15748000000000001</v>
      </c>
    </row>
    <row r="83" spans="1:16" ht="13.8" thickTop="1" x14ac:dyDescent="0.25">
      <c r="A83" s="262" t="s">
        <v>312</v>
      </c>
      <c r="B83" s="309" t="s">
        <v>327</v>
      </c>
      <c r="C83" s="310" t="s">
        <v>302</v>
      </c>
      <c r="D83" s="344"/>
      <c r="E83" s="344"/>
      <c r="F83" s="324"/>
      <c r="G83" s="344"/>
      <c r="H83" s="345"/>
      <c r="I83" s="309" t="s">
        <v>328</v>
      </c>
      <c r="J83" s="310" t="s">
        <v>302</v>
      </c>
      <c r="K83" s="344"/>
      <c r="L83" s="344"/>
      <c r="M83" s="324"/>
      <c r="N83" s="344"/>
      <c r="O83" s="345" t="s">
        <v>291</v>
      </c>
    </row>
    <row r="84" spans="1:16" x14ac:dyDescent="0.25">
      <c r="A84" s="262" t="s">
        <v>312</v>
      </c>
      <c r="B84" s="314"/>
      <c r="C84" s="315" t="s">
        <v>326</v>
      </c>
      <c r="D84" s="337"/>
      <c r="E84" s="337"/>
      <c r="F84" s="318"/>
      <c r="G84" s="337"/>
      <c r="H84" s="359"/>
      <c r="I84" s="360"/>
      <c r="J84" s="315" t="s">
        <v>326</v>
      </c>
      <c r="K84" s="337"/>
      <c r="L84" s="337"/>
      <c r="M84" s="318"/>
      <c r="N84" s="337"/>
      <c r="O84" s="359" t="s">
        <v>291</v>
      </c>
    </row>
    <row r="85" spans="1:16" x14ac:dyDescent="0.25">
      <c r="A85" s="262" t="s">
        <v>312</v>
      </c>
      <c r="B85" s="314"/>
      <c r="C85" s="315" t="s">
        <v>6</v>
      </c>
      <c r="D85" s="316"/>
      <c r="E85" s="316"/>
      <c r="F85" s="318"/>
      <c r="G85" s="316"/>
      <c r="H85" s="317"/>
      <c r="I85" s="360"/>
      <c r="J85" s="315" t="s">
        <v>6</v>
      </c>
      <c r="K85" s="316">
        <f>+'Rates in detail'!V59-Temporaries!AD59</f>
        <v>0.11817999999999999</v>
      </c>
      <c r="L85" s="316">
        <v>0</v>
      </c>
      <c r="M85" s="318" t="s">
        <v>305</v>
      </c>
      <c r="N85" s="316">
        <f>+Temporaries!AD59</f>
        <v>-2.1000000000000001E-4</v>
      </c>
      <c r="O85" s="317">
        <f t="shared" ref="O85:O90" si="4">N85+L85+K85</f>
        <v>0.11796999999999999</v>
      </c>
      <c r="P85" s="301">
        <f>+O85-'Rates in detail'!V59</f>
        <v>0</v>
      </c>
    </row>
    <row r="86" spans="1:16" x14ac:dyDescent="0.25">
      <c r="A86" s="262" t="s">
        <v>312</v>
      </c>
      <c r="B86" s="314"/>
      <c r="C86" s="315" t="s">
        <v>7</v>
      </c>
      <c r="D86" s="316"/>
      <c r="E86" s="316"/>
      <c r="F86" s="318"/>
      <c r="G86" s="316"/>
      <c r="H86" s="317"/>
      <c r="I86" s="360"/>
      <c r="J86" s="315" t="s">
        <v>7</v>
      </c>
      <c r="K86" s="316">
        <f>+'Rates in detail'!V60-Temporaries!AD60</f>
        <v>0.10579</v>
      </c>
      <c r="L86" s="316">
        <v>0</v>
      </c>
      <c r="M86" s="318" t="s">
        <v>305</v>
      </c>
      <c r="N86" s="316">
        <f>+Temporaries!AD60</f>
        <v>-1.9000000000000001E-4</v>
      </c>
      <c r="O86" s="317">
        <f t="shared" si="4"/>
        <v>0.1056</v>
      </c>
      <c r="P86" s="301">
        <f>+O86-'Rates in detail'!V60</f>
        <v>0</v>
      </c>
    </row>
    <row r="87" spans="1:16" x14ac:dyDescent="0.25">
      <c r="A87" s="262" t="s">
        <v>312</v>
      </c>
      <c r="B87" s="314"/>
      <c r="C87" s="315" t="s">
        <v>8</v>
      </c>
      <c r="D87" s="316"/>
      <c r="E87" s="316"/>
      <c r="F87" s="318"/>
      <c r="G87" s="316"/>
      <c r="H87" s="317"/>
      <c r="I87" s="360"/>
      <c r="J87" s="315" t="s">
        <v>8</v>
      </c>
      <c r="K87" s="316">
        <f>+'Rates in detail'!V61-Temporaries!AD61</f>
        <v>8.1119999999999998E-2</v>
      </c>
      <c r="L87" s="316">
        <v>0</v>
      </c>
      <c r="M87" s="318" t="s">
        <v>305</v>
      </c>
      <c r="N87" s="316">
        <f>+Temporaries!AD61</f>
        <v>-1.3999999999999999E-4</v>
      </c>
      <c r="O87" s="317">
        <f t="shared" si="4"/>
        <v>8.0979999999999996E-2</v>
      </c>
      <c r="P87" s="301">
        <f>+O87-'Rates in detail'!V61</f>
        <v>0</v>
      </c>
    </row>
    <row r="88" spans="1:16" x14ac:dyDescent="0.25">
      <c r="A88" s="262" t="s">
        <v>312</v>
      </c>
      <c r="B88" s="314"/>
      <c r="C88" s="315" t="s">
        <v>9</v>
      </c>
      <c r="D88" s="316"/>
      <c r="E88" s="316"/>
      <c r="F88" s="318"/>
      <c r="G88" s="316"/>
      <c r="H88" s="317"/>
      <c r="I88" s="360"/>
      <c r="J88" s="315" t="s">
        <v>9</v>
      </c>
      <c r="K88" s="316">
        <f>+'Rates in detail'!V62-Temporaries!AD62</f>
        <v>6.4899999999999999E-2</v>
      </c>
      <c r="L88" s="316">
        <v>0</v>
      </c>
      <c r="M88" s="318" t="s">
        <v>305</v>
      </c>
      <c r="N88" s="316">
        <f>+Temporaries!AD62</f>
        <v>-1.1E-4</v>
      </c>
      <c r="O88" s="317">
        <f t="shared" si="4"/>
        <v>6.479E-2</v>
      </c>
      <c r="P88" s="301">
        <f>+O88-'Rates in detail'!V62</f>
        <v>0</v>
      </c>
    </row>
    <row r="89" spans="1:16" x14ac:dyDescent="0.25">
      <c r="A89" s="262" t="s">
        <v>312</v>
      </c>
      <c r="B89" s="314"/>
      <c r="C89" s="315" t="s">
        <v>10</v>
      </c>
      <c r="D89" s="316"/>
      <c r="E89" s="316"/>
      <c r="F89" s="318"/>
      <c r="G89" s="316"/>
      <c r="H89" s="317"/>
      <c r="I89" s="360"/>
      <c r="J89" s="315" t="s">
        <v>10</v>
      </c>
      <c r="K89" s="316">
        <f>+'Rates in detail'!V63-Temporaries!AD63</f>
        <v>4.3270000000000003E-2</v>
      </c>
      <c r="L89" s="316">
        <v>0</v>
      </c>
      <c r="M89" s="318" t="s">
        <v>305</v>
      </c>
      <c r="N89" s="316">
        <f>+Temporaries!AD63</f>
        <v>-8.0000000000000007E-5</v>
      </c>
      <c r="O89" s="317">
        <f t="shared" si="4"/>
        <v>4.3190000000000006E-2</v>
      </c>
      <c r="P89" s="301">
        <f>+O89-'Rates in detail'!V63</f>
        <v>0</v>
      </c>
    </row>
    <row r="90" spans="1:16" ht="13.8" thickBot="1" x14ac:dyDescent="0.3">
      <c r="A90" s="262" t="s">
        <v>312</v>
      </c>
      <c r="B90" s="326"/>
      <c r="C90" s="327" t="s">
        <v>11</v>
      </c>
      <c r="D90" s="328"/>
      <c r="E90" s="328"/>
      <c r="F90" s="329"/>
      <c r="G90" s="328"/>
      <c r="H90" s="330"/>
      <c r="I90" s="361"/>
      <c r="J90" s="327" t="s">
        <v>11</v>
      </c>
      <c r="K90" s="328">
        <f>+'Rates in detail'!V64-Temporaries!AD64</f>
        <v>1.6219999999999998E-2</v>
      </c>
      <c r="L90" s="328">
        <v>0</v>
      </c>
      <c r="M90" s="329" t="s">
        <v>305</v>
      </c>
      <c r="N90" s="328">
        <f>+Temporaries!AD64</f>
        <v>-3.0000000000000001E-5</v>
      </c>
      <c r="O90" s="330">
        <f t="shared" si="4"/>
        <v>1.619E-2</v>
      </c>
      <c r="P90" s="301">
        <f>+O90-'Rates in detail'!V64</f>
        <v>0</v>
      </c>
    </row>
    <row r="91" spans="1:16" ht="13.8" thickTop="1" x14ac:dyDescent="0.25">
      <c r="H91" s="362"/>
    </row>
  </sheetData>
  <phoneticPr fontId="2" type="noConversion"/>
  <printOptions horizontalCentered="1"/>
  <pageMargins left="0.5" right="0.5" top="0.25" bottom="0.25" header="0.25" footer="0.25"/>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pageSetUpPr fitToPage="1"/>
  </sheetPr>
  <dimension ref="A1:K72"/>
  <sheetViews>
    <sheetView showGridLines="0" zoomScaleNormal="100" workbookViewId="0">
      <selection activeCell="D2" sqref="D2"/>
    </sheetView>
  </sheetViews>
  <sheetFormatPr defaultColWidth="9.33203125" defaultRowHeight="13.2" x14ac:dyDescent="0.25"/>
  <cols>
    <col min="1" max="1" width="5.88671875" style="2" customWidth="1"/>
    <col min="2" max="2" width="15.88671875" style="37" customWidth="1"/>
    <col min="3" max="3" width="51.88671875" style="2" customWidth="1"/>
    <col min="4" max="4" width="62.6640625" style="2" customWidth="1"/>
    <col min="5" max="5" width="30.88671875" style="2" customWidth="1"/>
    <col min="6" max="6" width="51.88671875" style="2" customWidth="1"/>
    <col min="7" max="10" width="20.88671875" style="2" customWidth="1"/>
    <col min="11" max="29" width="12.88671875" style="2" customWidth="1"/>
    <col min="30" max="16384" width="9.33203125" style="2"/>
  </cols>
  <sheetData>
    <row r="1" spans="1:11" ht="13.8" x14ac:dyDescent="0.25">
      <c r="A1" s="32" t="str">
        <f>+'Washington volumes'!A1</f>
        <v>NW Natural</v>
      </c>
      <c r="B1" s="2"/>
    </row>
    <row r="2" spans="1:11" ht="13.8" x14ac:dyDescent="0.25">
      <c r="A2" s="32" t="str">
        <f>+'Washington volumes'!A2</f>
        <v>Rates &amp; Regulatory Affairs</v>
      </c>
      <c r="B2" s="2"/>
    </row>
    <row r="3" spans="1:11" ht="13.8" x14ac:dyDescent="0.25">
      <c r="A3" s="32" t="str">
        <f>+'Washington volumes'!A3</f>
        <v>2018-2019 PGA Filing - Washington: September Filing</v>
      </c>
      <c r="B3" s="2"/>
    </row>
    <row r="4" spans="1:11" ht="13.8" x14ac:dyDescent="0.25">
      <c r="A4" s="32" t="s">
        <v>19</v>
      </c>
      <c r="B4" s="2"/>
      <c r="D4" s="436"/>
    </row>
    <row r="5" spans="1:11" ht="13.8" thickBot="1" x14ac:dyDescent="0.3">
      <c r="B5" s="2"/>
    </row>
    <row r="6" spans="1:11" ht="13.8" thickBot="1" x14ac:dyDescent="0.3">
      <c r="A6" s="156">
        <v>1</v>
      </c>
      <c r="B6" s="382" t="s">
        <v>22</v>
      </c>
      <c r="C6" s="383" t="s">
        <v>20</v>
      </c>
      <c r="D6" s="383" t="s">
        <v>21</v>
      </c>
      <c r="E6" s="383"/>
      <c r="F6" s="384"/>
    </row>
    <row r="7" spans="1:11" x14ac:dyDescent="0.25">
      <c r="A7" s="156">
        <f>+A6+1</f>
        <v>2</v>
      </c>
      <c r="B7" s="2"/>
    </row>
    <row r="8" spans="1:11" x14ac:dyDescent="0.25">
      <c r="A8" s="156">
        <f t="shared" ref="A8:A55" si="0">+A7+1</f>
        <v>3</v>
      </c>
      <c r="B8" s="37">
        <v>52294158.729866467</v>
      </c>
      <c r="C8" s="192" t="s">
        <v>259</v>
      </c>
      <c r="D8" s="369" t="s">
        <v>631</v>
      </c>
      <c r="E8" s="36"/>
      <c r="F8" s="620"/>
    </row>
    <row r="9" spans="1:11" x14ac:dyDescent="0.25">
      <c r="A9" s="156">
        <f t="shared" si="0"/>
        <v>4</v>
      </c>
      <c r="C9" s="192"/>
      <c r="D9" s="192"/>
      <c r="E9" s="36"/>
      <c r="G9" s="561"/>
      <c r="H9" s="561"/>
      <c r="I9" s="561"/>
      <c r="J9" s="561"/>
      <c r="K9" s="561"/>
    </row>
    <row r="10" spans="1:11" x14ac:dyDescent="0.25">
      <c r="A10" s="156">
        <f t="shared" si="0"/>
        <v>5</v>
      </c>
      <c r="B10" s="37">
        <v>22733242.42891242</v>
      </c>
      <c r="C10" s="192" t="s">
        <v>260</v>
      </c>
      <c r="D10" s="369" t="str">
        <f>+D8</f>
        <v>PGA Forecast 9-4-18.xlsx</v>
      </c>
      <c r="E10" s="36"/>
      <c r="F10" s="620"/>
    </row>
    <row r="11" spans="1:11" x14ac:dyDescent="0.25">
      <c r="A11" s="156">
        <f t="shared" si="0"/>
        <v>6</v>
      </c>
      <c r="C11" s="192"/>
      <c r="D11" s="369"/>
      <c r="E11" s="36"/>
    </row>
    <row r="12" spans="1:11" x14ac:dyDescent="0.25">
      <c r="A12" s="156">
        <f t="shared" si="0"/>
        <v>7</v>
      </c>
      <c r="B12" s="37">
        <v>3109754.6999999997</v>
      </c>
      <c r="C12" s="192" t="s">
        <v>262</v>
      </c>
      <c r="D12" s="369" t="str">
        <f>+D10</f>
        <v>PGA Forecast 9-4-18.xlsx</v>
      </c>
      <c r="E12" s="36"/>
      <c r="F12" s="620"/>
      <c r="G12" s="436"/>
    </row>
    <row r="13" spans="1:11" x14ac:dyDescent="0.25">
      <c r="A13" s="156">
        <f t="shared" si="0"/>
        <v>8</v>
      </c>
      <c r="C13" s="192"/>
      <c r="D13" s="369"/>
      <c r="E13" s="36"/>
    </row>
    <row r="14" spans="1:11" x14ac:dyDescent="0.25">
      <c r="A14" s="156">
        <f t="shared" si="0"/>
        <v>9</v>
      </c>
      <c r="B14" s="37">
        <v>1356597</v>
      </c>
      <c r="C14" s="192" t="s">
        <v>382</v>
      </c>
      <c r="D14" s="369" t="str">
        <f>+D12</f>
        <v>PGA Forecast 9-4-18.xlsx</v>
      </c>
      <c r="E14" s="36"/>
      <c r="F14" s="620"/>
      <c r="G14" s="436"/>
    </row>
    <row r="15" spans="1:11" x14ac:dyDescent="0.25">
      <c r="A15" s="156">
        <f t="shared" si="0"/>
        <v>10</v>
      </c>
      <c r="C15" s="192"/>
      <c r="D15" s="192"/>
      <c r="E15" s="36"/>
    </row>
    <row r="16" spans="1:11" x14ac:dyDescent="0.25">
      <c r="A16" s="156">
        <f t="shared" si="0"/>
        <v>11</v>
      </c>
      <c r="B16" s="36">
        <v>0.22356000000000001</v>
      </c>
      <c r="C16" s="192" t="s">
        <v>32</v>
      </c>
      <c r="D16" s="369" t="s">
        <v>632</v>
      </c>
      <c r="E16" s="36"/>
      <c r="G16" s="436"/>
    </row>
    <row r="17" spans="1:7" x14ac:dyDescent="0.25">
      <c r="A17" s="156">
        <f t="shared" si="0"/>
        <v>12</v>
      </c>
      <c r="B17" s="36"/>
      <c r="C17" s="192"/>
      <c r="D17" s="369"/>
      <c r="E17" s="38"/>
      <c r="G17" s="436"/>
    </row>
    <row r="18" spans="1:7" x14ac:dyDescent="0.25">
      <c r="A18" s="156">
        <f t="shared" si="0"/>
        <v>13</v>
      </c>
      <c r="B18" s="36">
        <v>0.1113</v>
      </c>
      <c r="C18" s="192" t="s">
        <v>223</v>
      </c>
      <c r="D18" s="369" t="str">
        <f>D16</f>
        <v>NWN 2018-19 PGA gas cost file September filing.xls</v>
      </c>
      <c r="E18" s="38"/>
      <c r="G18" s="35"/>
    </row>
    <row r="19" spans="1:7" x14ac:dyDescent="0.25">
      <c r="A19" s="156">
        <f t="shared" si="0"/>
        <v>14</v>
      </c>
      <c r="B19" s="36"/>
      <c r="C19" s="192"/>
      <c r="D19" s="369"/>
      <c r="E19" s="38"/>
      <c r="G19" s="35"/>
    </row>
    <row r="20" spans="1:7" x14ac:dyDescent="0.25">
      <c r="A20" s="156">
        <f t="shared" si="0"/>
        <v>15</v>
      </c>
      <c r="B20" s="36">
        <v>3.8879999999999998E-2</v>
      </c>
      <c r="C20" s="192" t="s">
        <v>224</v>
      </c>
      <c r="D20" s="369" t="str">
        <f>D16</f>
        <v>NWN 2018-19 PGA gas cost file September filing.xls</v>
      </c>
      <c r="E20" s="36"/>
      <c r="G20" s="35"/>
    </row>
    <row r="21" spans="1:7" x14ac:dyDescent="0.25">
      <c r="A21" s="156">
        <f t="shared" si="0"/>
        <v>16</v>
      </c>
      <c r="B21" s="36"/>
      <c r="C21" s="192"/>
      <c r="D21" s="369"/>
      <c r="E21" s="36"/>
      <c r="G21" s="35"/>
    </row>
    <row r="22" spans="1:7" x14ac:dyDescent="0.25">
      <c r="A22" s="156">
        <f t="shared" si="0"/>
        <v>17</v>
      </c>
      <c r="B22" s="38">
        <v>1.66</v>
      </c>
      <c r="C22" s="192" t="s">
        <v>225</v>
      </c>
      <c r="D22" s="369" t="str">
        <f>D16</f>
        <v>NWN 2018-19 PGA gas cost file September filing.xls</v>
      </c>
      <c r="E22" s="36"/>
      <c r="G22" s="35"/>
    </row>
    <row r="23" spans="1:7" x14ac:dyDescent="0.25">
      <c r="A23" s="156">
        <f t="shared" si="0"/>
        <v>18</v>
      </c>
      <c r="B23" s="38"/>
      <c r="C23" s="192"/>
      <c r="D23" s="192"/>
      <c r="E23" s="36"/>
      <c r="G23" s="35"/>
    </row>
    <row r="24" spans="1:7" x14ac:dyDescent="0.25">
      <c r="A24" s="156">
        <f t="shared" si="0"/>
        <v>19</v>
      </c>
      <c r="B24" s="36">
        <v>0.15748000000000001</v>
      </c>
      <c r="C24" s="192" t="s">
        <v>226</v>
      </c>
      <c r="D24" s="369" t="s">
        <v>282</v>
      </c>
      <c r="E24" s="36"/>
      <c r="G24" s="35"/>
    </row>
    <row r="25" spans="1:7" x14ac:dyDescent="0.25">
      <c r="A25" s="156">
        <f t="shared" si="0"/>
        <v>20</v>
      </c>
      <c r="B25" s="38"/>
      <c r="C25" s="192"/>
      <c r="D25" s="192"/>
      <c r="E25" s="36"/>
      <c r="G25" s="35"/>
    </row>
    <row r="26" spans="1:7" x14ac:dyDescent="0.25">
      <c r="A26" s="156">
        <f t="shared" si="0"/>
        <v>21</v>
      </c>
      <c r="B26" s="36">
        <v>0.20415</v>
      </c>
      <c r="C26" s="192" t="s">
        <v>227</v>
      </c>
      <c r="D26" s="369" t="s">
        <v>282</v>
      </c>
      <c r="E26" s="36"/>
      <c r="G26" s="35"/>
    </row>
    <row r="27" spans="1:7" x14ac:dyDescent="0.25">
      <c r="A27" s="156">
        <f t="shared" si="0"/>
        <v>22</v>
      </c>
      <c r="B27" s="36"/>
      <c r="C27" s="192"/>
      <c r="D27" s="369"/>
      <c r="E27" s="36"/>
      <c r="G27" s="35"/>
    </row>
    <row r="28" spans="1:7" x14ac:dyDescent="0.25">
      <c r="A28" s="156">
        <f t="shared" si="0"/>
        <v>23</v>
      </c>
      <c r="B28" s="36">
        <v>0.10208</v>
      </c>
      <c r="C28" s="192" t="s">
        <v>281</v>
      </c>
      <c r="D28" s="369" t="s">
        <v>282</v>
      </c>
    </row>
    <row r="29" spans="1:7" x14ac:dyDescent="0.25">
      <c r="A29" s="156">
        <f t="shared" si="0"/>
        <v>24</v>
      </c>
      <c r="B29" s="36"/>
      <c r="C29" s="192"/>
      <c r="D29" s="369"/>
    </row>
    <row r="30" spans="1:7" x14ac:dyDescent="0.25">
      <c r="A30" s="156">
        <f t="shared" si="0"/>
        <v>25</v>
      </c>
      <c r="B30" s="39">
        <v>4.3720000000000002E-2</v>
      </c>
      <c r="C30" s="192" t="s">
        <v>23</v>
      </c>
      <c r="D30" s="369" t="s">
        <v>363</v>
      </c>
    </row>
    <row r="31" spans="1:7" x14ac:dyDescent="0.25">
      <c r="A31" s="156">
        <f t="shared" si="0"/>
        <v>26</v>
      </c>
      <c r="B31" s="39"/>
      <c r="C31" s="192"/>
      <c r="D31" s="369"/>
    </row>
    <row r="32" spans="1:7" x14ac:dyDescent="0.25">
      <c r="A32" s="156">
        <f t="shared" si="0"/>
        <v>27</v>
      </c>
      <c r="B32" s="708">
        <v>0.26512999999999998</v>
      </c>
      <c r="C32" s="192" t="s">
        <v>270</v>
      </c>
      <c r="D32" s="369" t="str">
        <f>+D22</f>
        <v>NWN 2018-19 PGA gas cost file September filing.xls</v>
      </c>
    </row>
    <row r="33" spans="1:6" ht="13.8" thickBot="1" x14ac:dyDescent="0.3">
      <c r="A33" s="156">
        <f t="shared" si="0"/>
        <v>28</v>
      </c>
      <c r="C33" s="192"/>
      <c r="D33" s="192"/>
    </row>
    <row r="34" spans="1:6" ht="13.8" thickBot="1" x14ac:dyDescent="0.3">
      <c r="A34" s="156">
        <f t="shared" si="0"/>
        <v>29</v>
      </c>
      <c r="C34" s="382" t="s">
        <v>24</v>
      </c>
      <c r="D34" s="383" t="s">
        <v>21</v>
      </c>
      <c r="E34" s="385" t="s">
        <v>38</v>
      </c>
      <c r="F34" s="386" t="s">
        <v>39</v>
      </c>
    </row>
    <row r="35" spans="1:6" x14ac:dyDescent="0.25">
      <c r="A35" s="156">
        <f t="shared" si="0"/>
        <v>30</v>
      </c>
    </row>
    <row r="36" spans="1:6" x14ac:dyDescent="0.25">
      <c r="A36" s="156">
        <f t="shared" si="0"/>
        <v>31</v>
      </c>
      <c r="B36" s="37">
        <v>-1998283</v>
      </c>
      <c r="C36" s="192" t="s">
        <v>25</v>
      </c>
      <c r="D36" s="369" t="s">
        <v>26</v>
      </c>
      <c r="E36" s="192" t="s">
        <v>40</v>
      </c>
      <c r="F36" s="192" t="s">
        <v>571</v>
      </c>
    </row>
    <row r="37" spans="1:6" x14ac:dyDescent="0.25">
      <c r="A37" s="156">
        <f t="shared" si="0"/>
        <v>32</v>
      </c>
      <c r="C37" s="192"/>
      <c r="D37" s="369"/>
      <c r="E37" s="192"/>
      <c r="F37" s="192"/>
    </row>
    <row r="38" spans="1:6" x14ac:dyDescent="0.25">
      <c r="A38" s="156">
        <f t="shared" si="0"/>
        <v>33</v>
      </c>
      <c r="B38" s="37">
        <v>-2005163</v>
      </c>
      <c r="C38" s="192" t="s">
        <v>49</v>
      </c>
      <c r="D38" s="369" t="s">
        <v>26</v>
      </c>
      <c r="E38" s="192" t="s">
        <v>40</v>
      </c>
      <c r="F38" s="192" t="s">
        <v>572</v>
      </c>
    </row>
    <row r="39" spans="1:6" x14ac:dyDescent="0.25">
      <c r="A39" s="156">
        <f t="shared" si="0"/>
        <v>34</v>
      </c>
      <c r="C39" s="192"/>
      <c r="D39" s="369"/>
      <c r="E39" s="192"/>
      <c r="F39" s="192"/>
    </row>
    <row r="40" spans="1:6" x14ac:dyDescent="0.25">
      <c r="A40" s="156">
        <f t="shared" si="0"/>
        <v>35</v>
      </c>
      <c r="B40" s="37">
        <v>-12158</v>
      </c>
      <c r="C40" s="192" t="s">
        <v>50</v>
      </c>
      <c r="D40" s="369" t="s">
        <v>26</v>
      </c>
      <c r="E40" s="192" t="s">
        <v>40</v>
      </c>
      <c r="F40" s="192" t="s">
        <v>573</v>
      </c>
    </row>
    <row r="41" spans="1:6" x14ac:dyDescent="0.25">
      <c r="A41" s="156">
        <f t="shared" si="0"/>
        <v>36</v>
      </c>
      <c r="C41" s="192"/>
      <c r="D41" s="369"/>
      <c r="E41" s="192"/>
      <c r="F41" s="192"/>
    </row>
    <row r="42" spans="1:6" x14ac:dyDescent="0.25">
      <c r="A42" s="156">
        <f t="shared" si="0"/>
        <v>37</v>
      </c>
      <c r="B42" s="37">
        <v>2297298</v>
      </c>
      <c r="C42" s="192" t="s">
        <v>371</v>
      </c>
      <c r="D42" s="369" t="s">
        <v>26</v>
      </c>
      <c r="E42" s="192" t="s">
        <v>246</v>
      </c>
      <c r="F42" s="192" t="s">
        <v>574</v>
      </c>
    </row>
    <row r="43" spans="1:6" x14ac:dyDescent="0.25">
      <c r="A43" s="156">
        <f t="shared" si="0"/>
        <v>38</v>
      </c>
      <c r="C43" s="192"/>
      <c r="D43" s="369"/>
      <c r="E43" s="192"/>
      <c r="F43" s="192"/>
    </row>
    <row r="44" spans="1:6" x14ac:dyDescent="0.25">
      <c r="A44" s="156">
        <f t="shared" si="0"/>
        <v>39</v>
      </c>
      <c r="B44" s="37">
        <v>82997</v>
      </c>
      <c r="C44" s="192" t="s">
        <v>364</v>
      </c>
      <c r="D44" s="369" t="s">
        <v>26</v>
      </c>
      <c r="E44" s="192" t="s">
        <v>246</v>
      </c>
      <c r="F44" s="192" t="s">
        <v>571</v>
      </c>
    </row>
    <row r="45" spans="1:6" x14ac:dyDescent="0.25">
      <c r="A45" s="156">
        <f t="shared" si="0"/>
        <v>40</v>
      </c>
      <c r="C45" s="192"/>
      <c r="D45" s="369"/>
      <c r="E45" s="192"/>
      <c r="F45" s="192"/>
    </row>
    <row r="46" spans="1:6" x14ac:dyDescent="0.25">
      <c r="A46" s="156">
        <f t="shared" si="0"/>
        <v>41</v>
      </c>
      <c r="B46" s="37">
        <v>354242</v>
      </c>
      <c r="C46" s="192" t="s">
        <v>330</v>
      </c>
      <c r="D46" s="369" t="s">
        <v>26</v>
      </c>
      <c r="E46" s="192" t="s">
        <v>246</v>
      </c>
      <c r="F46" s="192" t="s">
        <v>571</v>
      </c>
    </row>
    <row r="47" spans="1:6" x14ac:dyDescent="0.25">
      <c r="A47" s="156">
        <f t="shared" si="0"/>
        <v>42</v>
      </c>
      <c r="C47" s="192"/>
      <c r="D47" s="369"/>
      <c r="E47" s="192"/>
      <c r="F47" s="192"/>
    </row>
    <row r="48" spans="1:6" x14ac:dyDescent="0.25">
      <c r="A48" s="156">
        <f t="shared" si="0"/>
        <v>43</v>
      </c>
      <c r="B48" s="37">
        <v>-55000</v>
      </c>
      <c r="C48" s="2" t="s">
        <v>633</v>
      </c>
      <c r="D48" s="369" t="s">
        <v>634</v>
      </c>
      <c r="E48" s="192" t="s">
        <v>246</v>
      </c>
      <c r="F48" s="2" t="s">
        <v>626</v>
      </c>
    </row>
    <row r="49" spans="1:6" x14ac:dyDescent="0.25">
      <c r="A49" s="156">
        <f t="shared" si="0"/>
        <v>44</v>
      </c>
      <c r="D49" s="35"/>
    </row>
    <row r="50" spans="1:6" ht="13.8" thickBot="1" x14ac:dyDescent="0.3">
      <c r="A50" s="156">
        <f t="shared" si="0"/>
        <v>45</v>
      </c>
      <c r="D50" s="35"/>
    </row>
    <row r="51" spans="1:6" ht="13.8" thickBot="1" x14ac:dyDescent="0.3">
      <c r="A51" s="156">
        <f t="shared" si="0"/>
        <v>46</v>
      </c>
      <c r="C51" s="382" t="s">
        <v>247</v>
      </c>
      <c r="D51" s="383" t="s">
        <v>21</v>
      </c>
      <c r="E51" s="385" t="s">
        <v>38</v>
      </c>
      <c r="F51" s="386" t="s">
        <v>39</v>
      </c>
    </row>
    <row r="52" spans="1:6" x14ac:dyDescent="0.25">
      <c r="A52" s="156">
        <f t="shared" si="0"/>
        <v>47</v>
      </c>
      <c r="D52" s="35"/>
    </row>
    <row r="53" spans="1:6" x14ac:dyDescent="0.25">
      <c r="A53" s="156">
        <f t="shared" si="0"/>
        <v>48</v>
      </c>
      <c r="C53" s="192"/>
      <c r="D53" s="369"/>
      <c r="E53" s="192"/>
      <c r="F53" s="192"/>
    </row>
    <row r="54" spans="1:6" x14ac:dyDescent="0.25">
      <c r="A54" s="156">
        <f t="shared" si="0"/>
        <v>49</v>
      </c>
      <c r="D54" s="35"/>
    </row>
    <row r="55" spans="1:6" x14ac:dyDescent="0.25">
      <c r="A55" s="156">
        <f t="shared" si="0"/>
        <v>50</v>
      </c>
      <c r="B55" s="2"/>
    </row>
    <row r="56" spans="1:6" x14ac:dyDescent="0.25">
      <c r="A56" s="33"/>
      <c r="B56" s="646">
        <v>43405</v>
      </c>
      <c r="C56" s="414" t="s">
        <v>361</v>
      </c>
    </row>
    <row r="57" spans="1:6" x14ac:dyDescent="0.25">
      <c r="A57" s="33" t="s">
        <v>362</v>
      </c>
      <c r="B57" s="37">
        <v>-857226</v>
      </c>
      <c r="C57" s="2" t="s">
        <v>593</v>
      </c>
    </row>
    <row r="58" spans="1:6" x14ac:dyDescent="0.25">
      <c r="A58" s="33" t="s">
        <v>362</v>
      </c>
      <c r="B58" s="37">
        <v>-3684598</v>
      </c>
      <c r="C58" s="2" t="s">
        <v>271</v>
      </c>
    </row>
    <row r="59" spans="1:6" x14ac:dyDescent="0.25">
      <c r="A59" s="33" t="s">
        <v>362</v>
      </c>
      <c r="B59" s="37">
        <f>B53</f>
        <v>0</v>
      </c>
      <c r="C59" s="2" t="s">
        <v>635</v>
      </c>
    </row>
    <row r="60" spans="1:6" x14ac:dyDescent="0.25">
      <c r="A60" s="33"/>
    </row>
    <row r="61" spans="1:6" x14ac:dyDescent="0.25">
      <c r="A61" s="33"/>
    </row>
    <row r="62" spans="1:6" x14ac:dyDescent="0.25">
      <c r="A62" s="33"/>
    </row>
    <row r="63" spans="1:6" x14ac:dyDescent="0.25">
      <c r="A63" s="33"/>
    </row>
    <row r="64" spans="1:6" x14ac:dyDescent="0.25">
      <c r="A64" s="33"/>
    </row>
    <row r="65" spans="1:1" x14ac:dyDescent="0.25">
      <c r="A65" s="33"/>
    </row>
    <row r="66" spans="1:1" x14ac:dyDescent="0.25">
      <c r="A66" s="33"/>
    </row>
    <row r="67" spans="1:1" x14ac:dyDescent="0.25">
      <c r="A67" s="33"/>
    </row>
    <row r="68" spans="1:1" x14ac:dyDescent="0.25">
      <c r="A68" s="33"/>
    </row>
    <row r="69" spans="1:1" x14ac:dyDescent="0.25">
      <c r="A69" s="33"/>
    </row>
    <row r="70" spans="1:1" x14ac:dyDescent="0.25">
      <c r="A70" s="33"/>
    </row>
    <row r="71" spans="1:1" x14ac:dyDescent="0.25">
      <c r="A71" s="33"/>
    </row>
    <row r="72" spans="1:1" x14ac:dyDescent="0.25">
      <c r="A72" s="33"/>
    </row>
  </sheetData>
  <phoneticPr fontId="2" type="noConversion"/>
  <printOptions horizontalCentered="1"/>
  <pageMargins left="0.5" right="0.5" top="0.5" bottom="0.5" header="0.25" footer="0.25"/>
  <pageSetup scale="44" orientation="portrait" r:id="rId1"/>
  <headerFooter alignWithMargins="0">
    <oddHeader>&amp;RUG-181053 NWN Compliance Filing
Advice 19-07 / Work  Paper</oddHeader>
    <oddFooter xml:space="preserve">&amp;C&amp;F &amp;D &amp;T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pageSetUpPr fitToPage="1"/>
  </sheetPr>
  <dimension ref="A1:Q105"/>
  <sheetViews>
    <sheetView showGridLines="0" zoomScaleNormal="100" workbookViewId="0">
      <pane xSplit="4" ySplit="12" topLeftCell="E13" activePane="bottomRight" state="frozen"/>
      <selection activeCell="F18" sqref="F18"/>
      <selection pane="topRight" activeCell="F18" sqref="F18"/>
      <selection pane="bottomLeft" activeCell="F18" sqref="F18"/>
      <selection pane="bottomRight" activeCell="F18" sqref="F18"/>
    </sheetView>
  </sheetViews>
  <sheetFormatPr defaultColWidth="9.33203125" defaultRowHeight="13.2" x14ac:dyDescent="0.25"/>
  <cols>
    <col min="1" max="1" width="5.88671875" style="2" customWidth="1"/>
    <col min="2" max="2" width="17.88671875" style="69" customWidth="1"/>
    <col min="3" max="3" width="11.88671875" style="69" customWidth="1"/>
    <col min="4" max="4" width="14.33203125" style="69" hidden="1" customWidth="1"/>
    <col min="5" max="5" width="19.88671875" style="2" customWidth="1"/>
    <col min="6" max="10" width="16.88671875" style="2" customWidth="1"/>
    <col min="11" max="11" width="5.88671875" style="3" customWidth="1"/>
    <col min="12" max="12" width="14.6640625" style="192" customWidth="1"/>
    <col min="13" max="13" width="15.88671875" style="2" customWidth="1"/>
    <col min="14" max="14" width="8.6640625" style="2" customWidth="1"/>
    <col min="15" max="15" width="14.6640625" style="3" customWidth="1"/>
    <col min="16" max="16" width="9.33203125" style="2"/>
    <col min="17" max="17" width="10.33203125" style="2" bestFit="1" customWidth="1"/>
    <col min="18" max="16384" width="9.33203125" style="2"/>
  </cols>
  <sheetData>
    <row r="1" spans="1:17" ht="15" x14ac:dyDescent="0.25">
      <c r="A1" s="159" t="s">
        <v>0</v>
      </c>
    </row>
    <row r="2" spans="1:17" ht="15" x14ac:dyDescent="0.25">
      <c r="A2" s="159" t="s">
        <v>1</v>
      </c>
    </row>
    <row r="3" spans="1:17" ht="13.8" x14ac:dyDescent="0.25">
      <c r="A3" s="364" t="s">
        <v>621</v>
      </c>
    </row>
    <row r="4" spans="1:17" ht="13.8" x14ac:dyDescent="0.25">
      <c r="A4" s="160" t="s">
        <v>119</v>
      </c>
    </row>
    <row r="6" spans="1:17" x14ac:dyDescent="0.25">
      <c r="F6" s="162" t="s">
        <v>18</v>
      </c>
      <c r="G6" s="162" t="s">
        <v>18</v>
      </c>
      <c r="H6" s="162" t="s">
        <v>18</v>
      </c>
      <c r="I6" s="162" t="s">
        <v>18</v>
      </c>
    </row>
    <row r="7" spans="1:17" ht="15" x14ac:dyDescent="0.25">
      <c r="A7" s="43">
        <v>1</v>
      </c>
      <c r="B7" s="161"/>
      <c r="F7" s="162" t="s">
        <v>261</v>
      </c>
      <c r="G7" s="162" t="s">
        <v>261</v>
      </c>
      <c r="H7" s="162" t="s">
        <v>261</v>
      </c>
      <c r="I7" s="162" t="s">
        <v>261</v>
      </c>
    </row>
    <row r="8" spans="1:17" ht="15" x14ac:dyDescent="0.25">
      <c r="A8" s="43">
        <f>+A7+1</f>
        <v>2</v>
      </c>
      <c r="B8" s="161"/>
      <c r="E8" s="5" t="s">
        <v>17</v>
      </c>
      <c r="F8" s="162" t="s">
        <v>46</v>
      </c>
      <c r="G8" s="162" t="s">
        <v>47</v>
      </c>
      <c r="H8" s="162" t="s">
        <v>234</v>
      </c>
      <c r="I8" s="162" t="s">
        <v>233</v>
      </c>
      <c r="M8" s="5" t="s">
        <v>215</v>
      </c>
      <c r="O8" s="10"/>
    </row>
    <row r="9" spans="1:17" x14ac:dyDescent="0.25">
      <c r="A9" s="43">
        <f t="shared" ref="A9:A71" si="0">+A8+1</f>
        <v>3</v>
      </c>
      <c r="B9" s="163"/>
      <c r="E9" s="5" t="s">
        <v>266</v>
      </c>
      <c r="F9" s="162" t="s">
        <v>158</v>
      </c>
      <c r="G9" s="162" t="s">
        <v>158</v>
      </c>
      <c r="H9" s="162" t="s">
        <v>158</v>
      </c>
      <c r="I9" s="162" t="s">
        <v>158</v>
      </c>
      <c r="M9" s="5" t="s">
        <v>197</v>
      </c>
      <c r="O9" s="10"/>
    </row>
    <row r="10" spans="1:17" ht="13.8" thickBot="1" x14ac:dyDescent="0.3">
      <c r="A10" s="43">
        <f t="shared" si="0"/>
        <v>4</v>
      </c>
      <c r="E10" s="642" t="s">
        <v>622</v>
      </c>
      <c r="F10" s="164" t="s">
        <v>263</v>
      </c>
      <c r="G10" s="164" t="s">
        <v>263</v>
      </c>
      <c r="H10" s="164" t="s">
        <v>263</v>
      </c>
      <c r="I10" s="164" t="s">
        <v>263</v>
      </c>
      <c r="J10" s="164" t="s">
        <v>15</v>
      </c>
      <c r="K10" s="162"/>
      <c r="L10" s="164" t="s">
        <v>202</v>
      </c>
      <c r="M10" s="101" t="s">
        <v>203</v>
      </c>
      <c r="O10" s="10"/>
    </row>
    <row r="11" spans="1:17" x14ac:dyDescent="0.25">
      <c r="A11" s="43">
        <f t="shared" si="0"/>
        <v>5</v>
      </c>
      <c r="J11" s="5"/>
      <c r="K11" s="10"/>
      <c r="M11" s="5" t="s">
        <v>264</v>
      </c>
      <c r="O11" s="10"/>
    </row>
    <row r="12" spans="1:17" x14ac:dyDescent="0.25">
      <c r="A12" s="43">
        <f t="shared" si="0"/>
        <v>6</v>
      </c>
      <c r="B12" s="60" t="s">
        <v>2</v>
      </c>
      <c r="C12" s="11" t="s">
        <v>3</v>
      </c>
      <c r="D12" s="17" t="s">
        <v>159</v>
      </c>
      <c r="E12" s="12" t="s">
        <v>77</v>
      </c>
      <c r="F12" s="12" t="s">
        <v>78</v>
      </c>
      <c r="G12" s="12" t="s">
        <v>16</v>
      </c>
      <c r="H12" s="12" t="s">
        <v>79</v>
      </c>
      <c r="I12" s="12" t="s">
        <v>80</v>
      </c>
      <c r="J12" s="12" t="s">
        <v>81</v>
      </c>
      <c r="K12" s="10"/>
      <c r="L12" s="193" t="s">
        <v>82</v>
      </c>
      <c r="M12" s="5" t="s">
        <v>83</v>
      </c>
      <c r="N12" s="3"/>
      <c r="O12" s="10"/>
      <c r="P12" s="3"/>
      <c r="Q12" s="3"/>
    </row>
    <row r="13" spans="1:17" x14ac:dyDescent="0.25">
      <c r="A13" s="43">
        <f t="shared" si="0"/>
        <v>7</v>
      </c>
      <c r="B13" s="16" t="s">
        <v>4</v>
      </c>
      <c r="C13" s="13"/>
      <c r="D13" s="16" t="s">
        <v>4</v>
      </c>
      <c r="E13" s="643">
        <v>197152.69999999998</v>
      </c>
      <c r="F13" s="165">
        <f>ROUND(((E13/($E$13+$E$15+$E$18)))*$F$71,1)</f>
        <v>204474.1</v>
      </c>
      <c r="G13" s="165"/>
      <c r="H13" s="165"/>
      <c r="I13" s="165"/>
      <c r="J13" s="165">
        <f>IF(SUM(F13:I13)=0,E13,SUM(F13:I13))</f>
        <v>204474.1</v>
      </c>
      <c r="K13" s="166"/>
      <c r="L13" s="623">
        <v>875</v>
      </c>
      <c r="M13" s="165">
        <f t="shared" ref="M13:M18" si="1">IF(L13&lt;&gt;0,ROUND(+J13/L13/12,0),0)</f>
        <v>19</v>
      </c>
      <c r="N13" s="169"/>
      <c r="O13" s="166" t="s">
        <v>636</v>
      </c>
      <c r="P13" s="168"/>
      <c r="Q13" s="699">
        <f>L13+L15</f>
        <v>76020</v>
      </c>
    </row>
    <row r="14" spans="1:17" x14ac:dyDescent="0.25">
      <c r="A14" s="43">
        <f t="shared" si="0"/>
        <v>8</v>
      </c>
      <c r="B14" s="16" t="s">
        <v>5</v>
      </c>
      <c r="C14" s="13"/>
      <c r="D14" s="16" t="s">
        <v>5</v>
      </c>
      <c r="E14" s="643">
        <v>35839.199999999997</v>
      </c>
      <c r="F14" s="165"/>
      <c r="G14" s="165">
        <f>ROUND((E14/($E$14+$E$16+$E$19+$E$20+$E$29+$E$30+$E$31+$E$32+$E$33+$E$34))*$G$71,1)</f>
        <v>38631.599999999999</v>
      </c>
      <c r="H14" s="165"/>
      <c r="I14" s="165"/>
      <c r="J14" s="165">
        <f t="shared" ref="J14:J66" si="2">IF(SUM(F14:I14)=0,E14,SUM(F14:I14))</f>
        <v>38631.599999999999</v>
      </c>
      <c r="K14" s="166"/>
      <c r="L14" s="623">
        <v>38</v>
      </c>
      <c r="M14" s="165">
        <f t="shared" si="1"/>
        <v>85</v>
      </c>
      <c r="N14" s="169"/>
      <c r="O14" s="166" t="s">
        <v>637</v>
      </c>
      <c r="P14" s="168"/>
      <c r="Q14" s="699">
        <f>L14+L16+L18+L19+L21+L29+L47</f>
        <v>6916</v>
      </c>
    </row>
    <row r="15" spans="1:17" x14ac:dyDescent="0.25">
      <c r="A15" s="43">
        <f t="shared" si="0"/>
        <v>9</v>
      </c>
      <c r="B15" s="16" t="s">
        <v>14</v>
      </c>
      <c r="C15" s="13"/>
      <c r="D15" s="16" t="s">
        <v>14</v>
      </c>
      <c r="E15" s="643">
        <v>49736587.000000007</v>
      </c>
      <c r="F15" s="165">
        <f>ROUND(((E15/($E$13+$E$15+$E$18)))*$F$71,1)</f>
        <v>51583577.799999997</v>
      </c>
      <c r="G15" s="165"/>
      <c r="H15" s="165"/>
      <c r="I15" s="165"/>
      <c r="J15" s="165">
        <f t="shared" si="2"/>
        <v>51583577.799999997</v>
      </c>
      <c r="K15" s="166"/>
      <c r="L15" s="623">
        <v>75145</v>
      </c>
      <c r="M15" s="165">
        <f t="shared" si="1"/>
        <v>57</v>
      </c>
      <c r="N15" s="169"/>
      <c r="O15" s="166" t="s">
        <v>638</v>
      </c>
      <c r="P15" s="168"/>
      <c r="Q15" s="699">
        <f>L68-Q13-Q14</f>
        <v>97</v>
      </c>
    </row>
    <row r="16" spans="1:17" x14ac:dyDescent="0.25">
      <c r="A16" s="43">
        <f t="shared" si="0"/>
        <v>10</v>
      </c>
      <c r="B16" s="16" t="s">
        <v>12</v>
      </c>
      <c r="C16" s="13"/>
      <c r="D16" s="16" t="s">
        <v>12</v>
      </c>
      <c r="E16" s="643">
        <v>16409449.1</v>
      </c>
      <c r="F16" s="165"/>
      <c r="G16" s="165">
        <f>ROUND((E16/($E$14+$E$16+$E$19+$E$20+$E$29+$E$30+$E$31+$E$32+$E$33+$E$34))*$G$71,1)</f>
        <v>17687989.300000001</v>
      </c>
      <c r="H16" s="165"/>
      <c r="I16" s="165"/>
      <c r="J16" s="165">
        <f t="shared" si="2"/>
        <v>17687989.300000001</v>
      </c>
      <c r="K16" s="166"/>
      <c r="L16" s="623">
        <v>6038</v>
      </c>
      <c r="M16" s="165">
        <f t="shared" si="1"/>
        <v>244</v>
      </c>
      <c r="N16" s="169"/>
      <c r="O16" s="166"/>
      <c r="P16" s="168"/>
      <c r="Q16" s="103"/>
    </row>
    <row r="17" spans="1:17" x14ac:dyDescent="0.25">
      <c r="A17" s="43">
        <f t="shared" si="0"/>
        <v>11</v>
      </c>
      <c r="B17" s="16" t="s">
        <v>13</v>
      </c>
      <c r="C17" s="13"/>
      <c r="D17" s="16" t="s">
        <v>13</v>
      </c>
      <c r="E17" s="643">
        <v>475228.8</v>
      </c>
      <c r="F17" s="165"/>
      <c r="G17" s="165"/>
      <c r="H17" s="165">
        <f>ROUND((E17/(+$E$17+SUM($E$25:$E$26)+SUM($E$35:$E$40)))*$H$71,0)</f>
        <v>479219</v>
      </c>
      <c r="I17" s="165"/>
      <c r="J17" s="165">
        <f t="shared" si="2"/>
        <v>479219</v>
      </c>
      <c r="K17" s="166"/>
      <c r="L17" s="623">
        <v>28</v>
      </c>
      <c r="M17" s="165">
        <f t="shared" si="1"/>
        <v>1426</v>
      </c>
      <c r="N17" s="169"/>
      <c r="O17" s="166"/>
      <c r="P17" s="168"/>
      <c r="Q17" s="103"/>
    </row>
    <row r="18" spans="1:17" x14ac:dyDescent="0.25">
      <c r="A18" s="43">
        <f t="shared" si="0"/>
        <v>12</v>
      </c>
      <c r="B18" s="74">
        <v>27</v>
      </c>
      <c r="C18" s="21"/>
      <c r="D18" s="74">
        <v>27</v>
      </c>
      <c r="E18" s="644">
        <v>487985.3</v>
      </c>
      <c r="F18" s="170">
        <f>ROUND(((E18/($E$13+$E$15+$E$18)))*$F$71,1)</f>
        <v>506106.9</v>
      </c>
      <c r="G18" s="170"/>
      <c r="H18" s="170"/>
      <c r="I18" s="170"/>
      <c r="J18" s="170">
        <f t="shared" si="2"/>
        <v>506106.9</v>
      </c>
      <c r="K18" s="166"/>
      <c r="L18" s="622">
        <v>745</v>
      </c>
      <c r="M18" s="170">
        <f t="shared" si="1"/>
        <v>57</v>
      </c>
      <c r="N18" s="167"/>
      <c r="O18" s="166"/>
      <c r="P18" s="168"/>
      <c r="Q18" s="103"/>
    </row>
    <row r="19" spans="1:17" x14ac:dyDescent="0.25">
      <c r="A19" s="43">
        <f t="shared" si="0"/>
        <v>13</v>
      </c>
      <c r="B19" s="69" t="s">
        <v>365</v>
      </c>
      <c r="C19" s="18" t="s">
        <v>6</v>
      </c>
      <c r="D19" s="69" t="s">
        <v>120</v>
      </c>
      <c r="E19" s="645">
        <v>1805004.2</v>
      </c>
      <c r="F19" s="166"/>
      <c r="G19" s="166">
        <f>ROUND((E19/($E$14+$E$16+$E$19+$E$20+$E$29+$E$30+$E$31+$E$32+$E$33+$E$34))*$G$71,1)</f>
        <v>1945640.9</v>
      </c>
      <c r="H19" s="166"/>
      <c r="I19" s="166"/>
      <c r="J19" s="166">
        <f t="shared" si="2"/>
        <v>1945640.9</v>
      </c>
      <c r="K19" s="166"/>
      <c r="L19" s="621">
        <v>86</v>
      </c>
      <c r="M19" s="166">
        <f>IF(L19&lt;&gt;0,ROUND(+SUM(J19:J20)/L19/12,0),0)</f>
        <v>3747</v>
      </c>
      <c r="N19" s="171"/>
      <c r="O19" s="166"/>
      <c r="P19" s="562"/>
      <c r="Q19" s="103"/>
    </row>
    <row r="20" spans="1:17" x14ac:dyDescent="0.25">
      <c r="A20" s="43">
        <f t="shared" si="0"/>
        <v>14</v>
      </c>
      <c r="B20" s="74"/>
      <c r="C20" s="22" t="s">
        <v>7</v>
      </c>
      <c r="D20" s="74" t="s">
        <v>121</v>
      </c>
      <c r="E20" s="644">
        <v>1782409.9000000001</v>
      </c>
      <c r="F20" s="170"/>
      <c r="G20" s="170">
        <f>ROUND((E20/($E$14+$E$16+$E$19+$E$20+$E$29+$E$30+$E$31+$E$32+$E$33+$E$34))*$G$71,1)</f>
        <v>1921286.1</v>
      </c>
      <c r="H20" s="170"/>
      <c r="I20" s="170"/>
      <c r="J20" s="170">
        <f t="shared" si="2"/>
        <v>1921286.1</v>
      </c>
      <c r="K20" s="166"/>
      <c r="L20" s="622"/>
      <c r="M20" s="170"/>
      <c r="N20" s="171"/>
      <c r="O20" s="166"/>
      <c r="P20" s="562"/>
      <c r="Q20" s="103"/>
    </row>
    <row r="21" spans="1:17" x14ac:dyDescent="0.25">
      <c r="A21" s="43">
        <f t="shared" si="0"/>
        <v>15</v>
      </c>
      <c r="B21" s="69" t="s">
        <v>366</v>
      </c>
      <c r="C21" s="18" t="s">
        <v>6</v>
      </c>
      <c r="E21" s="645">
        <v>0</v>
      </c>
      <c r="F21" s="166"/>
      <c r="G21" s="166"/>
      <c r="H21" s="166"/>
      <c r="I21" s="166">
        <f>ROUND((E21/(+SUM($E$27:$E$28)+SUM($E$47:$E$52)+SUM($E$21:$E$22)+SUM($E$53:$E$58)))*$I$71,0)</f>
        <v>0</v>
      </c>
      <c r="J21" s="166">
        <f t="shared" si="2"/>
        <v>0</v>
      </c>
      <c r="K21" s="166"/>
      <c r="L21" s="621">
        <v>0</v>
      </c>
      <c r="M21" s="166">
        <f>IF(L21&lt;&gt;0,ROUND(+SUM(J21:J22)/L21/12,0),0)</f>
        <v>0</v>
      </c>
      <c r="N21" s="171"/>
      <c r="O21" s="166"/>
      <c r="P21" s="562"/>
      <c r="Q21" s="103"/>
    </row>
    <row r="22" spans="1:17" x14ac:dyDescent="0.25">
      <c r="A22" s="43">
        <f t="shared" si="0"/>
        <v>16</v>
      </c>
      <c r="B22" s="74"/>
      <c r="C22" s="22" t="s">
        <v>7</v>
      </c>
      <c r="E22" s="644">
        <v>0</v>
      </c>
      <c r="F22" s="170"/>
      <c r="G22" s="170"/>
      <c r="H22" s="170"/>
      <c r="I22" s="170">
        <f>ROUND((E22/(+SUM($E$27:$E$28)+SUM($E$47:$E$52)+SUM($E$21:$E$22)+SUM($E$53:$E$58)))*$I$71,0)</f>
        <v>0</v>
      </c>
      <c r="J22" s="170">
        <f t="shared" si="2"/>
        <v>0</v>
      </c>
      <c r="K22" s="166"/>
      <c r="L22" s="622"/>
      <c r="M22" s="170"/>
      <c r="N22" s="171"/>
      <c r="O22" s="166"/>
      <c r="P22" s="562"/>
      <c r="Q22" s="103"/>
    </row>
    <row r="23" spans="1:17" x14ac:dyDescent="0.25">
      <c r="A23" s="43">
        <f t="shared" si="0"/>
        <v>17</v>
      </c>
      <c r="B23" s="69" t="s">
        <v>161</v>
      </c>
      <c r="C23" s="18" t="s">
        <v>6</v>
      </c>
      <c r="D23" s="69" t="s">
        <v>122</v>
      </c>
      <c r="E23" s="645">
        <v>374507</v>
      </c>
      <c r="F23" s="166"/>
      <c r="G23" s="166"/>
      <c r="H23" s="166"/>
      <c r="I23" s="166"/>
      <c r="J23" s="166">
        <f t="shared" si="2"/>
        <v>374507</v>
      </c>
      <c r="K23" s="166"/>
      <c r="L23" s="621">
        <v>17</v>
      </c>
      <c r="M23" s="166">
        <f>IF(L23&lt;&gt;0,ROUND(+SUM(J23:J24)/L23/12,0),0)</f>
        <v>4706</v>
      </c>
      <c r="N23" s="171"/>
      <c r="O23" s="166"/>
      <c r="P23" s="562"/>
      <c r="Q23" s="103"/>
    </row>
    <row r="24" spans="1:17" x14ac:dyDescent="0.25">
      <c r="A24" s="43">
        <f t="shared" si="0"/>
        <v>18</v>
      </c>
      <c r="B24" s="74"/>
      <c r="C24" s="22" t="s">
        <v>7</v>
      </c>
      <c r="D24" s="74" t="s">
        <v>123</v>
      </c>
      <c r="E24" s="644">
        <v>585464</v>
      </c>
      <c r="F24" s="170"/>
      <c r="G24" s="170"/>
      <c r="H24" s="170"/>
      <c r="I24" s="170"/>
      <c r="J24" s="170">
        <f t="shared" si="2"/>
        <v>585464</v>
      </c>
      <c r="K24" s="166"/>
      <c r="L24" s="622"/>
      <c r="M24" s="170"/>
      <c r="N24" s="172"/>
      <c r="O24" s="166"/>
      <c r="P24" s="563"/>
      <c r="Q24" s="103"/>
    </row>
    <row r="25" spans="1:17" x14ac:dyDescent="0.25">
      <c r="A25" s="43">
        <f t="shared" si="0"/>
        <v>19</v>
      </c>
      <c r="B25" s="69" t="s">
        <v>367</v>
      </c>
      <c r="C25" s="18" t="s">
        <v>6</v>
      </c>
      <c r="E25" s="645">
        <v>316920.8</v>
      </c>
      <c r="F25" s="166"/>
      <c r="G25" s="166"/>
      <c r="H25" s="166">
        <f>ROUND((E25/(+$E$17+SUM($E$25:$E$26)+SUM($E$35:$E$40)))*$H$71,0)</f>
        <v>319582</v>
      </c>
      <c r="I25" s="166"/>
      <c r="J25" s="166">
        <f t="shared" si="2"/>
        <v>319582</v>
      </c>
      <c r="K25" s="166"/>
      <c r="L25" s="621">
        <v>15</v>
      </c>
      <c r="M25" s="166">
        <f>IF(L25&lt;&gt;0,ROUND(+SUM(J25:J26)/L25/12,0),0)</f>
        <v>3808</v>
      </c>
      <c r="N25" s="172"/>
      <c r="O25" s="166"/>
      <c r="P25" s="563"/>
      <c r="Q25" s="103"/>
    </row>
    <row r="26" spans="1:17" x14ac:dyDescent="0.25">
      <c r="A26" s="43">
        <f t="shared" si="0"/>
        <v>20</v>
      </c>
      <c r="B26" s="74"/>
      <c r="C26" s="22" t="s">
        <v>7</v>
      </c>
      <c r="E26" s="644">
        <v>362872.89999999997</v>
      </c>
      <c r="F26" s="170"/>
      <c r="G26" s="170"/>
      <c r="H26" s="170">
        <f>ROUND((E26/(+$E$17+SUM($E$25:$E$26)+SUM($E$35:$E$40)))*$H$71,0)</f>
        <v>365920</v>
      </c>
      <c r="I26" s="170"/>
      <c r="J26" s="170">
        <f t="shared" si="2"/>
        <v>365920</v>
      </c>
      <c r="K26" s="166"/>
      <c r="L26" s="622"/>
      <c r="M26" s="170"/>
      <c r="N26" s="172"/>
      <c r="O26" s="166"/>
      <c r="P26" s="563"/>
      <c r="Q26" s="103"/>
    </row>
    <row r="27" spans="1:17" x14ac:dyDescent="0.25">
      <c r="A27" s="43">
        <f t="shared" si="0"/>
        <v>21</v>
      </c>
      <c r="B27" s="69" t="s">
        <v>368</v>
      </c>
      <c r="C27" s="18" t="s">
        <v>6</v>
      </c>
      <c r="D27" s="69" t="s">
        <v>124</v>
      </c>
      <c r="E27" s="645">
        <v>0</v>
      </c>
      <c r="F27" s="166"/>
      <c r="G27" s="166"/>
      <c r="H27" s="166"/>
      <c r="I27" s="166">
        <f>ROUND((E27/(+SUM($E$27:$E$28)+SUM($E$47:$E$52)+SUM($E$21:$E$22)+SUM($E$53:$E$58)))*$I$71,0)</f>
        <v>0</v>
      </c>
      <c r="J27" s="166">
        <f t="shared" si="2"/>
        <v>0</v>
      </c>
      <c r="K27" s="166"/>
      <c r="L27" s="621">
        <v>0</v>
      </c>
      <c r="M27" s="166">
        <f>IF(L27&lt;&gt;0,ROUND(+SUM(J27:J28)/L27/12,0),0)</f>
        <v>0</v>
      </c>
      <c r="N27" s="172"/>
      <c r="O27" s="166"/>
      <c r="P27" s="562"/>
      <c r="Q27" s="103"/>
    </row>
    <row r="28" spans="1:17" x14ac:dyDescent="0.25">
      <c r="A28" s="43">
        <f t="shared" si="0"/>
        <v>22</v>
      </c>
      <c r="B28" s="74"/>
      <c r="C28" s="22" t="s">
        <v>7</v>
      </c>
      <c r="D28" s="74" t="s">
        <v>125</v>
      </c>
      <c r="E28" s="644">
        <v>0</v>
      </c>
      <c r="F28" s="170"/>
      <c r="G28" s="170"/>
      <c r="H28" s="170"/>
      <c r="I28" s="170">
        <f>ROUND((E28/(+SUM($E$27:$E$28)+SUM($E$47:$E$52)+SUM($E$21:$E$22)+SUM($E$53:$E$58)))*$I$71,0)</f>
        <v>0</v>
      </c>
      <c r="J28" s="170">
        <f t="shared" si="2"/>
        <v>0</v>
      </c>
      <c r="K28" s="166"/>
      <c r="L28" s="622"/>
      <c r="M28" s="170"/>
      <c r="N28" s="167"/>
      <c r="O28" s="166"/>
      <c r="P28" s="562"/>
      <c r="Q28" s="103"/>
    </row>
    <row r="29" spans="1:17" x14ac:dyDescent="0.25">
      <c r="A29" s="43">
        <f t="shared" si="0"/>
        <v>23</v>
      </c>
      <c r="B29" s="69" t="s">
        <v>163</v>
      </c>
      <c r="C29" s="18" t="s">
        <v>6</v>
      </c>
      <c r="D29" s="69" t="s">
        <v>126</v>
      </c>
      <c r="E29" s="645">
        <v>530804</v>
      </c>
      <c r="F29" s="166"/>
      <c r="G29" s="166">
        <f t="shared" ref="G29:G34" si="3">ROUND((E29/($E$14+$E$16+$E$19+$E$20+$E$29+$E$30+$E$31+$E$32+$E$33+$E$34))*$G$71,1)</f>
        <v>572161.5</v>
      </c>
      <c r="H29" s="166"/>
      <c r="I29" s="166"/>
      <c r="J29" s="166">
        <f t="shared" si="2"/>
        <v>572161.5</v>
      </c>
      <c r="K29" s="166"/>
      <c r="L29" s="621">
        <v>6</v>
      </c>
      <c r="M29" s="166">
        <f>IF(L29&lt;&gt;0,ROUND(+SUM(J29:J34)/L29/12,0),0)</f>
        <v>15829</v>
      </c>
      <c r="N29" s="173"/>
      <c r="O29" s="166"/>
      <c r="P29" s="174"/>
      <c r="Q29" s="103"/>
    </row>
    <row r="30" spans="1:17" x14ac:dyDescent="0.25">
      <c r="A30" s="43">
        <f t="shared" si="0"/>
        <v>24</v>
      </c>
      <c r="C30" s="18" t="s">
        <v>7</v>
      </c>
      <c r="D30" s="69" t="s">
        <v>127</v>
      </c>
      <c r="E30" s="645">
        <v>419615.2</v>
      </c>
      <c r="F30" s="166"/>
      <c r="G30" s="166">
        <f t="shared" si="3"/>
        <v>452309.5</v>
      </c>
      <c r="H30" s="166"/>
      <c r="I30" s="166"/>
      <c r="J30" s="166">
        <f t="shared" si="2"/>
        <v>452309.5</v>
      </c>
      <c r="K30" s="166"/>
      <c r="L30" s="621"/>
      <c r="M30" s="166"/>
      <c r="N30" s="173"/>
      <c r="O30" s="166"/>
      <c r="P30" s="174"/>
      <c r="Q30" s="103"/>
    </row>
    <row r="31" spans="1:17" x14ac:dyDescent="0.25">
      <c r="A31" s="43">
        <f t="shared" si="0"/>
        <v>25</v>
      </c>
      <c r="C31" s="18" t="s">
        <v>8</v>
      </c>
      <c r="D31" s="69" t="s">
        <v>128</v>
      </c>
      <c r="E31" s="645">
        <v>105201.2</v>
      </c>
      <c r="F31" s="166"/>
      <c r="G31" s="166">
        <f t="shared" si="3"/>
        <v>113397.9</v>
      </c>
      <c r="H31" s="166"/>
      <c r="I31" s="166"/>
      <c r="J31" s="166">
        <f t="shared" si="2"/>
        <v>113397.9</v>
      </c>
      <c r="K31" s="166"/>
      <c r="L31" s="621"/>
      <c r="M31" s="166"/>
      <c r="N31" s="167"/>
      <c r="O31" s="166"/>
      <c r="P31" s="175"/>
      <c r="Q31" s="103"/>
    </row>
    <row r="32" spans="1:17" x14ac:dyDescent="0.25">
      <c r="A32" s="43">
        <f t="shared" si="0"/>
        <v>26</v>
      </c>
      <c r="C32" s="18" t="s">
        <v>9</v>
      </c>
      <c r="D32" s="69" t="s">
        <v>129</v>
      </c>
      <c r="E32" s="645">
        <v>1693.6</v>
      </c>
      <c r="F32" s="166"/>
      <c r="G32" s="166">
        <f t="shared" si="3"/>
        <v>1825.6</v>
      </c>
      <c r="H32" s="166"/>
      <c r="I32" s="166"/>
      <c r="J32" s="166">
        <f t="shared" si="2"/>
        <v>1825.6</v>
      </c>
      <c r="K32" s="166"/>
      <c r="L32" s="621"/>
      <c r="M32" s="166"/>
      <c r="N32" s="167"/>
      <c r="O32" s="166"/>
      <c r="P32" s="175"/>
      <c r="Q32" s="3"/>
    </row>
    <row r="33" spans="1:17" x14ac:dyDescent="0.25">
      <c r="A33" s="43">
        <f t="shared" si="0"/>
        <v>27</v>
      </c>
      <c r="C33" s="18" t="s">
        <v>10</v>
      </c>
      <c r="D33" s="69" t="s">
        <v>130</v>
      </c>
      <c r="E33" s="645">
        <v>0</v>
      </c>
      <c r="F33" s="166"/>
      <c r="G33" s="166">
        <f t="shared" si="3"/>
        <v>0</v>
      </c>
      <c r="H33" s="166"/>
      <c r="I33" s="166"/>
      <c r="J33" s="166">
        <f t="shared" si="2"/>
        <v>0</v>
      </c>
      <c r="K33" s="166"/>
      <c r="L33" s="621"/>
      <c r="M33" s="166"/>
      <c r="N33" s="167"/>
      <c r="O33" s="166"/>
      <c r="P33" s="175"/>
      <c r="Q33" s="3"/>
    </row>
    <row r="34" spans="1:17" x14ac:dyDescent="0.25">
      <c r="A34" s="43">
        <f t="shared" si="0"/>
        <v>28</v>
      </c>
      <c r="B34" s="74"/>
      <c r="C34" s="22" t="s">
        <v>11</v>
      </c>
      <c r="D34" s="74" t="s">
        <v>131</v>
      </c>
      <c r="E34" s="644">
        <v>0</v>
      </c>
      <c r="F34" s="170"/>
      <c r="G34" s="170">
        <f t="shared" si="3"/>
        <v>0</v>
      </c>
      <c r="H34" s="170"/>
      <c r="I34" s="170"/>
      <c r="J34" s="170">
        <f t="shared" si="2"/>
        <v>0</v>
      </c>
      <c r="K34" s="166"/>
      <c r="L34" s="622"/>
      <c r="M34" s="170"/>
      <c r="N34" s="167"/>
      <c r="O34" s="166"/>
      <c r="P34" s="175"/>
      <c r="Q34" s="3"/>
    </row>
    <row r="35" spans="1:17" x14ac:dyDescent="0.25">
      <c r="A35" s="43">
        <f t="shared" si="0"/>
        <v>29</v>
      </c>
      <c r="B35" s="69" t="s">
        <v>164</v>
      </c>
      <c r="C35" s="18" t="s">
        <v>6</v>
      </c>
      <c r="D35" s="69" t="s">
        <v>132</v>
      </c>
      <c r="E35" s="645">
        <v>1128885.7</v>
      </c>
      <c r="F35" s="166"/>
      <c r="G35" s="166"/>
      <c r="H35" s="166">
        <f t="shared" ref="H35:H40" si="4">ROUND((E35/(+$E$17+SUM($E$25:$E$26)+SUM($E$35:$E$40)))*$H$71,0)</f>
        <v>1138365</v>
      </c>
      <c r="I35" s="166"/>
      <c r="J35" s="166">
        <f t="shared" si="2"/>
        <v>1138365</v>
      </c>
      <c r="K35" s="166"/>
      <c r="L35" s="621">
        <v>12</v>
      </c>
      <c r="M35" s="166">
        <f>IF(L35&lt;&gt;0,ROUND(+SUM(J35:J40)/L35/12,0),0)</f>
        <v>13507</v>
      </c>
      <c r="N35" s="167"/>
      <c r="O35" s="166"/>
      <c r="P35" s="175"/>
      <c r="Q35" s="3"/>
    </row>
    <row r="36" spans="1:17" x14ac:dyDescent="0.25">
      <c r="A36" s="43">
        <f t="shared" si="0"/>
        <v>30</v>
      </c>
      <c r="C36" s="18" t="s">
        <v>7</v>
      </c>
      <c r="D36" s="69" t="s">
        <v>133</v>
      </c>
      <c r="E36" s="645">
        <v>719547.50000000012</v>
      </c>
      <c r="F36" s="166"/>
      <c r="G36" s="166"/>
      <c r="H36" s="166">
        <f t="shared" si="4"/>
        <v>725589</v>
      </c>
      <c r="I36" s="166"/>
      <c r="J36" s="166">
        <f t="shared" si="2"/>
        <v>725589</v>
      </c>
      <c r="K36" s="166"/>
      <c r="L36" s="621"/>
      <c r="M36" s="166"/>
      <c r="N36" s="3"/>
      <c r="O36" s="166"/>
      <c r="P36" s="3"/>
      <c r="Q36" s="3"/>
    </row>
    <row r="37" spans="1:17" x14ac:dyDescent="0.25">
      <c r="A37" s="43">
        <f t="shared" si="0"/>
        <v>31</v>
      </c>
      <c r="C37" s="18" t="s">
        <v>8</v>
      </c>
      <c r="D37" s="69" t="s">
        <v>134</v>
      </c>
      <c r="E37" s="645">
        <v>80404.100000000006</v>
      </c>
      <c r="F37" s="166"/>
      <c r="G37" s="166"/>
      <c r="H37" s="166">
        <f t="shared" si="4"/>
        <v>81079</v>
      </c>
      <c r="I37" s="166"/>
      <c r="J37" s="166">
        <f t="shared" si="2"/>
        <v>81079</v>
      </c>
      <c r="K37" s="166"/>
      <c r="L37" s="621"/>
      <c r="M37" s="166"/>
      <c r="N37" s="3"/>
      <c r="O37" s="166"/>
      <c r="P37" s="3"/>
      <c r="Q37" s="3"/>
    </row>
    <row r="38" spans="1:17" x14ac:dyDescent="0.25">
      <c r="A38" s="43">
        <f t="shared" si="0"/>
        <v>32</v>
      </c>
      <c r="C38" s="18" t="s">
        <v>9</v>
      </c>
      <c r="D38" s="69" t="s">
        <v>135</v>
      </c>
      <c r="E38" s="645">
        <v>0</v>
      </c>
      <c r="F38" s="166"/>
      <c r="G38" s="166"/>
      <c r="H38" s="166">
        <f t="shared" si="4"/>
        <v>0</v>
      </c>
      <c r="I38" s="166"/>
      <c r="J38" s="166">
        <f t="shared" si="2"/>
        <v>0</v>
      </c>
      <c r="K38" s="166"/>
      <c r="L38" s="621"/>
      <c r="M38" s="166"/>
      <c r="N38" s="3"/>
      <c r="O38" s="166"/>
      <c r="P38" s="3"/>
      <c r="Q38" s="3"/>
    </row>
    <row r="39" spans="1:17" x14ac:dyDescent="0.25">
      <c r="A39" s="43">
        <f t="shared" si="0"/>
        <v>33</v>
      </c>
      <c r="C39" s="18" t="s">
        <v>10</v>
      </c>
      <c r="D39" s="69" t="s">
        <v>136</v>
      </c>
      <c r="E39" s="645">
        <v>0</v>
      </c>
      <c r="F39" s="166"/>
      <c r="G39" s="166"/>
      <c r="H39" s="166">
        <f t="shared" si="4"/>
        <v>0</v>
      </c>
      <c r="I39" s="166"/>
      <c r="J39" s="166">
        <f t="shared" si="2"/>
        <v>0</v>
      </c>
      <c r="K39" s="166"/>
      <c r="L39" s="621"/>
      <c r="M39" s="166"/>
      <c r="N39" s="3"/>
      <c r="O39" s="166"/>
      <c r="P39" s="3"/>
      <c r="Q39" s="3"/>
    </row>
    <row r="40" spans="1:17" x14ac:dyDescent="0.25">
      <c r="A40" s="43">
        <f t="shared" si="0"/>
        <v>34</v>
      </c>
      <c r="B40" s="74"/>
      <c r="C40" s="22" t="s">
        <v>11</v>
      </c>
      <c r="D40" s="74" t="s">
        <v>137</v>
      </c>
      <c r="E40" s="644">
        <v>0</v>
      </c>
      <c r="F40" s="170"/>
      <c r="G40" s="170"/>
      <c r="H40" s="170">
        <f t="shared" si="4"/>
        <v>0</v>
      </c>
      <c r="I40" s="170"/>
      <c r="J40" s="170">
        <f t="shared" si="2"/>
        <v>0</v>
      </c>
      <c r="K40" s="166"/>
      <c r="L40" s="622"/>
      <c r="M40" s="170"/>
      <c r="N40" s="3"/>
      <c r="O40" s="166"/>
      <c r="P40" s="3"/>
      <c r="Q40" s="3"/>
    </row>
    <row r="41" spans="1:17" x14ac:dyDescent="0.25">
      <c r="A41" s="43">
        <f t="shared" si="0"/>
        <v>35</v>
      </c>
      <c r="B41" s="69" t="s">
        <v>165</v>
      </c>
      <c r="C41" s="18" t="s">
        <v>6</v>
      </c>
      <c r="D41" s="69" t="s">
        <v>138</v>
      </c>
      <c r="E41" s="645">
        <v>1313594</v>
      </c>
      <c r="F41" s="166"/>
      <c r="G41" s="166"/>
      <c r="H41" s="166"/>
      <c r="I41" s="166"/>
      <c r="J41" s="166">
        <f t="shared" si="2"/>
        <v>1313594</v>
      </c>
      <c r="K41" s="166"/>
      <c r="L41" s="621">
        <v>12</v>
      </c>
      <c r="M41" s="166">
        <f>IF(L41&lt;&gt;0,ROUND(+SUM(J41:J46)/L41/12,0),0)</f>
        <v>41245</v>
      </c>
      <c r="N41" s="3"/>
      <c r="O41" s="166"/>
      <c r="P41" s="3"/>
      <c r="Q41" s="3"/>
    </row>
    <row r="42" spans="1:17" x14ac:dyDescent="0.25">
      <c r="A42" s="43">
        <f t="shared" si="0"/>
        <v>36</v>
      </c>
      <c r="C42" s="18" t="s">
        <v>7</v>
      </c>
      <c r="D42" s="69" t="s">
        <v>139</v>
      </c>
      <c r="E42" s="645">
        <v>1609433</v>
      </c>
      <c r="F42" s="166"/>
      <c r="G42" s="166"/>
      <c r="H42" s="166"/>
      <c r="I42" s="166"/>
      <c r="J42" s="166">
        <f t="shared" si="2"/>
        <v>1609433</v>
      </c>
      <c r="K42" s="166"/>
      <c r="L42" s="621"/>
      <c r="M42" s="166"/>
      <c r="N42" s="3"/>
      <c r="O42" s="166"/>
      <c r="P42" s="3"/>
      <c r="Q42" s="3"/>
    </row>
    <row r="43" spans="1:17" x14ac:dyDescent="0.25">
      <c r="A43" s="43">
        <f t="shared" si="0"/>
        <v>37</v>
      </c>
      <c r="C43" s="18" t="s">
        <v>8</v>
      </c>
      <c r="D43" s="69" t="s">
        <v>140</v>
      </c>
      <c r="E43" s="645">
        <v>1138813</v>
      </c>
      <c r="F43" s="166"/>
      <c r="G43" s="166"/>
      <c r="H43" s="166"/>
      <c r="I43" s="166"/>
      <c r="J43" s="166">
        <f t="shared" si="2"/>
        <v>1138813</v>
      </c>
      <c r="K43" s="166"/>
      <c r="L43" s="621"/>
      <c r="M43" s="166"/>
      <c r="N43" s="3"/>
      <c r="O43" s="166"/>
      <c r="P43" s="3"/>
      <c r="Q43" s="3"/>
    </row>
    <row r="44" spans="1:17" x14ac:dyDescent="0.25">
      <c r="A44" s="43">
        <f t="shared" si="0"/>
        <v>38</v>
      </c>
      <c r="C44" s="18" t="s">
        <v>9</v>
      </c>
      <c r="D44" s="69" t="s">
        <v>141</v>
      </c>
      <c r="E44" s="645">
        <v>1522236</v>
      </c>
      <c r="F44" s="166"/>
      <c r="G44" s="166"/>
      <c r="H44" s="166"/>
      <c r="I44" s="166"/>
      <c r="J44" s="166">
        <f t="shared" si="2"/>
        <v>1522236</v>
      </c>
      <c r="K44" s="166"/>
      <c r="L44" s="621"/>
      <c r="M44" s="166"/>
      <c r="O44" s="166"/>
    </row>
    <row r="45" spans="1:17" x14ac:dyDescent="0.25">
      <c r="A45" s="43">
        <f t="shared" si="0"/>
        <v>39</v>
      </c>
      <c r="C45" s="18" t="s">
        <v>10</v>
      </c>
      <c r="D45" s="69" t="s">
        <v>142</v>
      </c>
      <c r="E45" s="645">
        <v>355242</v>
      </c>
      <c r="F45" s="166"/>
      <c r="G45" s="166"/>
      <c r="H45" s="166"/>
      <c r="I45" s="166"/>
      <c r="J45" s="166">
        <f t="shared" si="2"/>
        <v>355242</v>
      </c>
      <c r="K45" s="166"/>
      <c r="L45" s="621"/>
      <c r="M45" s="166"/>
      <c r="O45" s="166"/>
    </row>
    <row r="46" spans="1:17" x14ac:dyDescent="0.25">
      <c r="A46" s="43">
        <f t="shared" si="0"/>
        <v>40</v>
      </c>
      <c r="B46" s="74"/>
      <c r="C46" s="22" t="s">
        <v>11</v>
      </c>
      <c r="D46" s="74" t="s">
        <v>143</v>
      </c>
      <c r="E46" s="644">
        <v>0</v>
      </c>
      <c r="F46" s="170"/>
      <c r="G46" s="170"/>
      <c r="H46" s="170"/>
      <c r="I46" s="170"/>
      <c r="J46" s="170">
        <f t="shared" si="2"/>
        <v>0</v>
      </c>
      <c r="K46" s="166"/>
      <c r="L46" s="622"/>
      <c r="M46" s="170"/>
      <c r="O46" s="166"/>
    </row>
    <row r="47" spans="1:17" x14ac:dyDescent="0.25">
      <c r="A47" s="43">
        <f t="shared" si="0"/>
        <v>41</v>
      </c>
      <c r="B47" s="69" t="s">
        <v>369</v>
      </c>
      <c r="C47" s="18" t="s">
        <v>6</v>
      </c>
      <c r="E47" s="645">
        <v>240000</v>
      </c>
      <c r="F47" s="166"/>
      <c r="G47" s="166"/>
      <c r="H47" s="166"/>
      <c r="I47" s="166">
        <f t="shared" ref="I47:I58" si="5">ROUND((E47/(+SUM($E$27:$E$28)+SUM($E$47:$E$52)+SUM($E$21:$E$22)+SUM($E$53:$E$58)))*$I$71,0)</f>
        <v>250151</v>
      </c>
      <c r="J47" s="166">
        <f t="shared" si="2"/>
        <v>250151</v>
      </c>
      <c r="K47" s="166"/>
      <c r="L47" s="621">
        <v>3</v>
      </c>
      <c r="M47" s="166">
        <f>IF(L47&lt;&gt;0,ROUND(+SUM(J47:J52)/L47/12,0),0)</f>
        <v>28810</v>
      </c>
      <c r="O47" s="166"/>
    </row>
    <row r="48" spans="1:17" x14ac:dyDescent="0.25">
      <c r="A48" s="43">
        <f t="shared" si="0"/>
        <v>42</v>
      </c>
      <c r="C48" s="18" t="s">
        <v>7</v>
      </c>
      <c r="E48" s="645">
        <v>467067</v>
      </c>
      <c r="F48" s="166"/>
      <c r="G48" s="166"/>
      <c r="H48" s="166"/>
      <c r="I48" s="166">
        <f t="shared" si="5"/>
        <v>486821</v>
      </c>
      <c r="J48" s="166">
        <f t="shared" si="2"/>
        <v>486821</v>
      </c>
      <c r="K48" s="166"/>
      <c r="L48" s="621"/>
      <c r="M48" s="166"/>
      <c r="O48" s="166"/>
    </row>
    <row r="49" spans="1:15" x14ac:dyDescent="0.25">
      <c r="A49" s="43">
        <f t="shared" si="0"/>
        <v>43</v>
      </c>
      <c r="C49" s="18" t="s">
        <v>8</v>
      </c>
      <c r="E49" s="645">
        <v>236052</v>
      </c>
      <c r="F49" s="166"/>
      <c r="G49" s="166"/>
      <c r="H49" s="166"/>
      <c r="I49" s="166">
        <f t="shared" si="5"/>
        <v>246036</v>
      </c>
      <c r="J49" s="166">
        <f t="shared" si="2"/>
        <v>246036</v>
      </c>
      <c r="K49" s="166"/>
      <c r="L49" s="621"/>
      <c r="M49" s="166"/>
      <c r="O49" s="166"/>
    </row>
    <row r="50" spans="1:15" x14ac:dyDescent="0.25">
      <c r="A50" s="43">
        <f t="shared" si="0"/>
        <v>44</v>
      </c>
      <c r="C50" s="18" t="s">
        <v>9</v>
      </c>
      <c r="E50" s="645">
        <v>51943</v>
      </c>
      <c r="F50" s="166"/>
      <c r="G50" s="166"/>
      <c r="H50" s="166"/>
      <c r="I50" s="166">
        <f t="shared" si="5"/>
        <v>54140</v>
      </c>
      <c r="J50" s="166">
        <f t="shared" si="2"/>
        <v>54140</v>
      </c>
      <c r="K50" s="166"/>
      <c r="L50" s="621"/>
      <c r="M50" s="166"/>
      <c r="O50" s="166"/>
    </row>
    <row r="51" spans="1:15" x14ac:dyDescent="0.25">
      <c r="A51" s="43">
        <f t="shared" si="0"/>
        <v>45</v>
      </c>
      <c r="C51" s="18" t="s">
        <v>10</v>
      </c>
      <c r="E51" s="645">
        <v>0</v>
      </c>
      <c r="F51" s="166"/>
      <c r="G51" s="166"/>
      <c r="H51" s="166"/>
      <c r="I51" s="166">
        <f t="shared" si="5"/>
        <v>0</v>
      </c>
      <c r="J51" s="166">
        <f t="shared" si="2"/>
        <v>0</v>
      </c>
      <c r="K51" s="166"/>
      <c r="L51" s="621"/>
      <c r="M51" s="166"/>
      <c r="O51" s="166"/>
    </row>
    <row r="52" spans="1:15" x14ac:dyDescent="0.25">
      <c r="A52" s="43">
        <f t="shared" si="0"/>
        <v>46</v>
      </c>
      <c r="B52" s="74"/>
      <c r="C52" s="22" t="s">
        <v>11</v>
      </c>
      <c r="E52" s="644">
        <v>0</v>
      </c>
      <c r="F52" s="170"/>
      <c r="G52" s="170"/>
      <c r="H52" s="170"/>
      <c r="I52" s="170">
        <f t="shared" si="5"/>
        <v>0</v>
      </c>
      <c r="J52" s="170">
        <f t="shared" si="2"/>
        <v>0</v>
      </c>
      <c r="K52" s="166"/>
      <c r="L52" s="622"/>
      <c r="M52" s="170"/>
      <c r="O52" s="166"/>
    </row>
    <row r="53" spans="1:15" x14ac:dyDescent="0.25">
      <c r="A53" s="43">
        <f t="shared" si="0"/>
        <v>47</v>
      </c>
      <c r="B53" s="69" t="s">
        <v>370</v>
      </c>
      <c r="C53" s="18" t="s">
        <v>6</v>
      </c>
      <c r="D53" s="69" t="s">
        <v>144</v>
      </c>
      <c r="E53" s="645">
        <v>171995</v>
      </c>
      <c r="F53" s="166"/>
      <c r="G53" s="166"/>
      <c r="H53" s="166"/>
      <c r="I53" s="166">
        <f t="shared" si="5"/>
        <v>179269</v>
      </c>
      <c r="J53" s="166">
        <f t="shared" si="2"/>
        <v>179269</v>
      </c>
      <c r="K53" s="166"/>
      <c r="L53" s="621">
        <v>2</v>
      </c>
      <c r="M53" s="166">
        <f>IF(L53&lt;&gt;0,ROUND(+SUM(J53:J58)/L53/12,0),0)</f>
        <v>13310</v>
      </c>
      <c r="O53" s="166"/>
    </row>
    <row r="54" spans="1:15" x14ac:dyDescent="0.25">
      <c r="A54" s="43">
        <f t="shared" si="0"/>
        <v>48</v>
      </c>
      <c r="C54" s="18" t="s">
        <v>7</v>
      </c>
      <c r="D54" s="69" t="s">
        <v>145</v>
      </c>
      <c r="E54" s="645">
        <v>134492</v>
      </c>
      <c r="F54" s="166"/>
      <c r="G54" s="166"/>
      <c r="H54" s="166"/>
      <c r="I54" s="166">
        <f t="shared" si="5"/>
        <v>140180</v>
      </c>
      <c r="J54" s="166">
        <f t="shared" si="2"/>
        <v>140180</v>
      </c>
      <c r="K54" s="166"/>
      <c r="L54" s="621"/>
      <c r="M54" s="166"/>
      <c r="O54" s="166"/>
    </row>
    <row r="55" spans="1:15" x14ac:dyDescent="0.25">
      <c r="A55" s="43">
        <f t="shared" si="0"/>
        <v>49</v>
      </c>
      <c r="C55" s="18" t="s">
        <v>8</v>
      </c>
      <c r="D55" s="69" t="s">
        <v>146</v>
      </c>
      <c r="E55" s="645">
        <v>0</v>
      </c>
      <c r="F55" s="166"/>
      <c r="G55" s="166"/>
      <c r="H55" s="166"/>
      <c r="I55" s="166">
        <f t="shared" si="5"/>
        <v>0</v>
      </c>
      <c r="J55" s="166">
        <f t="shared" si="2"/>
        <v>0</v>
      </c>
      <c r="K55" s="166"/>
      <c r="L55" s="621"/>
      <c r="M55" s="166"/>
      <c r="O55" s="166"/>
    </row>
    <row r="56" spans="1:15" x14ac:dyDescent="0.25">
      <c r="A56" s="43">
        <f t="shared" si="0"/>
        <v>50</v>
      </c>
      <c r="C56" s="18" t="s">
        <v>9</v>
      </c>
      <c r="D56" s="69" t="s">
        <v>147</v>
      </c>
      <c r="E56" s="645">
        <v>0</v>
      </c>
      <c r="F56" s="166"/>
      <c r="G56" s="166"/>
      <c r="H56" s="166"/>
      <c r="I56" s="166">
        <f t="shared" si="5"/>
        <v>0</v>
      </c>
      <c r="J56" s="166">
        <f t="shared" si="2"/>
        <v>0</v>
      </c>
      <c r="K56" s="166"/>
      <c r="L56" s="621"/>
      <c r="M56" s="166"/>
      <c r="O56" s="166"/>
    </row>
    <row r="57" spans="1:15" x14ac:dyDescent="0.25">
      <c r="A57" s="43">
        <f t="shared" si="0"/>
        <v>51</v>
      </c>
      <c r="C57" s="18" t="s">
        <v>10</v>
      </c>
      <c r="D57" s="69" t="s">
        <v>148</v>
      </c>
      <c r="E57" s="645">
        <v>0</v>
      </c>
      <c r="F57" s="166"/>
      <c r="G57" s="166"/>
      <c r="H57" s="166"/>
      <c r="I57" s="166">
        <f t="shared" si="5"/>
        <v>0</v>
      </c>
      <c r="J57" s="166">
        <f t="shared" si="2"/>
        <v>0</v>
      </c>
      <c r="K57" s="166"/>
      <c r="L57" s="621"/>
      <c r="M57" s="166"/>
      <c r="O57" s="166"/>
    </row>
    <row r="58" spans="1:15" x14ac:dyDescent="0.25">
      <c r="A58" s="43">
        <f t="shared" si="0"/>
        <v>52</v>
      </c>
      <c r="B58" s="74"/>
      <c r="C58" s="22" t="s">
        <v>11</v>
      </c>
      <c r="D58" s="74" t="s">
        <v>149</v>
      </c>
      <c r="E58" s="644">
        <v>0</v>
      </c>
      <c r="F58" s="170"/>
      <c r="G58" s="170"/>
      <c r="H58" s="170"/>
      <c r="I58" s="170">
        <f t="shared" si="5"/>
        <v>0</v>
      </c>
      <c r="J58" s="170">
        <f t="shared" si="2"/>
        <v>0</v>
      </c>
      <c r="K58" s="166"/>
      <c r="L58" s="622"/>
      <c r="M58" s="170"/>
      <c r="O58" s="166"/>
    </row>
    <row r="59" spans="1:15" x14ac:dyDescent="0.25">
      <c r="A59" s="43">
        <f t="shared" si="0"/>
        <v>53</v>
      </c>
      <c r="B59" s="69" t="s">
        <v>166</v>
      </c>
      <c r="C59" s="18" t="s">
        <v>6</v>
      </c>
      <c r="D59" s="69" t="s">
        <v>150</v>
      </c>
      <c r="E59" s="645">
        <v>906535</v>
      </c>
      <c r="F59" s="166"/>
      <c r="G59" s="166"/>
      <c r="H59" s="166"/>
      <c r="I59" s="166"/>
      <c r="J59" s="166">
        <f t="shared" si="2"/>
        <v>906535</v>
      </c>
      <c r="K59" s="166"/>
      <c r="L59" s="621">
        <v>11</v>
      </c>
      <c r="M59" s="166">
        <f>IF(L59&lt;&gt;0,ROUND(+SUM(J59:J64)/L59/12,0),0)</f>
        <v>81264</v>
      </c>
      <c r="O59" s="166"/>
    </row>
    <row r="60" spans="1:15" x14ac:dyDescent="0.25">
      <c r="A60" s="43">
        <f t="shared" si="0"/>
        <v>54</v>
      </c>
      <c r="C60" s="18" t="s">
        <v>7</v>
      </c>
      <c r="D60" s="69" t="s">
        <v>151</v>
      </c>
      <c r="E60" s="645">
        <v>1644618</v>
      </c>
      <c r="F60" s="166"/>
      <c r="G60" s="166"/>
      <c r="H60" s="166"/>
      <c r="I60" s="166"/>
      <c r="J60" s="166">
        <f t="shared" si="2"/>
        <v>1644618</v>
      </c>
      <c r="K60" s="166"/>
      <c r="L60" s="621"/>
      <c r="M60" s="166"/>
      <c r="O60" s="166"/>
    </row>
    <row r="61" spans="1:15" x14ac:dyDescent="0.25">
      <c r="A61" s="43">
        <f t="shared" si="0"/>
        <v>55</v>
      </c>
      <c r="C61" s="18" t="s">
        <v>8</v>
      </c>
      <c r="D61" s="69" t="s">
        <v>152</v>
      </c>
      <c r="E61" s="645">
        <v>1375643</v>
      </c>
      <c r="F61" s="166"/>
      <c r="G61" s="166"/>
      <c r="H61" s="166"/>
      <c r="I61" s="166"/>
      <c r="J61" s="166">
        <f t="shared" si="2"/>
        <v>1375643</v>
      </c>
      <c r="K61" s="166"/>
      <c r="L61" s="621"/>
      <c r="M61" s="166"/>
      <c r="O61" s="166"/>
    </row>
    <row r="62" spans="1:15" x14ac:dyDescent="0.25">
      <c r="A62" s="43">
        <f t="shared" si="0"/>
        <v>56</v>
      </c>
      <c r="C62" s="18" t="s">
        <v>9</v>
      </c>
      <c r="D62" s="69" t="s">
        <v>153</v>
      </c>
      <c r="E62" s="645">
        <v>4240259</v>
      </c>
      <c r="F62" s="166"/>
      <c r="G62" s="166"/>
      <c r="H62" s="166"/>
      <c r="I62" s="166"/>
      <c r="J62" s="166">
        <f t="shared" si="2"/>
        <v>4240259</v>
      </c>
      <c r="K62" s="166"/>
      <c r="L62" s="621"/>
      <c r="M62" s="166"/>
      <c r="O62" s="166"/>
    </row>
    <row r="63" spans="1:15" x14ac:dyDescent="0.25">
      <c r="A63" s="43">
        <f t="shared" si="0"/>
        <v>57</v>
      </c>
      <c r="C63" s="18" t="s">
        <v>10</v>
      </c>
      <c r="D63" s="69" t="s">
        <v>154</v>
      </c>
      <c r="E63" s="645">
        <v>2559794</v>
      </c>
      <c r="F63" s="166"/>
      <c r="G63" s="166"/>
      <c r="H63" s="166"/>
      <c r="I63" s="166"/>
      <c r="J63" s="166">
        <f t="shared" si="2"/>
        <v>2559794</v>
      </c>
      <c r="K63" s="166"/>
      <c r="L63" s="621"/>
      <c r="M63" s="166"/>
      <c r="O63" s="166"/>
    </row>
    <row r="64" spans="1:15" x14ac:dyDescent="0.25">
      <c r="A64" s="43">
        <f t="shared" si="0"/>
        <v>58</v>
      </c>
      <c r="B64" s="74"/>
      <c r="C64" s="22" t="s">
        <v>11</v>
      </c>
      <c r="D64" s="74" t="s">
        <v>155</v>
      </c>
      <c r="E64" s="644">
        <v>0</v>
      </c>
      <c r="F64" s="170"/>
      <c r="G64" s="170"/>
      <c r="H64" s="170"/>
      <c r="I64" s="170"/>
      <c r="J64" s="170">
        <f t="shared" si="2"/>
        <v>0</v>
      </c>
      <c r="K64" s="166"/>
      <c r="L64" s="622"/>
      <c r="M64" s="170"/>
      <c r="O64" s="166"/>
    </row>
    <row r="65" spans="1:15" x14ac:dyDescent="0.25">
      <c r="A65" s="43">
        <f t="shared" si="0"/>
        <v>59</v>
      </c>
      <c r="B65" s="74" t="s">
        <v>167</v>
      </c>
      <c r="C65" s="21"/>
      <c r="D65" s="74" t="s">
        <v>156</v>
      </c>
      <c r="E65" s="644">
        <v>0</v>
      </c>
      <c r="F65" s="170"/>
      <c r="G65" s="170"/>
      <c r="H65" s="170"/>
      <c r="I65" s="170"/>
      <c r="J65" s="170">
        <f t="shared" si="2"/>
        <v>0</v>
      </c>
      <c r="K65" s="166"/>
      <c r="L65" s="622"/>
      <c r="M65" s="170">
        <f>IF(L65&lt;&gt;0,ROUND(+J65/L65/12,0),0)</f>
        <v>0</v>
      </c>
      <c r="O65" s="166"/>
    </row>
    <row r="66" spans="1:15" x14ac:dyDescent="0.25">
      <c r="A66" s="43">
        <f t="shared" si="0"/>
        <v>60</v>
      </c>
      <c r="B66" s="16" t="s">
        <v>168</v>
      </c>
      <c r="C66" s="13"/>
      <c r="D66" s="16" t="s">
        <v>157</v>
      </c>
      <c r="E66" s="643">
        <v>0</v>
      </c>
      <c r="F66" s="165"/>
      <c r="G66" s="165"/>
      <c r="H66" s="165"/>
      <c r="I66" s="165"/>
      <c r="J66" s="165">
        <f t="shared" si="2"/>
        <v>0</v>
      </c>
      <c r="K66" s="166"/>
      <c r="L66" s="623"/>
      <c r="M66" s="165">
        <f>IF(L66&lt;&gt;0,ROUND(+J66/L66/12,0),0)</f>
        <v>0</v>
      </c>
      <c r="O66" s="166"/>
    </row>
    <row r="67" spans="1:15" x14ac:dyDescent="0.25">
      <c r="A67" s="43">
        <f t="shared" si="0"/>
        <v>61</v>
      </c>
      <c r="B67" s="15" t="s">
        <v>217</v>
      </c>
      <c r="C67" s="13"/>
      <c r="D67" s="16"/>
      <c r="E67" s="643"/>
      <c r="F67" s="165"/>
      <c r="G67" s="165"/>
      <c r="H67" s="165"/>
      <c r="I67" s="165"/>
      <c r="J67" s="165"/>
      <c r="K67" s="166"/>
      <c r="L67" s="623"/>
      <c r="M67" s="165"/>
      <c r="O67" s="166"/>
    </row>
    <row r="68" spans="1:15" x14ac:dyDescent="0.25">
      <c r="A68" s="43">
        <f t="shared" si="0"/>
        <v>62</v>
      </c>
      <c r="E68" s="158">
        <f t="shared" ref="E68:L68" si="6">SUM(E13:E67)</f>
        <v>93523288.200000018</v>
      </c>
      <c r="F68" s="158">
        <f t="shared" si="6"/>
        <v>52294158.799999997</v>
      </c>
      <c r="G68" s="158">
        <f t="shared" si="6"/>
        <v>22733242.400000002</v>
      </c>
      <c r="H68" s="158">
        <f t="shared" si="6"/>
        <v>3109754</v>
      </c>
      <c r="I68" s="158">
        <f t="shared" si="6"/>
        <v>1356597</v>
      </c>
      <c r="J68" s="176">
        <f t="shared" si="6"/>
        <v>97119890.200000003</v>
      </c>
      <c r="K68" s="177"/>
      <c r="L68" s="158">
        <f t="shared" si="6"/>
        <v>83033</v>
      </c>
      <c r="M68" s="178"/>
      <c r="N68" s="178"/>
      <c r="O68" s="188"/>
    </row>
    <row r="69" spans="1:15" x14ac:dyDescent="0.25">
      <c r="A69" s="43">
        <f t="shared" si="0"/>
        <v>63</v>
      </c>
      <c r="E69" s="158"/>
      <c r="F69" s="158"/>
      <c r="G69" s="158"/>
      <c r="H69" s="158"/>
      <c r="I69" s="158"/>
      <c r="J69" s="158"/>
      <c r="K69" s="120"/>
      <c r="L69" s="194"/>
    </row>
    <row r="70" spans="1:15" ht="13.8" thickBot="1" x14ac:dyDescent="0.3">
      <c r="A70" s="43">
        <f t="shared" si="0"/>
        <v>64</v>
      </c>
      <c r="E70" s="179"/>
      <c r="J70" s="180"/>
      <c r="K70" s="181"/>
      <c r="L70" s="195"/>
    </row>
    <row r="71" spans="1:15" ht="13.8" thickBot="1" x14ac:dyDescent="0.3">
      <c r="A71" s="43">
        <f t="shared" si="0"/>
        <v>65</v>
      </c>
      <c r="B71" s="182" t="s">
        <v>559</v>
      </c>
      <c r="C71" s="183"/>
      <c r="D71" s="183"/>
      <c r="E71" s="184"/>
      <c r="F71" s="558">
        <f>+Inputs!B8</f>
        <v>52294158.729866467</v>
      </c>
      <c r="G71" s="558">
        <f>+Inputs!B10</f>
        <v>22733242.42891242</v>
      </c>
      <c r="H71" s="558">
        <f>+Inputs!B12</f>
        <v>3109754.6999999997</v>
      </c>
      <c r="I71" s="559">
        <f>+Inputs!B14</f>
        <v>1356597</v>
      </c>
      <c r="J71" s="698">
        <f>+SUM(F71:I71)</f>
        <v>79493752.858778894</v>
      </c>
      <c r="K71" s="181"/>
      <c r="L71" s="530"/>
    </row>
    <row r="72" spans="1:15" x14ac:dyDescent="0.25">
      <c r="E72" s="179"/>
      <c r="J72" s="180"/>
      <c r="K72" s="181"/>
      <c r="L72" s="194"/>
    </row>
    <row r="73" spans="1:15" x14ac:dyDescent="0.25">
      <c r="E73" s="158"/>
      <c r="F73" s="158"/>
      <c r="G73" s="158"/>
      <c r="H73" s="158"/>
      <c r="I73" s="158"/>
      <c r="J73" s="158"/>
      <c r="K73" s="181"/>
      <c r="L73" s="194"/>
    </row>
    <row r="74" spans="1:15" x14ac:dyDescent="0.25">
      <c r="E74" s="158"/>
      <c r="F74" s="158"/>
      <c r="G74" s="158"/>
      <c r="H74" s="158"/>
      <c r="I74" s="158"/>
      <c r="J74" s="158"/>
      <c r="K74" s="181"/>
      <c r="L74" s="194"/>
    </row>
    <row r="75" spans="1:15" x14ac:dyDescent="0.25">
      <c r="C75" s="69" t="s">
        <v>248</v>
      </c>
      <c r="E75" s="158">
        <f t="shared" ref="E75:J75" si="7">+SUM(E23:E24)+SUM(E41:E46)+SUM(E59:E64)+E65+E66</f>
        <v>17626138</v>
      </c>
      <c r="F75" s="158">
        <f t="shared" si="7"/>
        <v>0</v>
      </c>
      <c r="G75" s="158">
        <f t="shared" si="7"/>
        <v>0</v>
      </c>
      <c r="H75" s="158">
        <f t="shared" si="7"/>
        <v>0</v>
      </c>
      <c r="I75" s="158">
        <f t="shared" si="7"/>
        <v>0</v>
      </c>
      <c r="J75" s="158">
        <f t="shared" si="7"/>
        <v>17626138</v>
      </c>
      <c r="K75" s="181"/>
      <c r="L75" s="158">
        <f>+SUM(L23:L24)+SUM(L41:L46)+SUM(L59:L64)+L65+L66</f>
        <v>40</v>
      </c>
    </row>
    <row r="76" spans="1:15" x14ac:dyDescent="0.25">
      <c r="C76" s="69" t="s">
        <v>249</v>
      </c>
      <c r="E76" s="158">
        <f t="shared" ref="E76:J76" si="8">+SUM(E13:E20)+SUM(E27:E40)+SUM(E53:E58)+E67+SUM(E21:E22)+SUM(E25:E26)+SUM(E47:E52)</f>
        <v>75897150.200000018</v>
      </c>
      <c r="F76" s="158">
        <f t="shared" si="8"/>
        <v>52294158.799999997</v>
      </c>
      <c r="G76" s="158">
        <f t="shared" si="8"/>
        <v>22733242.400000002</v>
      </c>
      <c r="H76" s="158">
        <f t="shared" si="8"/>
        <v>3109754</v>
      </c>
      <c r="I76" s="158">
        <f t="shared" si="8"/>
        <v>1356597</v>
      </c>
      <c r="J76" s="158">
        <f t="shared" si="8"/>
        <v>79493752.200000003</v>
      </c>
      <c r="K76" s="181"/>
      <c r="L76" s="158">
        <f>+SUM(L13:L20)+SUM(L27:L40)+SUM(L53:L58)+L67+SUM(L21:L22)+SUM(L25:L26)+SUM(L47:L52)</f>
        <v>82993</v>
      </c>
    </row>
    <row r="77" spans="1:15" x14ac:dyDescent="0.25">
      <c r="E77" s="205">
        <f t="shared" ref="E77:J77" si="9">+E76+E75-E68</f>
        <v>0</v>
      </c>
      <c r="F77" s="205">
        <f t="shared" si="9"/>
        <v>0</v>
      </c>
      <c r="G77" s="205">
        <f t="shared" si="9"/>
        <v>0</v>
      </c>
      <c r="H77" s="205">
        <f t="shared" si="9"/>
        <v>0</v>
      </c>
      <c r="I77" s="205">
        <f t="shared" si="9"/>
        <v>0</v>
      </c>
      <c r="J77" s="205">
        <f t="shared" si="9"/>
        <v>0</v>
      </c>
      <c r="K77" s="181"/>
      <c r="L77" s="205">
        <f>+L76+L75-L68</f>
        <v>0</v>
      </c>
    </row>
    <row r="78" spans="1:15" x14ac:dyDescent="0.25">
      <c r="C78" s="69" t="s">
        <v>250</v>
      </c>
      <c r="E78" s="158">
        <f t="shared" ref="E78:J78" si="10">+E13+E15</f>
        <v>49933739.70000001</v>
      </c>
      <c r="F78" s="158">
        <f t="shared" si="10"/>
        <v>51788051.899999999</v>
      </c>
      <c r="G78" s="158">
        <f t="shared" si="10"/>
        <v>0</v>
      </c>
      <c r="H78" s="158">
        <f t="shared" si="10"/>
        <v>0</v>
      </c>
      <c r="I78" s="158">
        <f t="shared" si="10"/>
        <v>0</v>
      </c>
      <c r="J78" s="158">
        <f t="shared" si="10"/>
        <v>51788051.899999999</v>
      </c>
      <c r="K78" s="181"/>
      <c r="L78" s="158">
        <f>+L13+L15</f>
        <v>76020</v>
      </c>
      <c r="M78" s="158">
        <f>+L68-L78</f>
        <v>7013</v>
      </c>
    </row>
    <row r="79" spans="1:15" x14ac:dyDescent="0.25">
      <c r="C79" s="69" t="s">
        <v>251</v>
      </c>
      <c r="E79" s="158">
        <f t="shared" ref="E79:J79" si="11">+E14+E16+SUM(E29:E34)+SUM(E19:E20)+SUM(E21:E22)+SUM(E47:E52)</f>
        <v>22085078.399999999</v>
      </c>
      <c r="F79" s="158">
        <f t="shared" si="11"/>
        <v>0</v>
      </c>
      <c r="G79" s="158">
        <f t="shared" si="11"/>
        <v>22733242.400000002</v>
      </c>
      <c r="H79" s="158">
        <f t="shared" si="11"/>
        <v>0</v>
      </c>
      <c r="I79" s="158">
        <f t="shared" si="11"/>
        <v>1037148</v>
      </c>
      <c r="J79" s="158">
        <f t="shared" si="11"/>
        <v>23770390.400000002</v>
      </c>
      <c r="L79" s="158">
        <f>+L14+L16+SUM(L29:L34)+SUM(L19:L20)+SUM(L21:L22)+SUM(L47:L52)</f>
        <v>6171</v>
      </c>
    </row>
    <row r="80" spans="1:15" x14ac:dyDescent="0.25">
      <c r="C80" s="69" t="s">
        <v>252</v>
      </c>
      <c r="E80" s="120">
        <f t="shared" ref="E80:J80" si="12">+E17++SUM(E27:E28)+SUM(E35:E40)+SUM(E53:E58)+SUM(E25:E26)</f>
        <v>3390346.8</v>
      </c>
      <c r="F80" s="120">
        <f t="shared" si="12"/>
        <v>0</v>
      </c>
      <c r="G80" s="120">
        <f t="shared" si="12"/>
        <v>0</v>
      </c>
      <c r="H80" s="120">
        <f t="shared" si="12"/>
        <v>3109754</v>
      </c>
      <c r="I80" s="120">
        <f t="shared" si="12"/>
        <v>319449</v>
      </c>
      <c r="J80" s="120">
        <f t="shared" si="12"/>
        <v>3429203</v>
      </c>
      <c r="K80" s="181"/>
      <c r="L80" s="120">
        <f>+L17++SUM(L27:L28)+SUM(L35:L40)+SUM(L53:L58)+SUM(L25:L26)</f>
        <v>57</v>
      </c>
      <c r="M80" s="3"/>
      <c r="N80" s="3"/>
    </row>
    <row r="81" spans="2:14" x14ac:dyDescent="0.25">
      <c r="C81" s="69">
        <v>27</v>
      </c>
      <c r="E81" s="120">
        <f t="shared" ref="E81:J81" si="13">+E18</f>
        <v>487985.3</v>
      </c>
      <c r="F81" s="120">
        <f t="shared" si="13"/>
        <v>506106.9</v>
      </c>
      <c r="G81" s="120">
        <f t="shared" si="13"/>
        <v>0</v>
      </c>
      <c r="H81" s="120">
        <f t="shared" si="13"/>
        <v>0</v>
      </c>
      <c r="I81" s="120">
        <f t="shared" si="13"/>
        <v>0</v>
      </c>
      <c r="J81" s="120">
        <f t="shared" si="13"/>
        <v>506106.9</v>
      </c>
      <c r="K81" s="181"/>
      <c r="L81" s="120">
        <f>+L18</f>
        <v>745</v>
      </c>
      <c r="M81" s="3"/>
      <c r="N81" s="3"/>
    </row>
    <row r="82" spans="2:14" x14ac:dyDescent="0.25">
      <c r="E82" s="205">
        <f t="shared" ref="E82:J82" si="14">+SUM(E78:E81)-E76</f>
        <v>0</v>
      </c>
      <c r="F82" s="205">
        <f t="shared" si="14"/>
        <v>0</v>
      </c>
      <c r="G82" s="205">
        <f t="shared" si="14"/>
        <v>0</v>
      </c>
      <c r="H82" s="205">
        <f t="shared" si="14"/>
        <v>0</v>
      </c>
      <c r="I82" s="205">
        <f t="shared" si="14"/>
        <v>0</v>
      </c>
      <c r="J82" s="205">
        <f t="shared" si="14"/>
        <v>0</v>
      </c>
      <c r="K82" s="185"/>
      <c r="L82" s="205">
        <f>+SUM(L78:L81)-L76</f>
        <v>0</v>
      </c>
      <c r="M82" s="3"/>
      <c r="N82" s="3"/>
    </row>
    <row r="83" spans="2:14" x14ac:dyDescent="0.25">
      <c r="B83" s="186"/>
      <c r="C83" s="69" t="s">
        <v>253</v>
      </c>
      <c r="D83" s="187"/>
      <c r="E83" s="205">
        <f t="shared" ref="E83:J83" si="15">+SUM(E13:E20)+SUM(E29:E40)+SUM(E25:E26)</f>
        <v>74595601.200000018</v>
      </c>
      <c r="F83" s="205">
        <f t="shared" si="15"/>
        <v>52294158.799999997</v>
      </c>
      <c r="G83" s="205">
        <f t="shared" si="15"/>
        <v>22733242.400000002</v>
      </c>
      <c r="H83" s="205">
        <f t="shared" si="15"/>
        <v>3109754</v>
      </c>
      <c r="I83" s="205">
        <f t="shared" si="15"/>
        <v>0</v>
      </c>
      <c r="J83" s="205">
        <f t="shared" si="15"/>
        <v>78137155.200000003</v>
      </c>
      <c r="K83" s="188"/>
      <c r="L83" s="205">
        <f>+SUM(L13:L20)+SUM(L29:L40)+SUM(L25:L26)</f>
        <v>82988</v>
      </c>
      <c r="M83" s="3"/>
      <c r="N83" s="3"/>
    </row>
    <row r="84" spans="2:14" x14ac:dyDescent="0.25">
      <c r="C84" s="69" t="s">
        <v>254</v>
      </c>
      <c r="D84" s="186"/>
      <c r="E84" s="205">
        <f t="shared" ref="E84:J84" si="16">+SUM(E27:E28)+SUM(E53:E58)+SUM(E21:E22)+SUM(E47:E52)</f>
        <v>1301549</v>
      </c>
      <c r="F84" s="205">
        <f t="shared" si="16"/>
        <v>0</v>
      </c>
      <c r="G84" s="205">
        <f t="shared" si="16"/>
        <v>0</v>
      </c>
      <c r="H84" s="205">
        <f t="shared" si="16"/>
        <v>0</v>
      </c>
      <c r="I84" s="205">
        <f t="shared" si="16"/>
        <v>1356597</v>
      </c>
      <c r="J84" s="205">
        <f t="shared" si="16"/>
        <v>1356597</v>
      </c>
      <c r="K84" s="189"/>
      <c r="L84" s="205">
        <f>+SUM(L27:L28)+SUM(L53:L58)+SUM(L21:L22)+SUM(L47:L52)</f>
        <v>5</v>
      </c>
      <c r="M84" s="3"/>
      <c r="N84" s="3"/>
    </row>
    <row r="85" spans="2:14" x14ac:dyDescent="0.25">
      <c r="E85" s="205">
        <f t="shared" ref="E85:J85" si="17">+E84+E83-E76</f>
        <v>0</v>
      </c>
      <c r="F85" s="205">
        <f t="shared" si="17"/>
        <v>0</v>
      </c>
      <c r="G85" s="205">
        <f t="shared" si="17"/>
        <v>0</v>
      </c>
      <c r="H85" s="205">
        <f t="shared" si="17"/>
        <v>0</v>
      </c>
      <c r="I85" s="205">
        <f t="shared" si="17"/>
        <v>0</v>
      </c>
      <c r="J85" s="205">
        <f t="shared" si="17"/>
        <v>0</v>
      </c>
      <c r="K85" s="185"/>
      <c r="L85" s="205">
        <f>+L84+L83-L76</f>
        <v>0</v>
      </c>
      <c r="M85" s="3"/>
      <c r="N85" s="3"/>
    </row>
    <row r="86" spans="2:14" x14ac:dyDescent="0.25">
      <c r="C86" s="3"/>
      <c r="D86" s="3"/>
      <c r="E86" s="185"/>
      <c r="F86" s="185"/>
      <c r="G86" s="185"/>
      <c r="H86" s="185"/>
      <c r="I86" s="185"/>
      <c r="J86" s="185"/>
      <c r="K86" s="185"/>
      <c r="L86" s="103"/>
      <c r="M86" s="3"/>
      <c r="N86" s="3"/>
    </row>
    <row r="87" spans="2:14" x14ac:dyDescent="0.25">
      <c r="E87" s="185"/>
      <c r="F87" s="185"/>
      <c r="G87" s="3"/>
      <c r="H87" s="3"/>
      <c r="I87" s="3"/>
      <c r="J87" s="185"/>
      <c r="K87" s="185"/>
      <c r="L87" s="103"/>
      <c r="M87" s="3"/>
      <c r="N87" s="3"/>
    </row>
    <row r="88" spans="2:14" x14ac:dyDescent="0.25">
      <c r="E88" s="185"/>
      <c r="F88" s="3"/>
      <c r="G88" s="3"/>
      <c r="H88" s="3"/>
      <c r="I88" s="3"/>
      <c r="J88" s="185"/>
      <c r="K88" s="185"/>
      <c r="L88" s="103"/>
      <c r="M88" s="3"/>
      <c r="N88" s="3"/>
    </row>
    <row r="89" spans="2:14" x14ac:dyDescent="0.25">
      <c r="C89" s="186"/>
      <c r="D89" s="186"/>
      <c r="E89" s="185"/>
      <c r="F89" s="3"/>
      <c r="G89" s="3"/>
      <c r="H89" s="3"/>
      <c r="I89" s="3"/>
      <c r="J89" s="185"/>
      <c r="K89" s="185"/>
      <c r="L89" s="103"/>
      <c r="M89" s="3"/>
      <c r="N89" s="3"/>
    </row>
    <row r="90" spans="2:14" x14ac:dyDescent="0.25">
      <c r="C90" s="186"/>
      <c r="D90" s="186"/>
      <c r="E90" s="185"/>
      <c r="F90" s="3"/>
      <c r="G90" s="3"/>
      <c r="H90" s="3"/>
      <c r="I90" s="3"/>
      <c r="J90" s="185"/>
      <c r="K90" s="185"/>
      <c r="L90" s="103"/>
      <c r="M90" s="3"/>
      <c r="N90" s="3"/>
    </row>
    <row r="91" spans="2:14" x14ac:dyDescent="0.25">
      <c r="C91" s="186"/>
      <c r="D91" s="186"/>
      <c r="E91" s="185"/>
      <c r="F91" s="3"/>
      <c r="G91" s="3"/>
      <c r="H91" s="3"/>
      <c r="I91" s="3"/>
      <c r="J91" s="185"/>
      <c r="K91" s="185"/>
      <c r="L91" s="103"/>
      <c r="M91" s="3"/>
      <c r="N91" s="3"/>
    </row>
    <row r="92" spans="2:14" x14ac:dyDescent="0.25">
      <c r="E92" s="185"/>
      <c r="F92" s="3"/>
      <c r="G92" s="3"/>
      <c r="H92" s="3"/>
      <c r="I92" s="3"/>
      <c r="J92" s="3"/>
      <c r="L92" s="103"/>
      <c r="M92" s="3"/>
      <c r="N92" s="3"/>
    </row>
    <row r="93" spans="2:14" x14ac:dyDescent="0.25">
      <c r="E93" s="185"/>
      <c r="F93" s="3"/>
      <c r="G93" s="3"/>
      <c r="H93" s="3"/>
      <c r="I93" s="3"/>
      <c r="J93" s="3"/>
      <c r="L93" s="103"/>
      <c r="M93" s="3"/>
      <c r="N93" s="3"/>
    </row>
    <row r="94" spans="2:14" x14ac:dyDescent="0.25">
      <c r="E94" s="185"/>
      <c r="F94" s="3"/>
      <c r="G94" s="3"/>
      <c r="H94" s="3"/>
      <c r="I94" s="3"/>
      <c r="J94" s="3"/>
      <c r="L94" s="103"/>
      <c r="M94" s="3"/>
      <c r="N94" s="3"/>
    </row>
    <row r="95" spans="2:14" x14ac:dyDescent="0.25">
      <c r="E95" s="190"/>
      <c r="F95" s="3"/>
      <c r="G95" s="3"/>
      <c r="H95" s="3"/>
      <c r="I95" s="3"/>
      <c r="J95" s="190"/>
      <c r="K95" s="190"/>
      <c r="L95" s="103"/>
      <c r="M95" s="3"/>
      <c r="N95" s="3"/>
    </row>
    <row r="96" spans="2:14" x14ac:dyDescent="0.25">
      <c r="C96" s="3"/>
      <c r="D96" s="3"/>
      <c r="E96" s="181"/>
      <c r="F96" s="3"/>
      <c r="G96" s="3"/>
      <c r="H96" s="3"/>
      <c r="I96" s="3"/>
      <c r="J96" s="181"/>
      <c r="K96" s="181"/>
      <c r="L96" s="103"/>
      <c r="M96" s="3"/>
      <c r="N96" s="3"/>
    </row>
    <row r="97" spans="3:14" x14ac:dyDescent="0.25">
      <c r="C97" s="3"/>
      <c r="D97" s="3"/>
      <c r="E97" s="181"/>
      <c r="F97" s="3"/>
      <c r="G97" s="3"/>
      <c r="H97" s="3"/>
      <c r="I97" s="3"/>
      <c r="J97" s="181"/>
      <c r="K97" s="181"/>
      <c r="L97" s="103"/>
      <c r="M97" s="3"/>
      <c r="N97" s="3"/>
    </row>
    <row r="98" spans="3:14" x14ac:dyDescent="0.25">
      <c r="C98" s="3"/>
      <c r="D98" s="3"/>
      <c r="E98" s="181"/>
      <c r="F98" s="3"/>
      <c r="G98" s="3"/>
      <c r="H98" s="3"/>
      <c r="I98" s="3"/>
      <c r="J98" s="181"/>
      <c r="K98" s="181"/>
      <c r="L98" s="103"/>
      <c r="M98" s="3"/>
      <c r="N98" s="3"/>
    </row>
    <row r="99" spans="3:14" x14ac:dyDescent="0.25">
      <c r="C99" s="3"/>
      <c r="D99" s="3"/>
      <c r="E99" s="181"/>
      <c r="F99" s="3"/>
      <c r="G99" s="3"/>
      <c r="H99" s="3"/>
      <c r="I99" s="3"/>
      <c r="J99" s="181"/>
      <c r="K99" s="181"/>
      <c r="L99" s="103"/>
      <c r="M99" s="3"/>
      <c r="N99" s="3"/>
    </row>
    <row r="100" spans="3:14" x14ac:dyDescent="0.25">
      <c r="C100" s="3"/>
      <c r="D100" s="3"/>
      <c r="E100" s="181"/>
      <c r="F100" s="3"/>
      <c r="G100" s="3"/>
      <c r="H100" s="3"/>
      <c r="I100" s="3"/>
      <c r="J100" s="181"/>
      <c r="K100" s="181"/>
      <c r="L100" s="103"/>
      <c r="M100" s="3"/>
      <c r="N100" s="3"/>
    </row>
    <row r="101" spans="3:14" x14ac:dyDescent="0.25">
      <c r="E101" s="181"/>
      <c r="F101" s="3"/>
      <c r="G101" s="3"/>
      <c r="H101" s="3"/>
      <c r="I101" s="3"/>
      <c r="J101" s="181"/>
      <c r="K101" s="181"/>
      <c r="L101" s="103"/>
      <c r="M101" s="3"/>
      <c r="N101" s="3"/>
    </row>
    <row r="102" spans="3:14" x14ac:dyDescent="0.25">
      <c r="E102" s="185"/>
      <c r="F102" s="3"/>
      <c r="G102" s="3"/>
      <c r="H102" s="3"/>
      <c r="I102" s="3"/>
      <c r="J102" s="3"/>
      <c r="L102" s="103"/>
      <c r="M102" s="3"/>
      <c r="N102" s="3"/>
    </row>
    <row r="103" spans="3:14" x14ac:dyDescent="0.25">
      <c r="E103" s="185"/>
      <c r="F103" s="3"/>
      <c r="G103" s="3"/>
      <c r="H103" s="3"/>
      <c r="I103" s="3"/>
      <c r="J103" s="185"/>
      <c r="K103" s="185"/>
      <c r="L103" s="103"/>
      <c r="M103" s="3"/>
      <c r="N103" s="3"/>
    </row>
    <row r="104" spans="3:14" x14ac:dyDescent="0.25">
      <c r="E104" s="3"/>
      <c r="F104" s="3"/>
      <c r="G104" s="3"/>
      <c r="H104" s="3"/>
      <c r="I104" s="3"/>
      <c r="J104" s="181"/>
      <c r="K104" s="181"/>
      <c r="L104" s="103"/>
      <c r="M104" s="3"/>
      <c r="N104" s="3"/>
    </row>
    <row r="105" spans="3:14" x14ac:dyDescent="0.25">
      <c r="E105" s="3"/>
      <c r="F105" s="3"/>
      <c r="G105" s="3"/>
      <c r="H105" s="3"/>
      <c r="I105" s="3"/>
      <c r="J105" s="181"/>
      <c r="K105" s="181"/>
      <c r="L105" s="103"/>
      <c r="M105" s="3"/>
      <c r="N105" s="3"/>
    </row>
  </sheetData>
  <phoneticPr fontId="2" type="noConversion"/>
  <printOptions horizontalCentered="1"/>
  <pageMargins left="0.5" right="0.5" top="0.5" bottom="0.5" header="0.25" footer="0.25"/>
  <pageSetup scale="58" orientation="landscape" r:id="rId1"/>
  <headerFooter alignWithMargins="0">
    <oddHeader xml:space="preserve">&amp;RUG-181053 NWN Compliance Filing
Advice 19-07 / Work Paper
</oddHeader>
    <oddFooter xml:space="preserve">&amp;C&amp;F &amp;D &amp;T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AB94"/>
  <sheetViews>
    <sheetView showGridLines="0" view="pageBreakPreview" zoomScaleNormal="100" zoomScaleSheetLayoutView="100" workbookViewId="0">
      <pane xSplit="3" ySplit="12" topLeftCell="D13" activePane="bottomRight" state="frozen"/>
      <selection activeCell="F18" sqref="F18"/>
      <selection pane="topRight" activeCell="F18" sqref="F18"/>
      <selection pane="bottomLeft" activeCell="F18" sqref="F18"/>
      <selection pane="bottomRight" activeCell="F18" sqref="F18"/>
    </sheetView>
  </sheetViews>
  <sheetFormatPr defaultColWidth="9.33203125" defaultRowHeight="13.2" outlineLevelCol="1" x14ac:dyDescent="0.25"/>
  <cols>
    <col min="1" max="1" width="6.88671875" style="3" customWidth="1"/>
    <col min="2" max="2" width="17.88671875" style="2" customWidth="1"/>
    <col min="3" max="3" width="9.33203125" style="2"/>
    <col min="4" max="4" width="16.44140625" style="2" bestFit="1" customWidth="1"/>
    <col min="5" max="5" width="13.33203125" style="2" customWidth="1"/>
    <col min="6" max="6" width="13.6640625" style="2" customWidth="1"/>
    <col min="7" max="7" width="12.88671875" style="2" customWidth="1"/>
    <col min="8" max="8" width="11.88671875" style="2" customWidth="1"/>
    <col min="9" max="9" width="14.88671875" style="2" customWidth="1"/>
    <col min="10" max="11" width="16" style="2" customWidth="1" outlineLevel="1"/>
    <col min="12" max="12" width="17.6640625" style="2" customWidth="1" outlineLevel="1"/>
    <col min="13" max="14" width="14.88671875" style="2" customWidth="1" outlineLevel="1"/>
    <col min="15" max="15" width="15.44140625" style="2" customWidth="1" outlineLevel="1"/>
    <col min="16" max="16" width="15.44140625" style="192" customWidth="1" outlineLevel="1"/>
    <col min="17" max="18" width="15.44140625" style="2" customWidth="1" outlineLevel="1"/>
    <col min="19" max="19" width="12.44140625" style="2" customWidth="1" outlineLevel="1" collapsed="1"/>
    <col min="20" max="20" width="14.44140625" style="2" customWidth="1" outlineLevel="1"/>
    <col min="21" max="21" width="16.6640625" style="2" customWidth="1" outlineLevel="1"/>
    <col min="22" max="22" width="11.88671875" style="2" customWidth="1"/>
    <col min="23" max="23" width="14.88671875" style="2" customWidth="1"/>
    <col min="24" max="24" width="15.88671875" style="2" customWidth="1"/>
    <col min="25" max="25" width="22.88671875" style="3" customWidth="1"/>
    <col min="26" max="26" width="10.33203125" style="3" bestFit="1" customWidth="1"/>
    <col min="27" max="16384" width="9.33203125" style="3"/>
  </cols>
  <sheetData>
    <row r="1" spans="1:28" ht="13.8" x14ac:dyDescent="0.25">
      <c r="A1" s="1" t="str">
        <f>+'Washington volumes'!A1</f>
        <v>NW Natural</v>
      </c>
    </row>
    <row r="2" spans="1:28" ht="13.8" x14ac:dyDescent="0.25">
      <c r="A2" s="1" t="str">
        <f>+'Washington volumes'!A2</f>
        <v>Rates &amp; Regulatory Affairs</v>
      </c>
      <c r="K2" s="92"/>
      <c r="U2" s="79"/>
    </row>
    <row r="3" spans="1:28" ht="13.8" x14ac:dyDescent="0.25">
      <c r="A3" s="1" t="str">
        <f>+'Washington volumes'!A3</f>
        <v>2018-2019 PGA Filing - Washington: September Filing</v>
      </c>
      <c r="I3" s="79"/>
      <c r="J3" s="662"/>
      <c r="K3" s="663"/>
      <c r="L3" s="663"/>
      <c r="M3" s="663"/>
      <c r="N3" s="663"/>
      <c r="O3" s="663"/>
      <c r="P3" s="663"/>
      <c r="Q3" s="663"/>
      <c r="R3" s="663"/>
      <c r="S3" s="663"/>
      <c r="T3" s="663"/>
      <c r="U3" s="663"/>
      <c r="V3" s="663"/>
      <c r="W3" s="663"/>
      <c r="X3" s="663"/>
    </row>
    <row r="4" spans="1:28" ht="13.8" x14ac:dyDescent="0.25">
      <c r="A4" s="1" t="s">
        <v>242</v>
      </c>
      <c r="J4" s="662"/>
      <c r="K4" s="663"/>
      <c r="L4" s="663"/>
      <c r="M4" s="192"/>
      <c r="N4" s="663"/>
      <c r="O4" s="192"/>
      <c r="Q4" s="192"/>
      <c r="R4" s="192"/>
      <c r="S4" s="192"/>
      <c r="T4" s="663"/>
      <c r="U4" s="192"/>
      <c r="V4" s="192"/>
      <c r="W4" s="663"/>
      <c r="X4" s="663"/>
    </row>
    <row r="5" spans="1:28" ht="13.8" x14ac:dyDescent="0.25">
      <c r="A5" s="619" t="s">
        <v>216</v>
      </c>
      <c r="G5" s="618"/>
      <c r="H5" s="618"/>
      <c r="I5" s="618"/>
      <c r="J5" s="665"/>
      <c r="K5" s="640"/>
      <c r="L5" s="640"/>
      <c r="M5" s="640"/>
      <c r="N5" s="640"/>
      <c r="O5" s="640"/>
      <c r="P5" s="695"/>
      <c r="Q5" s="640"/>
      <c r="R5" s="640"/>
      <c r="S5" s="640"/>
      <c r="T5" s="700"/>
      <c r="U5" s="640"/>
      <c r="V5" s="640"/>
      <c r="W5" s="663"/>
      <c r="X5" s="665"/>
      <c r="Y5" s="109"/>
    </row>
    <row r="6" spans="1:28" s="109" customFormat="1" ht="14.4" thickBot="1" x14ac:dyDescent="0.3">
      <c r="B6" s="110"/>
      <c r="C6" s="110"/>
      <c r="D6" s="110"/>
      <c r="E6" s="110"/>
      <c r="F6" s="110"/>
      <c r="G6" s="110"/>
      <c r="H6" s="110"/>
      <c r="K6" s="640"/>
      <c r="L6" s="640"/>
      <c r="M6" s="640"/>
      <c r="N6" s="640"/>
      <c r="O6" s="640"/>
      <c r="P6" s="695"/>
      <c r="Q6" s="640"/>
      <c r="R6" s="640"/>
      <c r="S6" s="640"/>
      <c r="T6" s="700"/>
      <c r="U6" s="640"/>
      <c r="V6" s="640"/>
      <c r="W6" s="640"/>
    </row>
    <row r="7" spans="1:28" x14ac:dyDescent="0.25">
      <c r="A7" s="43">
        <v>1</v>
      </c>
      <c r="D7" s="33" t="s">
        <v>181</v>
      </c>
      <c r="F7" s="111" t="s">
        <v>215</v>
      </c>
      <c r="H7" s="33" t="s">
        <v>31</v>
      </c>
      <c r="I7" s="111"/>
      <c r="J7" s="111" t="s">
        <v>37</v>
      </c>
      <c r="K7" s="111" t="s">
        <v>37</v>
      </c>
      <c r="L7" s="566" t="s">
        <v>37</v>
      </c>
      <c r="M7" s="111" t="s">
        <v>37</v>
      </c>
      <c r="N7" s="111" t="s">
        <v>37</v>
      </c>
      <c r="O7" s="566" t="s">
        <v>37</v>
      </c>
      <c r="P7" s="696" t="s">
        <v>37</v>
      </c>
      <c r="Q7" s="111" t="s">
        <v>37</v>
      </c>
      <c r="R7" s="566" t="s">
        <v>37</v>
      </c>
      <c r="S7" s="111" t="s">
        <v>37</v>
      </c>
      <c r="T7" s="111" t="s">
        <v>37</v>
      </c>
      <c r="U7" s="566" t="s">
        <v>37</v>
      </c>
      <c r="V7" s="33" t="s">
        <v>37</v>
      </c>
      <c r="W7" s="33" t="s">
        <v>37</v>
      </c>
      <c r="X7" s="112" t="s">
        <v>37</v>
      </c>
    </row>
    <row r="8" spans="1:28" x14ac:dyDescent="0.25">
      <c r="A8" s="43">
        <f t="shared" ref="A8:A73" si="0">+A7+1</f>
        <v>2</v>
      </c>
      <c r="D8" s="33" t="s">
        <v>213</v>
      </c>
      <c r="E8" s="111"/>
      <c r="F8" s="111" t="s">
        <v>194</v>
      </c>
      <c r="G8" s="33" t="s">
        <v>196</v>
      </c>
      <c r="H8" s="655">
        <v>43040</v>
      </c>
      <c r="I8" s="111">
        <f>+H8</f>
        <v>43040</v>
      </c>
      <c r="J8" s="111">
        <f t="shared" ref="J8:U8" si="1">$V$8</f>
        <v>43405</v>
      </c>
      <c r="K8" s="111">
        <f t="shared" si="1"/>
        <v>43405</v>
      </c>
      <c r="L8" s="113">
        <f t="shared" si="1"/>
        <v>43405</v>
      </c>
      <c r="M8" s="111">
        <f t="shared" si="1"/>
        <v>43405</v>
      </c>
      <c r="N8" s="111">
        <f t="shared" si="1"/>
        <v>43405</v>
      </c>
      <c r="O8" s="113">
        <f t="shared" si="1"/>
        <v>43405</v>
      </c>
      <c r="P8" s="696">
        <f t="shared" si="1"/>
        <v>43405</v>
      </c>
      <c r="Q8" s="111">
        <f t="shared" si="1"/>
        <v>43405</v>
      </c>
      <c r="R8" s="113">
        <f t="shared" si="1"/>
        <v>43405</v>
      </c>
      <c r="S8" s="111">
        <f t="shared" si="1"/>
        <v>43405</v>
      </c>
      <c r="T8" s="111">
        <f t="shared" si="1"/>
        <v>43405</v>
      </c>
      <c r="U8" s="113">
        <f t="shared" si="1"/>
        <v>43405</v>
      </c>
      <c r="V8" s="111">
        <f>+EFFDATE</f>
        <v>43405</v>
      </c>
      <c r="W8" s="111">
        <f>+V8</f>
        <v>43405</v>
      </c>
      <c r="X8" s="113">
        <f>+W8</f>
        <v>43405</v>
      </c>
    </row>
    <row r="9" spans="1:28" x14ac:dyDescent="0.25">
      <c r="A9" s="43">
        <f t="shared" si="0"/>
        <v>3</v>
      </c>
      <c r="D9" s="33" t="s">
        <v>71</v>
      </c>
      <c r="E9" s="33" t="s">
        <v>193</v>
      </c>
      <c r="F9" s="33" t="s">
        <v>197</v>
      </c>
      <c r="G9" s="33" t="s">
        <v>197</v>
      </c>
      <c r="H9" s="33" t="s">
        <v>28</v>
      </c>
      <c r="I9" s="33" t="s">
        <v>31</v>
      </c>
      <c r="J9" s="33" t="s">
        <v>594</v>
      </c>
      <c r="K9" s="33" t="s">
        <v>594</v>
      </c>
      <c r="L9" s="114" t="s">
        <v>594</v>
      </c>
      <c r="M9" s="33" t="s">
        <v>599</v>
      </c>
      <c r="N9" s="33" t="s">
        <v>599</v>
      </c>
      <c r="O9" s="114" t="s">
        <v>599</v>
      </c>
      <c r="P9" s="697" t="s">
        <v>624</v>
      </c>
      <c r="Q9" s="33" t="s">
        <v>624</v>
      </c>
      <c r="R9" s="114" t="s">
        <v>624</v>
      </c>
      <c r="S9" s="33" t="s">
        <v>192</v>
      </c>
      <c r="T9" s="33" t="s">
        <v>192</v>
      </c>
      <c r="U9" s="114" t="s">
        <v>192</v>
      </c>
      <c r="V9" s="33" t="s">
        <v>59</v>
      </c>
      <c r="W9" s="33" t="s">
        <v>59</v>
      </c>
      <c r="X9" s="114" t="s">
        <v>59</v>
      </c>
    </row>
    <row r="10" spans="1:28" s="8" customFormat="1" ht="13.8" thickBot="1" x14ac:dyDescent="0.3">
      <c r="A10" s="43">
        <f t="shared" si="0"/>
        <v>4</v>
      </c>
      <c r="B10" s="2"/>
      <c r="C10" s="2"/>
      <c r="D10" s="52" t="s">
        <v>68</v>
      </c>
      <c r="E10" s="52" t="s">
        <v>3</v>
      </c>
      <c r="F10" s="52" t="s">
        <v>195</v>
      </c>
      <c r="G10" s="52" t="s">
        <v>198</v>
      </c>
      <c r="H10" s="52" t="s">
        <v>29</v>
      </c>
      <c r="I10" s="52" t="s">
        <v>199</v>
      </c>
      <c r="J10" s="101" t="s">
        <v>588</v>
      </c>
      <c r="K10" s="52" t="s">
        <v>199</v>
      </c>
      <c r="L10" s="115" t="s">
        <v>200</v>
      </c>
      <c r="M10" s="101" t="s">
        <v>29</v>
      </c>
      <c r="N10" s="52" t="s">
        <v>199</v>
      </c>
      <c r="O10" s="115" t="s">
        <v>200</v>
      </c>
      <c r="P10" s="164" t="s">
        <v>29</v>
      </c>
      <c r="Q10" s="52" t="s">
        <v>199</v>
      </c>
      <c r="R10" s="115" t="s">
        <v>200</v>
      </c>
      <c r="S10" s="101" t="s">
        <v>29</v>
      </c>
      <c r="T10" s="52" t="s">
        <v>199</v>
      </c>
      <c r="U10" s="115" t="s">
        <v>200</v>
      </c>
      <c r="V10" s="101" t="s">
        <v>29</v>
      </c>
      <c r="W10" s="52" t="s">
        <v>199</v>
      </c>
      <c r="X10" s="115" t="s">
        <v>200</v>
      </c>
    </row>
    <row r="11" spans="1:28" s="8" customFormat="1" x14ac:dyDescent="0.25">
      <c r="A11" s="43">
        <f t="shared" si="0"/>
        <v>5</v>
      </c>
      <c r="B11" s="2"/>
      <c r="C11" s="2"/>
      <c r="D11" s="9"/>
      <c r="E11" s="9"/>
      <c r="F11" s="9"/>
      <c r="G11" s="9"/>
      <c r="H11" s="9"/>
      <c r="I11" s="5" t="s">
        <v>206</v>
      </c>
      <c r="J11" s="565"/>
      <c r="K11" s="193" t="s">
        <v>590</v>
      </c>
      <c r="L11" s="567"/>
      <c r="M11" s="193"/>
      <c r="N11" s="193" t="s">
        <v>600</v>
      </c>
      <c r="O11" s="693"/>
      <c r="P11" s="162"/>
      <c r="Q11" s="193" t="s">
        <v>627</v>
      </c>
      <c r="R11" s="690"/>
      <c r="S11" s="193"/>
      <c r="T11" s="689" t="s">
        <v>628</v>
      </c>
      <c r="V11" s="193"/>
      <c r="W11" s="193" t="s">
        <v>629</v>
      </c>
      <c r="X11" s="567" t="s">
        <v>630</v>
      </c>
    </row>
    <row r="12" spans="1:28" s="8" customFormat="1" x14ac:dyDescent="0.25">
      <c r="A12" s="43">
        <f t="shared" si="0"/>
        <v>6</v>
      </c>
      <c r="B12" s="60" t="s">
        <v>2</v>
      </c>
      <c r="C12" s="11" t="s">
        <v>3</v>
      </c>
      <c r="D12" s="12" t="s">
        <v>77</v>
      </c>
      <c r="E12" s="12" t="s">
        <v>78</v>
      </c>
      <c r="F12" s="12" t="s">
        <v>16</v>
      </c>
      <c r="G12" s="12" t="s">
        <v>79</v>
      </c>
      <c r="H12" s="12" t="s">
        <v>80</v>
      </c>
      <c r="I12" s="12" t="s">
        <v>81</v>
      </c>
      <c r="J12" s="379" t="s">
        <v>82</v>
      </c>
      <c r="K12" s="379" t="s">
        <v>83</v>
      </c>
      <c r="L12" s="568" t="s">
        <v>84</v>
      </c>
      <c r="M12" s="379" t="s">
        <v>85</v>
      </c>
      <c r="N12" s="379" t="s">
        <v>86</v>
      </c>
      <c r="O12" s="568" t="s">
        <v>87</v>
      </c>
      <c r="P12" s="379" t="s">
        <v>88</v>
      </c>
      <c r="Q12" s="379" t="s">
        <v>89</v>
      </c>
      <c r="R12" s="568" t="s">
        <v>90</v>
      </c>
      <c r="S12" s="379" t="s">
        <v>182</v>
      </c>
      <c r="T12" s="379" t="s">
        <v>331</v>
      </c>
      <c r="U12" s="568" t="s">
        <v>269</v>
      </c>
      <c r="V12" s="379" t="s">
        <v>537</v>
      </c>
      <c r="W12" s="379" t="s">
        <v>538</v>
      </c>
      <c r="X12" s="568" t="s">
        <v>539</v>
      </c>
    </row>
    <row r="13" spans="1:28" x14ac:dyDescent="0.25">
      <c r="A13" s="43">
        <f t="shared" si="0"/>
        <v>7</v>
      </c>
      <c r="B13" s="16" t="s">
        <v>4</v>
      </c>
      <c r="C13" s="13"/>
      <c r="D13" s="64">
        <f>+'Washington volumes'!J13</f>
        <v>204474.1</v>
      </c>
      <c r="E13" s="116" t="s">
        <v>70</v>
      </c>
      <c r="F13" s="117">
        <f>+'Washington volumes'!M13</f>
        <v>19</v>
      </c>
      <c r="G13" s="612">
        <v>3.47</v>
      </c>
      <c r="H13" s="597">
        <f>+'Rates in summary'!D13</f>
        <v>1.0934399999999997</v>
      </c>
      <c r="I13" s="371">
        <f t="shared" ref="I13:I18" si="2">ROUND(+$G13+(H13*$F13),2)</f>
        <v>24.25</v>
      </c>
      <c r="J13" s="597">
        <f>'Rates in summary'!D13+Temporaries!K13-Temporaries!AZ13</f>
        <v>1.1000699999999999</v>
      </c>
      <c r="K13" s="371">
        <f t="shared" ref="K13:K18" si="3">ROUND(G13+(F13*J13), 2)</f>
        <v>24.37</v>
      </c>
      <c r="L13" s="118">
        <f t="shared" ref="L13:L18" si="4">ROUND((K13-I13)/I13,3)</f>
        <v>5.0000000000000001E-3</v>
      </c>
      <c r="M13" s="597">
        <f>'Rates in summary'!D13+Temporaries!L13+Temporaries!V13-Temporaries!BA13</f>
        <v>1.09399</v>
      </c>
      <c r="N13" s="371">
        <f t="shared" ref="N13:N18" si="5">ROUND(G13+(F13*M13),2)</f>
        <v>24.26</v>
      </c>
      <c r="O13" s="118">
        <f t="shared" ref="O13:O18" si="6">ROUND((N13-I13)/I13,3)</f>
        <v>0</v>
      </c>
      <c r="P13" s="656">
        <f>'Rates in summary'!D13+Temporaries!W13-Temporaries!BC13</f>
        <v>1.0922399999999997</v>
      </c>
      <c r="Q13" s="371">
        <f>G13+(F13*P13)</f>
        <v>24.222559999999991</v>
      </c>
      <c r="R13" s="118">
        <f>(Q13-I13)/I13</f>
        <v>-1.1315463917529582E-3</v>
      </c>
      <c r="S13" s="656">
        <f>'Rates in summary'!G13+'Rates in summary'!P13+Temporaries!J13</f>
        <v>1.0231999999999997</v>
      </c>
      <c r="T13" s="371">
        <f t="shared" ref="T13:T18" si="7">ROUND(G13+(F13*S13),2)</f>
        <v>22.91</v>
      </c>
      <c r="U13" s="118">
        <f>ROUND((T13-I13)/I13,3)</f>
        <v>-5.5E-2</v>
      </c>
      <c r="V13" s="597">
        <f>+'Rates in summary'!Q13</f>
        <v>1.0291799999999995</v>
      </c>
      <c r="W13" s="371">
        <f t="shared" ref="W13:W18" si="8">ROUND(+$G13+(V13*$F13),2)</f>
        <v>23.02</v>
      </c>
      <c r="X13" s="118">
        <f t="shared" ref="X13:X18" si="9">ROUND((W13-I13)/I13,3)</f>
        <v>-5.0999999999999997E-2</v>
      </c>
      <c r="Y13" s="549"/>
      <c r="AA13" s="549"/>
      <c r="AB13" s="549"/>
    </row>
    <row r="14" spans="1:28" x14ac:dyDescent="0.25">
      <c r="A14" s="43">
        <f t="shared" si="0"/>
        <v>8</v>
      </c>
      <c r="B14" s="16" t="s">
        <v>5</v>
      </c>
      <c r="C14" s="13"/>
      <c r="D14" s="64">
        <f>+'Washington volumes'!J14</f>
        <v>38631.599999999999</v>
      </c>
      <c r="E14" s="116" t="s">
        <v>70</v>
      </c>
      <c r="F14" s="117">
        <f>+'Washington volumes'!M14</f>
        <v>85</v>
      </c>
      <c r="G14" s="612">
        <v>3.47</v>
      </c>
      <c r="H14" s="597">
        <f>+'Rates in summary'!D14</f>
        <v>1.0842299999999996</v>
      </c>
      <c r="I14" s="371">
        <f t="shared" si="2"/>
        <v>95.63</v>
      </c>
      <c r="J14" s="597">
        <f>'Rates in summary'!D14+Temporaries!K14-Temporaries!AZ14</f>
        <v>1.0895799999999995</v>
      </c>
      <c r="K14" s="371">
        <f t="shared" si="3"/>
        <v>96.08</v>
      </c>
      <c r="L14" s="118">
        <f t="shared" si="4"/>
        <v>5.0000000000000001E-3</v>
      </c>
      <c r="M14" s="597">
        <f>'Rates in summary'!D14+Temporaries!L14+Temporaries!V14-Temporaries!BA14</f>
        <v>1.0846299999999998</v>
      </c>
      <c r="N14" s="371">
        <f t="shared" si="5"/>
        <v>95.66</v>
      </c>
      <c r="O14" s="118">
        <f t="shared" si="6"/>
        <v>0</v>
      </c>
      <c r="P14" s="656">
        <f>'Rates in summary'!D14+Temporaries!W14-Temporaries!BC14</f>
        <v>1.0832199999999996</v>
      </c>
      <c r="Q14" s="371">
        <f t="shared" ref="Q14:Q18" si="10">G14+(F14*P14)</f>
        <v>95.543699999999973</v>
      </c>
      <c r="R14" s="118">
        <f t="shared" ref="R14:R77" si="11">(Q14-I14)/I14</f>
        <v>-9.0243647391009829E-4</v>
      </c>
      <c r="S14" s="656">
        <f>'Rates in summary'!G14+'Rates in summary'!P14+Temporaries!J14</f>
        <v>1.0139899999999995</v>
      </c>
      <c r="T14" s="371">
        <f t="shared" si="7"/>
        <v>89.66</v>
      </c>
      <c r="U14" s="118">
        <f t="shared" ref="U14:U77" si="12">ROUND((T14-I14)/I14,3)</f>
        <v>-6.2E-2</v>
      </c>
      <c r="V14" s="597">
        <f>+'Rates in summary'!Q14</f>
        <v>1.0187299999999995</v>
      </c>
      <c r="W14" s="371">
        <f t="shared" si="8"/>
        <v>90.06</v>
      </c>
      <c r="X14" s="118">
        <f t="shared" si="9"/>
        <v>-5.8000000000000003E-2</v>
      </c>
      <c r="Y14" s="549"/>
      <c r="AA14" s="549"/>
      <c r="AB14" s="549"/>
    </row>
    <row r="15" spans="1:28" x14ac:dyDescent="0.25">
      <c r="A15" s="43">
        <f t="shared" si="0"/>
        <v>9</v>
      </c>
      <c r="B15" s="16" t="s">
        <v>14</v>
      </c>
      <c r="C15" s="13"/>
      <c r="D15" s="64">
        <f>+'Washington volumes'!J15</f>
        <v>51583577.799999997</v>
      </c>
      <c r="E15" s="116" t="s">
        <v>70</v>
      </c>
      <c r="F15" s="117">
        <f>+'Washington volumes'!M15</f>
        <v>57</v>
      </c>
      <c r="G15" s="612">
        <v>7</v>
      </c>
      <c r="H15" s="597">
        <f>+'Rates in summary'!D15</f>
        <v>0.80223999999999973</v>
      </c>
      <c r="I15" s="371">
        <f t="shared" si="2"/>
        <v>52.73</v>
      </c>
      <c r="J15" s="597">
        <f>'Rates in summary'!D15+Temporaries!K15-Temporaries!AZ15</f>
        <v>0.80615999999999977</v>
      </c>
      <c r="K15" s="371">
        <f t="shared" si="3"/>
        <v>52.95</v>
      </c>
      <c r="L15" s="118">
        <f t="shared" si="4"/>
        <v>4.0000000000000001E-3</v>
      </c>
      <c r="M15" s="597">
        <f>'Rates in summary'!D15+Temporaries!L15+Temporaries!V15-Temporaries!BA15</f>
        <v>0.80252999999999974</v>
      </c>
      <c r="N15" s="371">
        <f t="shared" si="5"/>
        <v>52.74</v>
      </c>
      <c r="O15" s="118">
        <f t="shared" si="6"/>
        <v>0</v>
      </c>
      <c r="P15" s="656">
        <f>'Rates in summary'!D15+Temporaries!W15-Temporaries!BC15</f>
        <v>0.8014899999999997</v>
      </c>
      <c r="Q15" s="371">
        <f t="shared" si="10"/>
        <v>52.68492999999998</v>
      </c>
      <c r="R15" s="118">
        <f t="shared" si="11"/>
        <v>-8.5473165181143226E-4</v>
      </c>
      <c r="S15" s="656">
        <f>'Rates in summary'!G15+'Rates in summary'!P15+Temporaries!J15</f>
        <v>0.73199999999999976</v>
      </c>
      <c r="T15" s="371">
        <f t="shared" si="7"/>
        <v>48.72</v>
      </c>
      <c r="U15" s="118">
        <f t="shared" si="12"/>
        <v>-7.5999999999999998E-2</v>
      </c>
      <c r="V15" s="597">
        <f>+'Rates in summary'!Q15</f>
        <v>0.73545999999999978</v>
      </c>
      <c r="W15" s="371">
        <f t="shared" si="8"/>
        <v>48.92</v>
      </c>
      <c r="X15" s="118">
        <f t="shared" si="9"/>
        <v>-7.1999999999999995E-2</v>
      </c>
      <c r="Y15" s="624"/>
      <c r="AA15" s="560"/>
      <c r="AB15" s="549"/>
    </row>
    <row r="16" spans="1:28" x14ac:dyDescent="0.25">
      <c r="A16" s="43">
        <f t="shared" si="0"/>
        <v>10</v>
      </c>
      <c r="B16" s="16" t="s">
        <v>12</v>
      </c>
      <c r="C16" s="13"/>
      <c r="D16" s="64">
        <f>+'Washington volumes'!J16</f>
        <v>17687989.300000001</v>
      </c>
      <c r="E16" s="116" t="s">
        <v>70</v>
      </c>
      <c r="F16" s="117">
        <f>+'Washington volumes'!M16</f>
        <v>244</v>
      </c>
      <c r="G16" s="612">
        <v>15</v>
      </c>
      <c r="H16" s="597">
        <f>+'Rates in summary'!D16</f>
        <v>0.80187000000000019</v>
      </c>
      <c r="I16" s="371">
        <f t="shared" si="2"/>
        <v>210.66</v>
      </c>
      <c r="J16" s="597">
        <f>'Rates in summary'!D16+Temporaries!K16-Temporaries!AZ16</f>
        <v>0.80589000000000022</v>
      </c>
      <c r="K16" s="371">
        <f t="shared" si="3"/>
        <v>211.64</v>
      </c>
      <c r="L16" s="118">
        <f t="shared" si="4"/>
        <v>5.0000000000000001E-3</v>
      </c>
      <c r="M16" s="597">
        <f>'Rates in summary'!D16+Temporaries!L16+Temporaries!V16-Temporaries!BA16</f>
        <v>0.80223000000000022</v>
      </c>
      <c r="N16" s="371">
        <f t="shared" si="5"/>
        <v>210.74</v>
      </c>
      <c r="O16" s="118">
        <f t="shared" si="6"/>
        <v>0</v>
      </c>
      <c r="P16" s="656">
        <f>'Rates in summary'!D16+Temporaries!W16-Temporaries!BC16</f>
        <v>0.80120000000000025</v>
      </c>
      <c r="Q16" s="371">
        <f t="shared" si="10"/>
        <v>210.49280000000007</v>
      </c>
      <c r="R16" s="118">
        <f t="shared" si="11"/>
        <v>-7.9369600303770516E-4</v>
      </c>
      <c r="S16" s="656">
        <f>'Rates in summary'!G16+'Rates in summary'!P16+Temporaries!J16</f>
        <v>0.73163000000000022</v>
      </c>
      <c r="T16" s="371">
        <f t="shared" si="7"/>
        <v>193.52</v>
      </c>
      <c r="U16" s="118">
        <f t="shared" si="12"/>
        <v>-8.1000000000000003E-2</v>
      </c>
      <c r="V16" s="597">
        <f>+'Rates in summary'!Q16</f>
        <v>0.73534000000000033</v>
      </c>
      <c r="W16" s="371">
        <f t="shared" si="8"/>
        <v>194.42</v>
      </c>
      <c r="X16" s="118">
        <f t="shared" si="9"/>
        <v>-7.6999999999999999E-2</v>
      </c>
      <c r="Y16" s="624"/>
      <c r="AA16" s="560"/>
      <c r="AB16" s="549"/>
    </row>
    <row r="17" spans="1:28" x14ac:dyDescent="0.25">
      <c r="A17" s="43">
        <f t="shared" si="0"/>
        <v>11</v>
      </c>
      <c r="B17" s="16" t="s">
        <v>13</v>
      </c>
      <c r="C17" s="13"/>
      <c r="D17" s="64">
        <f>+'Washington volumes'!J17</f>
        <v>479219</v>
      </c>
      <c r="E17" s="116" t="s">
        <v>70</v>
      </c>
      <c r="F17" s="117">
        <f>+'Washington volumes'!M17</f>
        <v>1426</v>
      </c>
      <c r="G17" s="612">
        <v>15</v>
      </c>
      <c r="H17" s="597">
        <f>+'Rates in summary'!D17</f>
        <v>0.77509999999999946</v>
      </c>
      <c r="I17" s="371">
        <f t="shared" si="2"/>
        <v>1120.29</v>
      </c>
      <c r="J17" s="597">
        <f>'Rates in summary'!D17+Temporaries!K17-Temporaries!AZ17</f>
        <v>0.77509999999999946</v>
      </c>
      <c r="K17" s="371">
        <f t="shared" si="3"/>
        <v>1120.29</v>
      </c>
      <c r="L17" s="118">
        <f t="shared" si="4"/>
        <v>0</v>
      </c>
      <c r="M17" s="597">
        <f>'Rates in summary'!D17+Temporaries!L17+Temporaries!V17-Temporaries!BA17</f>
        <v>0.77541999999999944</v>
      </c>
      <c r="N17" s="371">
        <f t="shared" si="5"/>
        <v>1120.75</v>
      </c>
      <c r="O17" s="118">
        <f t="shared" si="6"/>
        <v>0</v>
      </c>
      <c r="P17" s="656">
        <f>'Rates in summary'!D17+Temporaries!W17-Temporaries!BC17</f>
        <v>0.77449999999999941</v>
      </c>
      <c r="Q17" s="371">
        <f t="shared" si="10"/>
        <v>1119.4369999999992</v>
      </c>
      <c r="R17" s="118">
        <f t="shared" si="11"/>
        <v>-7.6140999205629584E-4</v>
      </c>
      <c r="S17" s="656">
        <f>'Rates in summary'!G17+'Rates in summary'!P17+Temporaries!J17</f>
        <v>0.70485999999999949</v>
      </c>
      <c r="T17" s="371">
        <f t="shared" si="7"/>
        <v>1020.13</v>
      </c>
      <c r="U17" s="118">
        <f t="shared" si="12"/>
        <v>-8.8999999999999996E-2</v>
      </c>
      <c r="V17" s="597">
        <f>+'Rates in summary'!Q17</f>
        <v>0.70457999999999954</v>
      </c>
      <c r="W17" s="371">
        <f t="shared" si="8"/>
        <v>1019.73</v>
      </c>
      <c r="X17" s="118">
        <f t="shared" si="9"/>
        <v>-0.09</v>
      </c>
      <c r="Y17" s="549"/>
      <c r="AA17" s="549"/>
      <c r="AB17" s="549"/>
    </row>
    <row r="18" spans="1:28" x14ac:dyDescent="0.25">
      <c r="A18" s="43">
        <f t="shared" si="0"/>
        <v>12</v>
      </c>
      <c r="B18" s="74">
        <v>27</v>
      </c>
      <c r="C18" s="21"/>
      <c r="D18" s="64">
        <f>+'Washington volumes'!J18</f>
        <v>506106.9</v>
      </c>
      <c r="E18" s="116" t="s">
        <v>70</v>
      </c>
      <c r="F18" s="117">
        <f>+'Washington volumes'!M18</f>
        <v>57</v>
      </c>
      <c r="G18" s="612">
        <v>6</v>
      </c>
      <c r="H18" s="597">
        <f>+'Rates in summary'!D18</f>
        <v>0.63078999999999985</v>
      </c>
      <c r="I18" s="371">
        <f t="shared" si="2"/>
        <v>41.96</v>
      </c>
      <c r="J18" s="597">
        <f>'Rates in summary'!D18+Temporaries!K18-Temporaries!AZ18</f>
        <v>0.63286999999999982</v>
      </c>
      <c r="K18" s="371">
        <f t="shared" si="3"/>
        <v>42.07</v>
      </c>
      <c r="L18" s="118">
        <f t="shared" si="4"/>
        <v>3.0000000000000001E-3</v>
      </c>
      <c r="M18" s="597">
        <f>'Rates in summary'!D18+Temporaries!L18+Temporaries!V18-Temporaries!BA18</f>
        <v>0.63087999999999989</v>
      </c>
      <c r="N18" s="371">
        <f t="shared" si="5"/>
        <v>41.96</v>
      </c>
      <c r="O18" s="118">
        <f t="shared" si="6"/>
        <v>0</v>
      </c>
      <c r="P18" s="656">
        <f>'Rates in summary'!D18+Temporaries!W18-Temporaries!BC18</f>
        <v>0.63028999999999991</v>
      </c>
      <c r="Q18" s="371">
        <f t="shared" si="10"/>
        <v>41.926529999999993</v>
      </c>
      <c r="R18" s="118">
        <f t="shared" si="11"/>
        <v>-7.9766444232622319E-4</v>
      </c>
      <c r="S18" s="656">
        <f>'Rates in summary'!G18+'Rates in summary'!P18+Temporaries!J18</f>
        <v>0.56054999999999988</v>
      </c>
      <c r="T18" s="371">
        <f t="shared" si="7"/>
        <v>37.950000000000003</v>
      </c>
      <c r="U18" s="118">
        <f t="shared" si="12"/>
        <v>-9.6000000000000002E-2</v>
      </c>
      <c r="V18" s="597">
        <f>+'Rates in summary'!Q18</f>
        <v>0.56221999999999994</v>
      </c>
      <c r="W18" s="371">
        <f t="shared" si="8"/>
        <v>38.049999999999997</v>
      </c>
      <c r="X18" s="118">
        <f t="shared" si="9"/>
        <v>-9.2999999999999999E-2</v>
      </c>
      <c r="Y18" s="549"/>
      <c r="AA18" s="549"/>
      <c r="AB18" s="549"/>
    </row>
    <row r="19" spans="1:28" x14ac:dyDescent="0.25">
      <c r="A19" s="43">
        <f t="shared" si="0"/>
        <v>13</v>
      </c>
      <c r="B19" s="69" t="s">
        <v>365</v>
      </c>
      <c r="C19" s="18" t="s">
        <v>6</v>
      </c>
      <c r="D19" s="70">
        <f>+'Washington volumes'!J19</f>
        <v>1945640.9</v>
      </c>
      <c r="E19" s="119">
        <v>2000</v>
      </c>
      <c r="F19" s="120">
        <f>+'Washington volumes'!M19</f>
        <v>3747</v>
      </c>
      <c r="G19" s="613">
        <v>250</v>
      </c>
      <c r="H19" s="230">
        <f>+'Rates in summary'!D19</f>
        <v>0.55691000000000024</v>
      </c>
      <c r="I19" s="231"/>
      <c r="J19" s="230">
        <f>'Rates in summary'!D19+Temporaries!K19-Temporaries!AZ19</f>
        <v>0.55955000000000021</v>
      </c>
      <c r="K19" s="231"/>
      <c r="L19" s="569"/>
      <c r="M19" s="230">
        <f>'Rates in summary'!D19+Temporaries!L19+Temporaries!V19-Temporaries!BA19</f>
        <v>0.55710000000000026</v>
      </c>
      <c r="N19" s="231"/>
      <c r="O19" s="569"/>
      <c r="P19" s="657">
        <f>'Rates in summary'!D19+Temporaries!W19-Temporaries!BC19</f>
        <v>0.55639000000000027</v>
      </c>
      <c r="Q19" s="231"/>
      <c r="R19" s="569"/>
      <c r="S19" s="657">
        <f>'Rates in summary'!G19+'Rates in summary'!P19+Temporaries!J19</f>
        <v>0.49695000000000028</v>
      </c>
      <c r="T19" s="231"/>
      <c r="U19" s="569"/>
      <c r="V19" s="230">
        <f>+'Rates in summary'!Q19</f>
        <v>0.49926000000000026</v>
      </c>
      <c r="W19" s="231"/>
      <c r="X19" s="121"/>
    </row>
    <row r="20" spans="1:28" x14ac:dyDescent="0.25">
      <c r="A20" s="43">
        <f t="shared" si="0"/>
        <v>14</v>
      </c>
      <c r="B20" s="69"/>
      <c r="C20" s="18" t="s">
        <v>7</v>
      </c>
      <c r="D20" s="70">
        <f>+'Washington volumes'!J20</f>
        <v>1921286.1</v>
      </c>
      <c r="E20" s="119" t="s">
        <v>201</v>
      </c>
      <c r="F20" s="120"/>
      <c r="G20" s="613"/>
      <c r="H20" s="230">
        <f>+'Rates in summary'!D20</f>
        <v>0.51810999999999996</v>
      </c>
      <c r="I20" s="231"/>
      <c r="J20" s="230">
        <f>'Rates in summary'!D20+Temporaries!K20-Temporaries!AZ20</f>
        <v>0.52042999999999995</v>
      </c>
      <c r="K20" s="231"/>
      <c r="L20" s="569"/>
      <c r="M20" s="230">
        <f>'Rates in summary'!D20+Temporaries!L20+Temporaries!V20-Temporaries!BA20</f>
        <v>0.51827999999999996</v>
      </c>
      <c r="N20" s="231"/>
      <c r="O20" s="569"/>
      <c r="P20" s="657">
        <f>'Rates in summary'!D20+Temporaries!W20-Temporaries!BC20</f>
        <v>0.51764999999999994</v>
      </c>
      <c r="Q20" s="231"/>
      <c r="R20" s="569"/>
      <c r="S20" s="657">
        <f>'Rates in summary'!G20+'Rates in summary'!P20+Temporaries!J20</f>
        <v>0.45815</v>
      </c>
      <c r="T20" s="231"/>
      <c r="U20" s="569"/>
      <c r="V20" s="230">
        <f>+'Rates in summary'!Q20</f>
        <v>0.46017999999999998</v>
      </c>
      <c r="W20" s="231"/>
      <c r="X20" s="121"/>
    </row>
    <row r="21" spans="1:28" x14ac:dyDescent="0.25">
      <c r="A21" s="43">
        <f t="shared" si="0"/>
        <v>15</v>
      </c>
      <c r="B21" s="74"/>
      <c r="C21" s="122" t="s">
        <v>205</v>
      </c>
      <c r="D21" s="123"/>
      <c r="E21" s="124"/>
      <c r="F21" s="125"/>
      <c r="G21" s="614"/>
      <c r="H21" s="605"/>
      <c r="I21" s="609">
        <f>$G19+ROUND(IF($F19&lt;$E19,($F19*H19),IF($F19&gt;SUM($E19:$E20),(($E19*H19)+(($F19-$E19)*H20)),0)),2)</f>
        <v>2268.96</v>
      </c>
      <c r="J21" s="605"/>
      <c r="K21" s="609">
        <f>$G19+ROUND(IF($F19&lt;$E19,($F19*J19),IF($F19&gt;SUM($E19:$E20),(($E19*J19)+(($F19-$E19)*J20)),0)),2)</f>
        <v>2278.29</v>
      </c>
      <c r="L21" s="126">
        <f>ROUND((K21-I21)/I21,3)</f>
        <v>4.0000000000000001E-3</v>
      </c>
      <c r="M21" s="605"/>
      <c r="N21" s="609">
        <f>$G19+ROUND(IF($F19&lt;$E19,($F19*M19),IF($F19&gt;SUM($E19:$E20),(($E19*M19)+(($F19-$E19)*M20)),0)),2)</f>
        <v>2269.6400000000003</v>
      </c>
      <c r="O21" s="126">
        <f>ROUND((N21-I21)/I21,3)</f>
        <v>0</v>
      </c>
      <c r="P21" s="658"/>
      <c r="Q21" s="609">
        <f>$G19+ROUND(IF($F19&lt;$E19,($F19*P19),IF($F19&gt;SUM($E19:$E20),(($E19*P19)+(($F19-$E19)*P20)),0)),2)</f>
        <v>2267.1099999999997</v>
      </c>
      <c r="R21" s="126">
        <f t="shared" si="11"/>
        <v>-8.153515266908027E-4</v>
      </c>
      <c r="S21" s="658"/>
      <c r="T21" s="609">
        <f>$G19+ROUND(IF($F19&lt;$E19,($F19*S19),IF($F19&gt;SUM($E19:$E20),(($E19*S19)+(($F19-$E19)*S20)),0)),2)</f>
        <v>2044.29</v>
      </c>
      <c r="U21" s="126">
        <f t="shared" si="12"/>
        <v>-9.9000000000000005E-2</v>
      </c>
      <c r="V21" s="605"/>
      <c r="W21" s="609">
        <f>$G19+ROUND(IF($F19&lt;$E19,($F19*V19),IF($F19&gt;SUM($E19:$E20),(($E19*V19)+(($F19-$E19)*V20)),0)),2)</f>
        <v>2052.4499999999998</v>
      </c>
      <c r="X21" s="126">
        <f>ROUND((W21-I21)/I21,3)</f>
        <v>-9.5000000000000001E-2</v>
      </c>
      <c r="Y21" s="560"/>
      <c r="Z21" s="19"/>
      <c r="AA21" s="549"/>
      <c r="AB21" s="549"/>
    </row>
    <row r="22" spans="1:28" x14ac:dyDescent="0.25">
      <c r="A22" s="43">
        <f t="shared" si="0"/>
        <v>16</v>
      </c>
      <c r="B22" s="69" t="s">
        <v>366</v>
      </c>
      <c r="C22" s="18" t="s">
        <v>6</v>
      </c>
      <c r="D22" s="70">
        <f>+'Washington volumes'!J21</f>
        <v>0</v>
      </c>
      <c r="E22" s="119">
        <v>2000</v>
      </c>
      <c r="F22" s="120">
        <f>+'Washington volumes'!M21</f>
        <v>0</v>
      </c>
      <c r="G22" s="613">
        <v>250</v>
      </c>
      <c r="H22" s="230">
        <f>+'Rates in summary'!D21</f>
        <v>0.57863999999999993</v>
      </c>
      <c r="I22" s="231"/>
      <c r="J22" s="230">
        <f>'Rates in summary'!D21+Temporaries!K21-Temporaries!AZ21</f>
        <v>0.58140999999999998</v>
      </c>
      <c r="K22" s="231"/>
      <c r="L22" s="569"/>
      <c r="M22" s="230">
        <f>'Rates in summary'!D21+Temporaries!L21+Temporaries!V21-Temporaries!BA21</f>
        <v>0.57886999999999988</v>
      </c>
      <c r="N22" s="231"/>
      <c r="O22" s="569"/>
      <c r="P22" s="657">
        <f>'Rates in summary'!D21+Temporaries!W21-Temporaries!BC21</f>
        <v>0.5781099999999999</v>
      </c>
      <c r="Q22" s="231"/>
      <c r="R22" s="569"/>
      <c r="S22" s="657">
        <f>'Rates in summary'!G21+'Rates in summary'!P21+Temporaries!J21</f>
        <v>0.51271999999999995</v>
      </c>
      <c r="T22" s="231"/>
      <c r="U22" s="569"/>
      <c r="V22" s="230">
        <f>+'Rates in summary'!Q21</f>
        <v>0.51518999999999993</v>
      </c>
      <c r="W22" s="231"/>
      <c r="X22" s="425"/>
      <c r="Y22" s="560"/>
    </row>
    <row r="23" spans="1:28" x14ac:dyDescent="0.25">
      <c r="A23" s="43">
        <f t="shared" si="0"/>
        <v>17</v>
      </c>
      <c r="B23" s="69"/>
      <c r="C23" s="18" t="s">
        <v>7</v>
      </c>
      <c r="D23" s="70">
        <f>+'Washington volumes'!J22</f>
        <v>0</v>
      </c>
      <c r="E23" s="119" t="s">
        <v>201</v>
      </c>
      <c r="F23" s="177"/>
      <c r="G23" s="615"/>
      <c r="H23" s="230">
        <f>+'Rates in summary'!D22</f>
        <v>0.54000999999999988</v>
      </c>
      <c r="I23" s="231"/>
      <c r="J23" s="230">
        <f>'Rates in summary'!D22+Temporaries!K22-Temporaries!AZ22</f>
        <v>0.54244999999999988</v>
      </c>
      <c r="K23" s="231"/>
      <c r="L23" s="569"/>
      <c r="M23" s="230">
        <f>'Rates in summary'!D22+Temporaries!L22+Temporaries!V22-Temporaries!BA22</f>
        <v>0.54020999999999986</v>
      </c>
      <c r="N23" s="231"/>
      <c r="O23" s="569"/>
      <c r="P23" s="657">
        <f>'Rates in summary'!D22+Temporaries!W22-Temporaries!BC22</f>
        <v>0.53953999999999991</v>
      </c>
      <c r="Q23" s="231"/>
      <c r="R23" s="569"/>
      <c r="S23" s="657">
        <f>'Rates in summary'!G22+'Rates in summary'!P22+Temporaries!J22</f>
        <v>0.4740899999999999</v>
      </c>
      <c r="T23" s="231"/>
      <c r="U23" s="569"/>
      <c r="V23" s="230">
        <f>+'Rates in summary'!Q22</f>
        <v>0.47625999999999991</v>
      </c>
      <c r="W23" s="231"/>
      <c r="X23" s="425"/>
      <c r="Y23" s="560"/>
    </row>
    <row r="24" spans="1:28" x14ac:dyDescent="0.25">
      <c r="A24" s="43">
        <f t="shared" si="0"/>
        <v>18</v>
      </c>
      <c r="B24" s="74"/>
      <c r="C24" s="122" t="s">
        <v>205</v>
      </c>
      <c r="D24" s="123"/>
      <c r="E24" s="124"/>
      <c r="F24" s="125"/>
      <c r="G24" s="614"/>
      <c r="H24" s="605"/>
      <c r="I24" s="609">
        <f>$G22+ROUND(IF($F22&lt;$E22,($F22*H22),IF($F22&gt;SUM($E22:$E23),(($E22*H22)+(($F22-$E22)*H23)),0)),2)</f>
        <v>250</v>
      </c>
      <c r="J24" s="605"/>
      <c r="K24" s="609">
        <f>$G22+ROUND(IF($F22&lt;$E22,($F22*J22),IF($F22&gt;SUM($E22:$E23),(($E22*J22)+(($F22-$E22)*J23)),0)),2)</f>
        <v>250</v>
      </c>
      <c r="L24" s="126">
        <f>ROUND((K24-I24)/I24,3)</f>
        <v>0</v>
      </c>
      <c r="M24" s="605"/>
      <c r="N24" s="609">
        <f>$G22+ROUND(IF($F22&lt;$E22,($F22*M22),IF($F22&gt;SUM($E22:$E23),(($E22*M22)+(($F22-$E22)*M23)),0)),2)</f>
        <v>250</v>
      </c>
      <c r="O24" s="126">
        <f>ROUND((N24-I24)/I24,3)</f>
        <v>0</v>
      </c>
      <c r="P24" s="658"/>
      <c r="Q24" s="609">
        <f>$G22+ROUND(IF($F22&lt;$E22,($F22*P22),IF($F22&gt;SUM($E22:$E23),(($E22*P22)+(($F22-$E22)*P23)),0)),2)</f>
        <v>250</v>
      </c>
      <c r="R24" s="126">
        <f t="shared" si="11"/>
        <v>0</v>
      </c>
      <c r="S24" s="658"/>
      <c r="T24" s="609">
        <f>$G22+ROUND(IF($F22&lt;$E22,($F22*S22),IF($F22&gt;SUM($E22:$E23),(($E22*S22)+(($F22-$E22)*S23)),0)),2)</f>
        <v>250</v>
      </c>
      <c r="U24" s="126">
        <f t="shared" si="12"/>
        <v>0</v>
      </c>
      <c r="V24" s="605"/>
      <c r="W24" s="609">
        <f>$G22+ROUND(IF($F22&lt;$E22,($F22*V22),IF($F22&gt;SUM($E22:$E23),(($E22*V22)+(($F22-$E22)*V23)),0)),2)</f>
        <v>250</v>
      </c>
      <c r="X24" s="126">
        <f>ROUND((W24-I24)/I24,3)</f>
        <v>0</v>
      </c>
      <c r="Y24" s="560"/>
      <c r="AA24" s="549"/>
      <c r="AB24" s="549"/>
    </row>
    <row r="25" spans="1:28" x14ac:dyDescent="0.25">
      <c r="A25" s="43">
        <f t="shared" si="0"/>
        <v>19</v>
      </c>
      <c r="B25" s="69" t="s">
        <v>161</v>
      </c>
      <c r="C25" s="18" t="s">
        <v>6</v>
      </c>
      <c r="D25" s="70">
        <f>+'Washington volumes'!J23</f>
        <v>374507</v>
      </c>
      <c r="E25" s="119">
        <v>2000</v>
      </c>
      <c r="F25" s="120">
        <f>+'Washington volumes'!M23</f>
        <v>4706</v>
      </c>
      <c r="G25" s="613">
        <f>250+250</f>
        <v>500</v>
      </c>
      <c r="H25" s="230">
        <f>+'Rates in summary'!D23</f>
        <v>0.30076999999999998</v>
      </c>
      <c r="I25" s="231"/>
      <c r="J25" s="230">
        <f>'Rates in summary'!D23+Temporaries!K23-Temporaries!AZ23</f>
        <v>0.30076999999999998</v>
      </c>
      <c r="K25" s="231"/>
      <c r="L25" s="569"/>
      <c r="M25" s="230">
        <f>'Rates in summary'!D23+Temporaries!L23+Temporaries!V23-Temporaries!BA23</f>
        <v>0.30076999999999998</v>
      </c>
      <c r="N25" s="231"/>
      <c r="O25" s="569"/>
      <c r="P25" s="657">
        <f>'Rates in summary'!D23+Temporaries!W23-Temporaries!BC23</f>
        <v>0.30018999999999996</v>
      </c>
      <c r="Q25" s="231"/>
      <c r="R25" s="569"/>
      <c r="S25" s="657">
        <f>'Rates in summary'!G23+'Rates in summary'!P23+Temporaries!J23</f>
        <v>0.30076999999999998</v>
      </c>
      <c r="T25" s="231"/>
      <c r="U25" s="569"/>
      <c r="V25" s="230">
        <f>+'Rates in summary'!Q23</f>
        <v>0.30018999999999996</v>
      </c>
      <c r="W25" s="231"/>
      <c r="X25" s="121"/>
      <c r="Y25" s="560"/>
    </row>
    <row r="26" spans="1:28" x14ac:dyDescent="0.25">
      <c r="A26" s="43">
        <f t="shared" si="0"/>
        <v>20</v>
      </c>
      <c r="B26" s="69"/>
      <c r="C26" s="18" t="s">
        <v>7</v>
      </c>
      <c r="D26" s="70">
        <f>+'Washington volumes'!J24</f>
        <v>585464</v>
      </c>
      <c r="E26" s="119" t="s">
        <v>201</v>
      </c>
      <c r="F26" s="120"/>
      <c r="G26" s="613"/>
      <c r="H26" s="230">
        <f>+'Rates in summary'!D24</f>
        <v>0.26500000000000001</v>
      </c>
      <c r="I26" s="231"/>
      <c r="J26" s="230">
        <f>'Rates in summary'!D24+Temporaries!K24-Temporaries!AZ24</f>
        <v>0.26500000000000001</v>
      </c>
      <c r="K26" s="231"/>
      <c r="L26" s="569"/>
      <c r="M26" s="230">
        <f>'Rates in summary'!D24+Temporaries!L24+Temporaries!V24-Temporaries!BA24</f>
        <v>0.26500000000000001</v>
      </c>
      <c r="N26" s="231"/>
      <c r="O26" s="569"/>
      <c r="P26" s="657">
        <f>'Rates in summary'!D24+Temporaries!W24-Temporaries!BC24</f>
        <v>0.26449</v>
      </c>
      <c r="Q26" s="231"/>
      <c r="R26" s="569"/>
      <c r="S26" s="657">
        <f>'Rates in summary'!G24+'Rates in summary'!P24+Temporaries!J24</f>
        <v>0.26500000000000001</v>
      </c>
      <c r="T26" s="231"/>
      <c r="U26" s="569"/>
      <c r="V26" s="230">
        <f>+'Rates in summary'!Q24</f>
        <v>0.26449</v>
      </c>
      <c r="W26" s="231"/>
      <c r="X26" s="121"/>
      <c r="Y26" s="560"/>
    </row>
    <row r="27" spans="1:28" x14ac:dyDescent="0.25">
      <c r="A27" s="43">
        <f t="shared" si="0"/>
        <v>21</v>
      </c>
      <c r="B27" s="74"/>
      <c r="C27" s="122" t="s">
        <v>205</v>
      </c>
      <c r="D27" s="123"/>
      <c r="E27" s="124"/>
      <c r="F27" s="125"/>
      <c r="G27" s="614"/>
      <c r="H27" s="605"/>
      <c r="I27" s="609">
        <f>$G25+ROUND(IF($F25&lt;$E25,($F25*H25),IF($F25&gt;SUM($E25:$E26),(($E25*H25)+(($F25-$E25)*H26)),0)),2)</f>
        <v>1818.63</v>
      </c>
      <c r="J27" s="605"/>
      <c r="K27" s="609">
        <f>$G25+ROUND(IF($F25&lt;$E25,($F25*J25),IF($F25&gt;SUM($E25:$E26),(($E25*J25)+(($F25-$E25)*J26)),0)),2)</f>
        <v>1818.63</v>
      </c>
      <c r="L27" s="126">
        <f>ROUND((K27-I27)/I27,3)</f>
        <v>0</v>
      </c>
      <c r="M27" s="605"/>
      <c r="N27" s="609">
        <f>$G25+ROUND(IF($F25&lt;$E25,($F25*M25),IF($F25&gt;SUM($E25:$E26),(($E25*M25)+(($F25-$E25)*M26)),0)),2)</f>
        <v>1818.63</v>
      </c>
      <c r="O27" s="126">
        <f>ROUND((N27-I27)/I27,3)</f>
        <v>0</v>
      </c>
      <c r="P27" s="658"/>
      <c r="Q27" s="609">
        <f>$G25+ROUND(IF($F25&lt;$E25,($F25*P25),IF($F25&gt;SUM($E25:$E26),(($E25*P25)+(($F25-$E25)*P26)),0)),2)</f>
        <v>1816.09</v>
      </c>
      <c r="R27" s="126">
        <f t="shared" si="11"/>
        <v>-1.3966557243640493E-3</v>
      </c>
      <c r="S27" s="658"/>
      <c r="T27" s="609">
        <f>$G25+ROUND(IF($F25&lt;$E25,($F25*S25),IF($F25&gt;SUM($E25:$E26),(($E25*S25)+(($F25-$E25)*S26)),0)),2)</f>
        <v>1818.63</v>
      </c>
      <c r="U27" s="126">
        <f t="shared" si="12"/>
        <v>0</v>
      </c>
      <c r="V27" s="605"/>
      <c r="W27" s="609">
        <f>$G25+ROUND(IF($F25&lt;$E25,($F25*V25),IF($F25&gt;SUM($E25:$E26),(($E25*V25)+(($F25-$E25)*V26)),0)),2)</f>
        <v>1816.09</v>
      </c>
      <c r="X27" s="126">
        <f>ROUND((W27-I27)/I27,3)</f>
        <v>-1E-3</v>
      </c>
      <c r="Y27" s="560"/>
      <c r="Z27" s="19"/>
      <c r="AA27" s="549"/>
      <c r="AB27" s="549"/>
    </row>
    <row r="28" spans="1:28" x14ac:dyDescent="0.25">
      <c r="A28" s="43">
        <f t="shared" si="0"/>
        <v>22</v>
      </c>
      <c r="B28" s="69" t="s">
        <v>367</v>
      </c>
      <c r="C28" s="18" t="s">
        <v>6</v>
      </c>
      <c r="D28" s="70">
        <f>+'Washington volumes'!J25</f>
        <v>319582</v>
      </c>
      <c r="E28" s="119">
        <v>2000</v>
      </c>
      <c r="F28" s="120">
        <f>+'Washington volumes'!M25</f>
        <v>3808</v>
      </c>
      <c r="G28" s="613">
        <v>250</v>
      </c>
      <c r="H28" s="230">
        <f>+'Rates in summary'!D25</f>
        <v>0.53626000000000018</v>
      </c>
      <c r="I28" s="231"/>
      <c r="J28" s="230">
        <f>'Rates in summary'!D25+Temporaries!K25-Temporaries!AZ25</f>
        <v>0.53626000000000018</v>
      </c>
      <c r="K28" s="231"/>
      <c r="L28" s="569"/>
      <c r="M28" s="230">
        <f>'Rates in summary'!D25+Temporaries!L25+Temporaries!V25-Temporaries!BA25</f>
        <v>0.53640000000000021</v>
      </c>
      <c r="N28" s="231"/>
      <c r="O28" s="569"/>
      <c r="P28" s="657">
        <f>'Rates in summary'!D25+Temporaries!W25-Temporaries!BC25</f>
        <v>0.53574000000000022</v>
      </c>
      <c r="Q28" s="231"/>
      <c r="R28" s="569"/>
      <c r="S28" s="657">
        <f>'Rates in summary'!G25+'Rates in summary'!P25+Temporaries!J25</f>
        <v>0.47630000000000022</v>
      </c>
      <c r="T28" s="231"/>
      <c r="U28" s="569"/>
      <c r="V28" s="230">
        <f>+'Rates in summary'!Q25</f>
        <v>0.47592000000000023</v>
      </c>
      <c r="W28" s="231"/>
      <c r="X28" s="425"/>
      <c r="Y28" s="560"/>
    </row>
    <row r="29" spans="1:28" x14ac:dyDescent="0.25">
      <c r="A29" s="43">
        <f t="shared" si="0"/>
        <v>23</v>
      </c>
      <c r="B29" s="69"/>
      <c r="C29" s="18" t="s">
        <v>7</v>
      </c>
      <c r="D29" s="70">
        <f>+'Washington volumes'!J26</f>
        <v>365920</v>
      </c>
      <c r="E29" s="119" t="s">
        <v>201</v>
      </c>
      <c r="F29" s="177"/>
      <c r="G29" s="615"/>
      <c r="H29" s="230">
        <f>+'Rates in summary'!D26</f>
        <v>0.49990999999999991</v>
      </c>
      <c r="I29" s="231"/>
      <c r="J29" s="230">
        <f>'Rates in summary'!D26+Temporaries!K26-Temporaries!AZ26</f>
        <v>0.49990999999999991</v>
      </c>
      <c r="K29" s="231"/>
      <c r="L29" s="569"/>
      <c r="M29" s="230">
        <f>'Rates in summary'!D26+Temporaries!L26+Temporaries!V26-Temporaries!BA26</f>
        <v>0.50001999999999991</v>
      </c>
      <c r="N29" s="231"/>
      <c r="O29" s="569"/>
      <c r="P29" s="657">
        <f>'Rates in summary'!D26+Temporaries!W26-Temporaries!BC26</f>
        <v>0.49944999999999989</v>
      </c>
      <c r="Q29" s="231"/>
      <c r="R29" s="569"/>
      <c r="S29" s="657">
        <f>'Rates in summary'!G26+'Rates in summary'!P26+Temporaries!J26</f>
        <v>0.4399499999999999</v>
      </c>
      <c r="T29" s="231"/>
      <c r="U29" s="569"/>
      <c r="V29" s="230">
        <f>+'Rates in summary'!Q26</f>
        <v>0.43959999999999988</v>
      </c>
      <c r="W29" s="231"/>
      <c r="X29" s="425"/>
      <c r="Y29" s="560"/>
    </row>
    <row r="30" spans="1:28" x14ac:dyDescent="0.25">
      <c r="A30" s="43">
        <f t="shared" si="0"/>
        <v>24</v>
      </c>
      <c r="B30" s="74"/>
      <c r="C30" s="122" t="s">
        <v>205</v>
      </c>
      <c r="D30" s="123"/>
      <c r="E30" s="124"/>
      <c r="F30" s="125"/>
      <c r="G30" s="614"/>
      <c r="H30" s="605"/>
      <c r="I30" s="609">
        <f>$G28+ROUND(IF($F28&lt;$E28,($F28*H28),IF($F28&gt;SUM($E28:$E29),(($E28*H28)+(($F28-$E28)*H29)),0)),2)</f>
        <v>2226.3599999999997</v>
      </c>
      <c r="J30" s="605"/>
      <c r="K30" s="609">
        <f>$G28+ROUND(IF($F28&lt;$E28,($F28*J28),IF($F28&gt;SUM($E28:$E29),(($E28*J28)+(($F28-$E28)*J29)),0)),2)</f>
        <v>2226.3599999999997</v>
      </c>
      <c r="L30" s="126">
        <f>ROUND((K30-I30)/I30,3)</f>
        <v>0</v>
      </c>
      <c r="M30" s="605"/>
      <c r="N30" s="609">
        <f>$G28+ROUND(IF($F28&lt;$E28,($F28*M28),IF($F28&gt;SUM($E28:$E29),(($E28*M28)+(($F28-$E28)*M29)),0)),2)</f>
        <v>2226.84</v>
      </c>
      <c r="O30" s="126">
        <f>ROUND((N30-I30)/I30,3)</f>
        <v>0</v>
      </c>
      <c r="P30" s="658"/>
      <c r="Q30" s="609">
        <f>$G28+ROUND(IF($F28&lt;$E28,($F28*P28),IF($F28&gt;SUM($E28:$E29),(($E28*P28)+(($F28-$E28)*P29)),0)),2)</f>
        <v>2224.4899999999998</v>
      </c>
      <c r="R30" s="126">
        <f t="shared" si="11"/>
        <v>-8.3993603909515583E-4</v>
      </c>
      <c r="S30" s="658"/>
      <c r="T30" s="609">
        <f>$G28+ROUND(IF($F28&lt;$E28,($F28*S28),IF($F28&gt;SUM($E28:$E29),(($E28*S28)+(($F28-$E28)*S29)),0)),2)</f>
        <v>1998.03</v>
      </c>
      <c r="U30" s="126">
        <f t="shared" si="12"/>
        <v>-0.10299999999999999</v>
      </c>
      <c r="V30" s="605"/>
      <c r="W30" s="609">
        <f>$G28+ROUND(IF($F28&lt;$E28,($F28*V28),IF($F28&gt;SUM($E28:$E29),(($E28*V28)+(($F28-$E28)*V29)),0)),2)</f>
        <v>1996.64</v>
      </c>
      <c r="X30" s="126">
        <f>ROUND((W30-I30)/I30,3)</f>
        <v>-0.10299999999999999</v>
      </c>
      <c r="Y30" s="560"/>
      <c r="Z30" s="19"/>
      <c r="AA30" s="549"/>
      <c r="AB30" s="549"/>
    </row>
    <row r="31" spans="1:28" x14ac:dyDescent="0.25">
      <c r="A31" s="43">
        <f t="shared" si="0"/>
        <v>25</v>
      </c>
      <c r="B31" s="69" t="s">
        <v>368</v>
      </c>
      <c r="C31" s="18" t="s">
        <v>6</v>
      </c>
      <c r="D31" s="70">
        <f>+'Washington volumes'!J27</f>
        <v>0</v>
      </c>
      <c r="E31" s="119">
        <v>2000</v>
      </c>
      <c r="F31" s="120">
        <f>+'Washington volumes'!M27</f>
        <v>0</v>
      </c>
      <c r="G31" s="613">
        <v>250</v>
      </c>
      <c r="H31" s="230">
        <f>+'Rates in summary'!D27</f>
        <v>0.55922000000000005</v>
      </c>
      <c r="I31" s="231"/>
      <c r="J31" s="230">
        <f>'Rates in summary'!D27+Temporaries!K27-Temporaries!AZ27</f>
        <v>0.55922000000000005</v>
      </c>
      <c r="K31" s="231"/>
      <c r="L31" s="569"/>
      <c r="M31" s="230">
        <f>'Rates in summary'!D27+Temporaries!L27+Temporaries!V27-Temporaries!BA27</f>
        <v>0.55945</v>
      </c>
      <c r="N31" s="231"/>
      <c r="O31" s="569"/>
      <c r="P31" s="657">
        <f>'Rates in summary'!D27+Temporaries!W27-Temporaries!BC27</f>
        <v>0.55869000000000002</v>
      </c>
      <c r="Q31" s="231"/>
      <c r="R31" s="569"/>
      <c r="S31" s="657">
        <f>'Rates in summary'!G27+'Rates in summary'!P27+Temporaries!J27</f>
        <v>0.49330000000000007</v>
      </c>
      <c r="T31" s="231"/>
      <c r="U31" s="569"/>
      <c r="V31" s="230">
        <f>+'Rates in summary'!Q27</f>
        <v>0.4930000000000001</v>
      </c>
      <c r="W31" s="231"/>
      <c r="X31" s="121"/>
      <c r="Y31" s="560"/>
    </row>
    <row r="32" spans="1:28" x14ac:dyDescent="0.25">
      <c r="A32" s="43">
        <f t="shared" si="0"/>
        <v>26</v>
      </c>
      <c r="B32" s="69"/>
      <c r="C32" s="18" t="s">
        <v>7</v>
      </c>
      <c r="D32" s="70">
        <f>+'Washington volumes'!J28</f>
        <v>0</v>
      </c>
      <c r="E32" s="119" t="s">
        <v>201</v>
      </c>
      <c r="F32" s="120"/>
      <c r="G32" s="613"/>
      <c r="H32" s="230">
        <f>+'Rates in summary'!D28</f>
        <v>0.52289999999999992</v>
      </c>
      <c r="I32" s="231"/>
      <c r="J32" s="230">
        <f>'Rates in summary'!D28+Temporaries!K28-Temporaries!AZ28</f>
        <v>0.52289999999999992</v>
      </c>
      <c r="K32" s="231"/>
      <c r="L32" s="569"/>
      <c r="M32" s="230">
        <f>'Rates in summary'!D28+Temporaries!L28+Temporaries!V28-Temporaries!BA28</f>
        <v>0.5230999999999999</v>
      </c>
      <c r="N32" s="231"/>
      <c r="O32" s="569"/>
      <c r="P32" s="657">
        <f>'Rates in summary'!D28+Temporaries!W28-Temporaries!BC28</f>
        <v>0.52242999999999995</v>
      </c>
      <c r="Q32" s="231"/>
      <c r="R32" s="569"/>
      <c r="S32" s="657">
        <f>'Rates in summary'!G28+'Rates in summary'!P28+Temporaries!J28</f>
        <v>0.45697999999999994</v>
      </c>
      <c r="T32" s="231"/>
      <c r="U32" s="569"/>
      <c r="V32" s="230">
        <f>+'Rates in summary'!Q28</f>
        <v>0.45670999999999995</v>
      </c>
      <c r="W32" s="231"/>
      <c r="X32" s="121"/>
      <c r="Y32" s="560"/>
    </row>
    <row r="33" spans="1:28" x14ac:dyDescent="0.25">
      <c r="A33" s="43">
        <f t="shared" si="0"/>
        <v>27</v>
      </c>
      <c r="B33" s="74"/>
      <c r="C33" s="122" t="s">
        <v>205</v>
      </c>
      <c r="D33" s="123"/>
      <c r="E33" s="124"/>
      <c r="F33" s="125"/>
      <c r="G33" s="614"/>
      <c r="H33" s="605"/>
      <c r="I33" s="609">
        <f>$G31+ROUND(IF($F31&lt;$E31,($F31*H31),IF($F31&gt;SUM($E31:$E32),(($E31*H31)+(($F31-$E31)*H32)),0)),2)</f>
        <v>250</v>
      </c>
      <c r="J33" s="605"/>
      <c r="K33" s="609">
        <f>$G31+ROUND(IF($F31&lt;$E31,($F31*J31),IF($F31&gt;SUM($E31:$E32),(($E31*J31)+(($F31-$E31)*J32)),0)),2)</f>
        <v>250</v>
      </c>
      <c r="L33" s="126">
        <f>ROUND((K33-I33)/I33,3)</f>
        <v>0</v>
      </c>
      <c r="M33" s="605"/>
      <c r="N33" s="609">
        <f>$G31+ROUND(IF($F31&lt;$E31,($F31*M31),IF($F31&gt;SUM($E31:$E32),(($E31*M31)+(($F31-$E31)*M32)),0)),2)</f>
        <v>250</v>
      </c>
      <c r="O33" s="126">
        <f>ROUND((N33-I33)/I33,3)</f>
        <v>0</v>
      </c>
      <c r="P33" s="658"/>
      <c r="Q33" s="609">
        <f>$G31+ROUND(IF($F31&lt;$E31,($F31*P31),IF($F31&gt;SUM($E31:$E32),(($E31*P31)+(($F31-$E31)*P32)),0)),2)</f>
        <v>250</v>
      </c>
      <c r="R33" s="126">
        <f t="shared" si="11"/>
        <v>0</v>
      </c>
      <c r="S33" s="658"/>
      <c r="T33" s="609">
        <f>$G31+ROUND(IF($F31&lt;$E31,($F31*S31),IF($F31&gt;SUM($E31:$E32),(($E31*S31)+(($F31-$E31)*S32)),0)),2)</f>
        <v>250</v>
      </c>
      <c r="U33" s="126">
        <f t="shared" si="12"/>
        <v>0</v>
      </c>
      <c r="V33" s="605"/>
      <c r="W33" s="609">
        <f>$G31+ROUND(IF($F31&lt;$E31,($F31*V31),IF($F31&gt;SUM($E31:$E32),(($E31*V31)+(($F31-$E31)*V32)),0)),2)</f>
        <v>250</v>
      </c>
      <c r="X33" s="126">
        <f>ROUND((W33-I33)/I33,3)</f>
        <v>0</v>
      </c>
      <c r="Y33" s="560"/>
      <c r="AA33" s="549"/>
      <c r="AB33" s="549"/>
    </row>
    <row r="34" spans="1:28" x14ac:dyDescent="0.25">
      <c r="A34" s="43">
        <f t="shared" si="0"/>
        <v>28</v>
      </c>
      <c r="B34" s="69" t="s">
        <v>163</v>
      </c>
      <c r="C34" s="18" t="s">
        <v>6</v>
      </c>
      <c r="D34" s="70">
        <f>+'Washington volumes'!J29</f>
        <v>572161.5</v>
      </c>
      <c r="E34" s="70">
        <v>10000</v>
      </c>
      <c r="F34" s="120">
        <f>+'Washington volumes'!M29</f>
        <v>15829</v>
      </c>
      <c r="G34" s="613">
        <v>1300</v>
      </c>
      <c r="H34" s="230">
        <f>+'Rates in summary'!D29</f>
        <v>0.36596999999999991</v>
      </c>
      <c r="I34" s="231"/>
      <c r="J34" s="230">
        <f>'Rates in summary'!D29+Temporaries!K29-Temporaries!AZ29</f>
        <v>0.36497999999999992</v>
      </c>
      <c r="K34" s="231"/>
      <c r="L34" s="569"/>
      <c r="M34" s="230">
        <f>'Rates in summary'!D29+Temporaries!L29+Temporaries!V29-Temporaries!BA29</f>
        <v>0.36557999999999996</v>
      </c>
      <c r="N34" s="231"/>
      <c r="O34" s="569"/>
      <c r="P34" s="657">
        <f>'Rates in summary'!D29+Temporaries!W29-Temporaries!BC29</f>
        <v>0.36567999999999989</v>
      </c>
      <c r="Q34" s="231"/>
      <c r="R34" s="569"/>
      <c r="S34" s="657">
        <f>'Rates in summary'!G29+'Rates in summary'!P29+Temporaries!J29</f>
        <v>0.30600999999999995</v>
      </c>
      <c r="T34" s="231"/>
      <c r="U34" s="569"/>
      <c r="V34" s="230">
        <f>+'Rates in summary'!Q29</f>
        <v>0.30433999999999994</v>
      </c>
      <c r="W34" s="231"/>
      <c r="X34" s="121"/>
      <c r="Y34" s="560"/>
    </row>
    <row r="35" spans="1:28" x14ac:dyDescent="0.25">
      <c r="A35" s="43">
        <f t="shared" si="0"/>
        <v>29</v>
      </c>
      <c r="B35" s="69"/>
      <c r="C35" s="18" t="s">
        <v>7</v>
      </c>
      <c r="D35" s="70">
        <f>+'Washington volumes'!J30</f>
        <v>452309.5</v>
      </c>
      <c r="E35" s="70">
        <v>20000</v>
      </c>
      <c r="F35" s="120"/>
      <c r="G35" s="613"/>
      <c r="H35" s="230">
        <f>+'Rates in summary'!D30</f>
        <v>0.3517599999999998</v>
      </c>
      <c r="I35" s="231"/>
      <c r="J35" s="230">
        <f>'Rates in summary'!D30+Temporaries!K30-Temporaries!AZ30</f>
        <v>0.35086999999999979</v>
      </c>
      <c r="K35" s="231"/>
      <c r="L35" s="569"/>
      <c r="M35" s="230">
        <f>'Rates in summary'!D30+Temporaries!L30+Temporaries!V30-Temporaries!BA30</f>
        <v>0.35140999999999978</v>
      </c>
      <c r="N35" s="231"/>
      <c r="O35" s="569"/>
      <c r="P35" s="657">
        <f>'Rates in summary'!D30+Temporaries!W30-Temporaries!BC30</f>
        <v>0.35149999999999981</v>
      </c>
      <c r="Q35" s="231"/>
      <c r="R35" s="569"/>
      <c r="S35" s="657">
        <f>'Rates in summary'!G30+'Rates in summary'!P30+Temporaries!J30</f>
        <v>0.29179999999999978</v>
      </c>
      <c r="T35" s="231"/>
      <c r="U35" s="569"/>
      <c r="V35" s="230">
        <f>+'Rates in summary'!Q30</f>
        <v>0.29029999999999978</v>
      </c>
      <c r="W35" s="231"/>
      <c r="X35" s="121"/>
      <c r="Y35" s="560"/>
    </row>
    <row r="36" spans="1:28" x14ac:dyDescent="0.25">
      <c r="A36" s="43">
        <f t="shared" si="0"/>
        <v>30</v>
      </c>
      <c r="B36" s="69"/>
      <c r="C36" s="18" t="s">
        <v>8</v>
      </c>
      <c r="D36" s="70">
        <f>+'Washington volumes'!J31</f>
        <v>113397.9</v>
      </c>
      <c r="E36" s="70">
        <v>20000</v>
      </c>
      <c r="F36" s="120"/>
      <c r="G36" s="613"/>
      <c r="H36" s="230">
        <f>+'Rates in summary'!D31</f>
        <v>0.32346999999999992</v>
      </c>
      <c r="I36" s="231"/>
      <c r="J36" s="230">
        <f>'Rates in summary'!D31+Temporaries!K31-Temporaries!AZ31</f>
        <v>0.32278999999999991</v>
      </c>
      <c r="K36" s="231"/>
      <c r="L36" s="569"/>
      <c r="M36" s="230">
        <f>'Rates in summary'!D31+Temporaries!L31+Temporaries!V31-Temporaries!BA31</f>
        <v>0.32320999999999994</v>
      </c>
      <c r="N36" s="231"/>
      <c r="O36" s="569"/>
      <c r="P36" s="657">
        <f>'Rates in summary'!D31+Temporaries!W31-Temporaries!BC31</f>
        <v>0.32326999999999995</v>
      </c>
      <c r="Q36" s="231"/>
      <c r="R36" s="569"/>
      <c r="S36" s="657">
        <f>'Rates in summary'!G31+'Rates in summary'!P31+Temporaries!J31</f>
        <v>0.26350999999999997</v>
      </c>
      <c r="T36" s="231"/>
      <c r="U36" s="569"/>
      <c r="V36" s="230">
        <f>+'Rates in summary'!Q31</f>
        <v>0.26236999999999994</v>
      </c>
      <c r="W36" s="231"/>
      <c r="X36" s="121"/>
      <c r="Y36" s="19"/>
      <c r="Z36" s="19"/>
    </row>
    <row r="37" spans="1:28" x14ac:dyDescent="0.25">
      <c r="A37" s="43">
        <f t="shared" si="0"/>
        <v>31</v>
      </c>
      <c r="B37" s="69"/>
      <c r="C37" s="18" t="s">
        <v>9</v>
      </c>
      <c r="D37" s="70">
        <f>+'Washington volumes'!J32</f>
        <v>1825.6</v>
      </c>
      <c r="E37" s="70">
        <v>100000</v>
      </c>
      <c r="F37" s="120"/>
      <c r="G37" s="613"/>
      <c r="H37" s="230">
        <f>+'Rates in summary'!D32</f>
        <v>0.30485000000000018</v>
      </c>
      <c r="I37" s="231"/>
      <c r="J37" s="230">
        <f>'Rates in summary'!D32+Temporaries!K32-Temporaries!AZ32</f>
        <v>0.30431000000000019</v>
      </c>
      <c r="K37" s="231"/>
      <c r="L37" s="569"/>
      <c r="M37" s="230">
        <f>'Rates in summary'!D32+Temporaries!L32+Temporaries!V32-Temporaries!BA32</f>
        <v>0.30464000000000019</v>
      </c>
      <c r="N37" s="231"/>
      <c r="O37" s="569"/>
      <c r="P37" s="657">
        <f>'Rates in summary'!D32+Temporaries!W32-Temporaries!BC32</f>
        <v>0.30469000000000018</v>
      </c>
      <c r="Q37" s="231"/>
      <c r="R37" s="569"/>
      <c r="S37" s="657">
        <f>'Rates in summary'!G32+'Rates in summary'!P32+Temporaries!J32</f>
        <v>0.24489000000000022</v>
      </c>
      <c r="T37" s="231"/>
      <c r="U37" s="569"/>
      <c r="V37" s="230">
        <f>+'Rates in summary'!Q32</f>
        <v>0.2439800000000002</v>
      </c>
      <c r="W37" s="231"/>
      <c r="X37" s="121"/>
    </row>
    <row r="38" spans="1:28" x14ac:dyDescent="0.25">
      <c r="A38" s="43">
        <f t="shared" si="0"/>
        <v>32</v>
      </c>
      <c r="B38" s="69"/>
      <c r="C38" s="18" t="s">
        <v>10</v>
      </c>
      <c r="D38" s="70">
        <f>+'Washington volumes'!J33</f>
        <v>0</v>
      </c>
      <c r="E38" s="70">
        <v>600000</v>
      </c>
      <c r="F38" s="120"/>
      <c r="G38" s="613"/>
      <c r="H38" s="230">
        <f>+'Rates in summary'!D33</f>
        <v>0.28002999999999995</v>
      </c>
      <c r="I38" s="231"/>
      <c r="J38" s="230">
        <f>'Rates in summary'!D33+Temporaries!K33-Temporaries!AZ33</f>
        <v>0.27965999999999991</v>
      </c>
      <c r="K38" s="231"/>
      <c r="L38" s="569"/>
      <c r="M38" s="230">
        <f>'Rates in summary'!D33+Temporaries!L33+Temporaries!V33-Temporaries!BA33</f>
        <v>0.27988999999999997</v>
      </c>
      <c r="N38" s="231"/>
      <c r="O38" s="569"/>
      <c r="P38" s="657">
        <f>'Rates in summary'!D33+Temporaries!W33-Temporaries!BC33</f>
        <v>0.27991999999999995</v>
      </c>
      <c r="Q38" s="231"/>
      <c r="R38" s="569"/>
      <c r="S38" s="657">
        <f>'Rates in summary'!G33+'Rates in summary'!P33+Temporaries!J33</f>
        <v>0.22006999999999996</v>
      </c>
      <c r="T38" s="231"/>
      <c r="U38" s="569"/>
      <c r="V38" s="230">
        <f>+'Rates in summary'!Q33</f>
        <v>0.21944999999999995</v>
      </c>
      <c r="W38" s="231"/>
      <c r="X38" s="121"/>
    </row>
    <row r="39" spans="1:28" x14ac:dyDescent="0.25">
      <c r="A39" s="43">
        <f t="shared" si="0"/>
        <v>33</v>
      </c>
      <c r="B39" s="69"/>
      <c r="C39" s="18" t="s">
        <v>11</v>
      </c>
      <c r="D39" s="70">
        <f>+'Washington volumes'!J34</f>
        <v>0</v>
      </c>
      <c r="E39" s="119" t="s">
        <v>201</v>
      </c>
      <c r="F39" s="120"/>
      <c r="G39" s="613"/>
      <c r="H39" s="230">
        <f>+'Rates in summary'!D34</f>
        <v>0.24900000000000005</v>
      </c>
      <c r="I39" s="231"/>
      <c r="J39" s="230">
        <f>'Rates in summary'!D34+Temporaries!K34-Temporaries!AZ34</f>
        <v>0.24887000000000006</v>
      </c>
      <c r="K39" s="231"/>
      <c r="L39" s="569"/>
      <c r="M39" s="230">
        <f>'Rates in summary'!D34+Temporaries!L34+Temporaries!V34-Temporaries!BA34</f>
        <v>0.24894000000000005</v>
      </c>
      <c r="N39" s="231"/>
      <c r="O39" s="569"/>
      <c r="P39" s="657">
        <f>'Rates in summary'!D34+Temporaries!W34-Temporaries!BC34</f>
        <v>0.24896000000000004</v>
      </c>
      <c r="Q39" s="231"/>
      <c r="R39" s="569"/>
      <c r="S39" s="657">
        <f>'Rates in summary'!G34+'Rates in summary'!P34+Temporaries!J34</f>
        <v>0.18904000000000007</v>
      </c>
      <c r="T39" s="231"/>
      <c r="U39" s="569"/>
      <c r="V39" s="230">
        <f>+'Rates in summary'!Q34</f>
        <v>0.18881000000000006</v>
      </c>
      <c r="W39" s="231"/>
      <c r="X39" s="121"/>
    </row>
    <row r="40" spans="1:28" x14ac:dyDescent="0.25">
      <c r="A40" s="43">
        <f t="shared" si="0"/>
        <v>34</v>
      </c>
      <c r="B40" s="74"/>
      <c r="C40" s="122" t="s">
        <v>205</v>
      </c>
      <c r="D40" s="123"/>
      <c r="E40" s="124"/>
      <c r="F40" s="125"/>
      <c r="G40" s="614"/>
      <c r="H40" s="605"/>
      <c r="I40" s="609">
        <f>$G34+ROUND(IF($F34&lt;$E34,($F34*H34),IF($F34&lt;SUM($E34:$E35),(($E34*H34)+(($F34-$E34)*H35)),IF($F34&lt;SUM($E34:$E36),(($E34*H34)+($E35*H35)+(($F34-$E34-$E35)*H36)),IF($F34&lt;SUM($E34:$E37),(($E34*H34)+($E35*H35)+($E36*H36)+(($F34-SUM($E34:$E36))*H37)),IF($F34&lt;SUM($E34:$E38),(($E34*H34)+($E35*H35)+($E36*H36)+($E37*H37)+(($F34-SUM($E34:$E37))*H38)),(($E34*H34)+($E35*H35)+($E36*H36)+($E37*H36)+($E38*H38)+(($F34-SUM($E34:$E38))*H39))))))),2)</f>
        <v>7010.11</v>
      </c>
      <c r="J40" s="605"/>
      <c r="K40" s="609">
        <f>$G34+ROUND(IF($F34&lt;$E34,($F34*J34),IF($F34&lt;SUM($E34:$E35),(($E34*J34)+(($F34-$E34)*J35)),IF($F34&lt;SUM($E34:$E36),(($E34*J34)+($E35*J35)+(($F34-$E34-$E35)*J36)),IF($F34&lt;SUM($E34:$E37),(($E34*J34)+($E35*J35)+($E36*J36)+(($F34-SUM($E34:$E36))*J37)),IF($F34&lt;SUM($E34:$E38),(($E34*J34)+($E35*J35)+($E36*J36)+($E37*J37)+(($F34-SUM($E34:$E37))*J38)),(($E34*J34)+($E35*J35)+($E36*J36)+($E37*J36)+($E38*J38)+(($F34-SUM($E34:$E38))*J39))))))),2)</f>
        <v>6995.02</v>
      </c>
      <c r="L40" s="126">
        <f>ROUND((K40-I40)/I40,3)</f>
        <v>-2E-3</v>
      </c>
      <c r="M40" s="605"/>
      <c r="N40" s="609">
        <f>$G34+ROUND(IF($F34&lt;$E34,($F34*M34),IF($F34&lt;SUM($E34:$E35),(($E34*M34)+(($F34-$E34)*M35)),IF($F34&lt;SUM($E34:$E36),(($E34*M34)+($E35*M35)+(($F34-$E34-$E35)*M36)),IF($F34&lt;SUM($E34:$E37),(($E34*M34)+($E35*M35)+($E36*M36)+(($F34-SUM($E34:$E36))*M37)),IF($F34&lt;SUM($E34:$E38),(($E34*M34)+($E35*M35)+($E36*M36)+($E37*M37)+(($F34-SUM($E34:$E37))*M38)),(($E34*M34)+($E35*M35)+($E36*M36)+($E37*M36)+($E38*M38)+(($F34-SUM($E34:$E38))*M39))))))),2)</f>
        <v>7004.17</v>
      </c>
      <c r="O40" s="126">
        <f>ROUND((N40-I40)/I40,3)</f>
        <v>-1E-3</v>
      </c>
      <c r="P40" s="658"/>
      <c r="Q40" s="609">
        <f>$G34+ROUND(IF($F34&lt;$E34,($F34*P34),IF($F34&lt;SUM($E34:$E35),(($E34*P34)+(($F34-$E34)*P35)),IF($F34&lt;SUM($E34:$E36),(($E34*P34)+($E35*P35)+(($F34-$E34-$E35)*P36)),IF($F34&lt;SUM($E34:$E37),(($E34*P34)+($E35*P35)+($E36*P36)+(($F34-SUM($E34:$E36))*P37)),IF($F34&lt;SUM($E34:$E38),(($E34*P34)+($E35*P35)+($E36*P36)+($E37*P37)+(($F34-SUM($E34:$E37))*P38)),(($E34*P34)+($E35*P35)+($E36*P36)+($E37*P36)+($E38*P38)+(($F34-SUM($E34:$E38))*P39))))))),2)</f>
        <v>7005.69</v>
      </c>
      <c r="R40" s="126">
        <f t="shared" si="11"/>
        <v>-6.3051792339921531E-4</v>
      </c>
      <c r="S40" s="658"/>
      <c r="T40" s="609">
        <f>$G34+ROUND(IF($F34&lt;$E34,($F34*S34),IF($F34&lt;SUM($E34:$E35),(($E34*S34)+(($F34-$E34)*S35)),IF($F34&lt;SUM($E34:$E36),(($E34*S34)+($E35*S35)+(($F34-$E34-$E35)*S36)),IF($F34&lt;SUM($E34:$E37),(($E34*S34)+($E35*S35)+($E36*S36)+(($F34-SUM($E34:$E36))*S37)),IF($F34&lt;SUM($E34:$E38),(($E34*S34)+($E35*S35)+($E36*S36)+($E37*S37)+(($F34-SUM($E34:$E37))*S38)),(($E34*S34)+($E35*S35)+($E36*S36)+($E37*S36)+($E38*S38)+(($F34-SUM($E34:$E38))*S39))))))),2)</f>
        <v>6061</v>
      </c>
      <c r="U40" s="126">
        <f t="shared" si="12"/>
        <v>-0.13500000000000001</v>
      </c>
      <c r="V40" s="605"/>
      <c r="W40" s="609">
        <f>$G34+ROUND(IF($F34&lt;$E34,($F34*V34),IF($F34&lt;SUM($E34:$E35),(($E34*V34)+(($F34-$E34)*V35)),IF($F34&lt;SUM($E34:$E36),(($E34*V34)+($E35*V35)+(($F34-$E34-$E35)*V36)),IF($F34&lt;SUM($E34:$E37),(($E34*V34)+($E35*V35)+($E36*V36)+(($F34-SUM($E34:$E36))*V37)),IF($F34&lt;SUM($E34:$E38),(($E34*V34)+($E35*V35)+($E36*V36)+($E37*V37)+(($F34-SUM($E34:$E37))*V38)),(($E34*V34)+($E35*V35)+($E36*V36)+($E37*V36)+($E38*V38)+(($F34-SUM($E34:$E38))*V39))))))),2)</f>
        <v>6035.56</v>
      </c>
      <c r="X40" s="126">
        <f>ROUND((W40-I40)/I40,3)</f>
        <v>-0.13900000000000001</v>
      </c>
      <c r="Y40" s="549"/>
      <c r="AA40" s="549"/>
      <c r="AB40" s="549"/>
    </row>
    <row r="41" spans="1:28" x14ac:dyDescent="0.25">
      <c r="A41" s="43">
        <f t="shared" si="0"/>
        <v>35</v>
      </c>
      <c r="B41" s="69" t="s">
        <v>164</v>
      </c>
      <c r="C41" s="18" t="s">
        <v>6</v>
      </c>
      <c r="D41" s="70">
        <f>+'Washington volumes'!J35</f>
        <v>1138365</v>
      </c>
      <c r="E41" s="70">
        <v>10000</v>
      </c>
      <c r="F41" s="120">
        <f>+'Washington volumes'!M35</f>
        <v>13507</v>
      </c>
      <c r="G41" s="613">
        <v>1300</v>
      </c>
      <c r="H41" s="230">
        <f>+'Rates in summary'!D35</f>
        <v>0.35160999999999998</v>
      </c>
      <c r="I41" s="231"/>
      <c r="J41" s="230">
        <f>'Rates in summary'!D35+Temporaries!K35-Temporaries!AZ35</f>
        <v>0.35160999999999998</v>
      </c>
      <c r="K41" s="231"/>
      <c r="L41" s="569"/>
      <c r="M41" s="230">
        <f>'Rates in summary'!D35+Temporaries!L35+Temporaries!V35-Temporaries!BA35</f>
        <v>0.35166999999999998</v>
      </c>
      <c r="N41" s="231"/>
      <c r="O41" s="569"/>
      <c r="P41" s="657">
        <f>'Rates in summary'!D35+Temporaries!W35-Temporaries!BC35</f>
        <v>0.3513</v>
      </c>
      <c r="Q41" s="231"/>
      <c r="R41" s="569"/>
      <c r="S41" s="657">
        <f>'Rates in summary'!G35+'Rates in summary'!P35+Temporaries!J35</f>
        <v>0.29165000000000002</v>
      </c>
      <c r="T41" s="231"/>
      <c r="U41" s="569"/>
      <c r="V41" s="230">
        <f>+'Rates in summary'!Q35</f>
        <v>0.29139999999999999</v>
      </c>
      <c r="W41" s="231"/>
      <c r="X41" s="121"/>
      <c r="Y41" s="560"/>
    </row>
    <row r="42" spans="1:28" x14ac:dyDescent="0.25">
      <c r="A42" s="43">
        <f t="shared" si="0"/>
        <v>36</v>
      </c>
      <c r="B42" s="69"/>
      <c r="C42" s="18" t="s">
        <v>7</v>
      </c>
      <c r="D42" s="70">
        <f>+'Washington volumes'!J36</f>
        <v>725589</v>
      </c>
      <c r="E42" s="70">
        <v>20000</v>
      </c>
      <c r="F42" s="120"/>
      <c r="G42" s="613"/>
      <c r="H42" s="230">
        <f>+'Rates in summary'!D36</f>
        <v>0.33889000000000008</v>
      </c>
      <c r="I42" s="231"/>
      <c r="J42" s="230">
        <f>'Rates in summary'!D36+Temporaries!K36-Temporaries!AZ36</f>
        <v>0.33889000000000008</v>
      </c>
      <c r="K42" s="231"/>
      <c r="L42" s="569"/>
      <c r="M42" s="230">
        <f>'Rates in summary'!D36+Temporaries!L36+Temporaries!V36-Temporaries!BA36</f>
        <v>0.33895000000000003</v>
      </c>
      <c r="N42" s="231"/>
      <c r="O42" s="569"/>
      <c r="P42" s="657">
        <f>'Rates in summary'!D36+Temporaries!W36-Temporaries!BC36</f>
        <v>0.33862000000000009</v>
      </c>
      <c r="Q42" s="231"/>
      <c r="R42" s="569"/>
      <c r="S42" s="657">
        <f>'Rates in summary'!G36+'Rates in summary'!P36+Temporaries!J36</f>
        <v>0.27893000000000007</v>
      </c>
      <c r="T42" s="231"/>
      <c r="U42" s="569"/>
      <c r="V42" s="230">
        <f>+'Rates in summary'!Q36</f>
        <v>0.27872000000000008</v>
      </c>
      <c r="W42" s="231"/>
      <c r="X42" s="121"/>
      <c r="Y42" s="560"/>
    </row>
    <row r="43" spans="1:28" x14ac:dyDescent="0.25">
      <c r="A43" s="43">
        <f t="shared" si="0"/>
        <v>37</v>
      </c>
      <c r="B43" s="69"/>
      <c r="C43" s="18" t="s">
        <v>8</v>
      </c>
      <c r="D43" s="70">
        <f>+'Washington volumes'!J37</f>
        <v>81079</v>
      </c>
      <c r="E43" s="70">
        <v>20000</v>
      </c>
      <c r="F43" s="120"/>
      <c r="G43" s="613"/>
      <c r="H43" s="230">
        <f>+'Rates in summary'!D37</f>
        <v>0.31359999999999988</v>
      </c>
      <c r="I43" s="231"/>
      <c r="J43" s="230">
        <f>'Rates in summary'!D37+Temporaries!K37-Temporaries!AZ37</f>
        <v>0.31359999999999988</v>
      </c>
      <c r="K43" s="231"/>
      <c r="L43" s="569"/>
      <c r="M43" s="230">
        <f>'Rates in summary'!D37+Temporaries!L37+Temporaries!V37-Temporaries!BA37</f>
        <v>0.31363999999999986</v>
      </c>
      <c r="N43" s="231"/>
      <c r="O43" s="569"/>
      <c r="P43" s="657">
        <f>'Rates in summary'!D37+Temporaries!W37-Temporaries!BC37</f>
        <v>0.31338999999999989</v>
      </c>
      <c r="Q43" s="231"/>
      <c r="R43" s="569"/>
      <c r="S43" s="657">
        <f>'Rates in summary'!G37+'Rates in summary'!P37+Temporaries!J37</f>
        <v>0.25363999999999992</v>
      </c>
      <c r="T43" s="231"/>
      <c r="U43" s="569"/>
      <c r="V43" s="230">
        <f>+'Rates in summary'!Q37</f>
        <v>0.25346999999999992</v>
      </c>
      <c r="W43" s="231"/>
      <c r="X43" s="121"/>
      <c r="Y43" s="19"/>
      <c r="Z43" s="19"/>
    </row>
    <row r="44" spans="1:28" x14ac:dyDescent="0.25">
      <c r="A44" s="43">
        <f t="shared" si="0"/>
        <v>38</v>
      </c>
      <c r="B44" s="69"/>
      <c r="C44" s="18" t="s">
        <v>9</v>
      </c>
      <c r="D44" s="70">
        <f>+'Washington volumes'!J38</f>
        <v>0</v>
      </c>
      <c r="E44" s="70">
        <v>100000</v>
      </c>
      <c r="F44" s="120"/>
      <c r="G44" s="613"/>
      <c r="H44" s="230">
        <f>+'Rates in summary'!D38</f>
        <v>0.29696000000000011</v>
      </c>
      <c r="I44" s="231"/>
      <c r="J44" s="230">
        <f>'Rates in summary'!D38+Temporaries!K38-Temporaries!AZ38</f>
        <v>0.29696000000000011</v>
      </c>
      <c r="K44" s="231"/>
      <c r="L44" s="569"/>
      <c r="M44" s="230">
        <f>'Rates in summary'!D38+Temporaries!L38+Temporaries!V38-Temporaries!BA38</f>
        <v>0.29699000000000009</v>
      </c>
      <c r="N44" s="231"/>
      <c r="O44" s="569"/>
      <c r="P44" s="657">
        <f>'Rates in summary'!D38+Temporaries!W38-Temporaries!BC38</f>
        <v>0.29679000000000011</v>
      </c>
      <c r="Q44" s="231"/>
      <c r="R44" s="569"/>
      <c r="S44" s="657">
        <f>'Rates in summary'!G38+'Rates in summary'!P38+Temporaries!J38</f>
        <v>0.23700000000000015</v>
      </c>
      <c r="T44" s="231"/>
      <c r="U44" s="569"/>
      <c r="V44" s="230">
        <f>+'Rates in summary'!Q38</f>
        <v>0.23686000000000015</v>
      </c>
      <c r="W44" s="231"/>
      <c r="X44" s="121"/>
    </row>
    <row r="45" spans="1:28" x14ac:dyDescent="0.25">
      <c r="A45" s="43">
        <f t="shared" si="0"/>
        <v>39</v>
      </c>
      <c r="B45" s="69"/>
      <c r="C45" s="18" t="s">
        <v>10</v>
      </c>
      <c r="D45" s="70">
        <f>+'Washington volumes'!J39</f>
        <v>0</v>
      </c>
      <c r="E45" s="70">
        <v>600000</v>
      </c>
      <c r="F45" s="120"/>
      <c r="G45" s="613"/>
      <c r="H45" s="230">
        <f>+'Rates in summary'!D39</f>
        <v>0.27478000000000019</v>
      </c>
      <c r="I45" s="231"/>
      <c r="J45" s="230">
        <f>'Rates in summary'!D39+Temporaries!K39-Temporaries!AZ39</f>
        <v>0.27478000000000019</v>
      </c>
      <c r="K45" s="231"/>
      <c r="L45" s="569"/>
      <c r="M45" s="230">
        <f>'Rates in summary'!D39+Temporaries!L39+Temporaries!V39-Temporaries!BA39</f>
        <v>0.27480000000000021</v>
      </c>
      <c r="N45" s="231"/>
      <c r="O45" s="569"/>
      <c r="P45" s="657">
        <f>'Rates in summary'!D39+Temporaries!W39-Temporaries!BC39</f>
        <v>0.27467000000000019</v>
      </c>
      <c r="Q45" s="231"/>
      <c r="R45" s="569"/>
      <c r="S45" s="657">
        <f>'Rates in summary'!G39+'Rates in summary'!P39+Temporaries!J39</f>
        <v>0.21482000000000021</v>
      </c>
      <c r="T45" s="231"/>
      <c r="U45" s="569"/>
      <c r="V45" s="230">
        <f>+'Rates in summary'!Q39</f>
        <v>0.2147300000000002</v>
      </c>
      <c r="W45" s="231"/>
      <c r="X45" s="121"/>
    </row>
    <row r="46" spans="1:28" x14ac:dyDescent="0.25">
      <c r="A46" s="43">
        <f t="shared" si="0"/>
        <v>40</v>
      </c>
      <c r="B46" s="69"/>
      <c r="C46" s="18" t="s">
        <v>11</v>
      </c>
      <c r="D46" s="70">
        <f>+'Washington volumes'!J40</f>
        <v>0</v>
      </c>
      <c r="E46" s="119" t="s">
        <v>201</v>
      </c>
      <c r="F46" s="120"/>
      <c r="G46" s="613"/>
      <c r="H46" s="230">
        <f>+'Rates in summary'!D40</f>
        <v>0.24702999999999992</v>
      </c>
      <c r="I46" s="231"/>
      <c r="J46" s="230">
        <f>'Rates in summary'!D40+Temporaries!K40-Temporaries!AZ40</f>
        <v>0.24702999999999992</v>
      </c>
      <c r="K46" s="231"/>
      <c r="L46" s="569"/>
      <c r="M46" s="230">
        <f>'Rates in summary'!D40+Temporaries!L40+Temporaries!V40-Temporaries!BA40</f>
        <v>0.24703999999999993</v>
      </c>
      <c r="N46" s="231"/>
      <c r="O46" s="569"/>
      <c r="P46" s="657">
        <f>'Rates in summary'!D40+Temporaries!W40-Temporaries!BC40</f>
        <v>0.2469899999999999</v>
      </c>
      <c r="Q46" s="231"/>
      <c r="R46" s="569"/>
      <c r="S46" s="657">
        <f>'Rates in summary'!G40+'Rates in summary'!P40+Temporaries!J40</f>
        <v>0.18706999999999993</v>
      </c>
      <c r="T46" s="231"/>
      <c r="U46" s="569"/>
      <c r="V46" s="230">
        <f>+'Rates in summary'!Q40</f>
        <v>0.18703999999999993</v>
      </c>
      <c r="W46" s="231"/>
      <c r="X46" s="121"/>
    </row>
    <row r="47" spans="1:28" x14ac:dyDescent="0.25">
      <c r="A47" s="43">
        <f t="shared" si="0"/>
        <v>41</v>
      </c>
      <c r="B47" s="74"/>
      <c r="C47" s="122" t="s">
        <v>205</v>
      </c>
      <c r="D47" s="123"/>
      <c r="E47" s="124"/>
      <c r="F47" s="125"/>
      <c r="G47" s="614"/>
      <c r="H47" s="605"/>
      <c r="I47" s="609">
        <f>$G41+ROUND(IF($F41&lt;$E41,($F41*H41),IF($F41&lt;SUM($E41:$E42),(($E41*H41)+(($F41-$E41)*H42)),IF($F41&lt;SUM($E41:$E43),(($E41*H41)+($E42*H42)+(($F41-$E41-$E42)*H43)),IF($F41&lt;SUM($E41:$E44),(($E41*H41)+($E42*H42)+($E43*H43)+(($F41-SUM($E41:$E43))*H44)),IF($F41&lt;SUM($E41:$E45),(($E41*H41)+($E42*H42)+($E43*H43)+($E44*H44)+(($F41-SUM($E41:$E44))*H45)),(($E41*H41)+($E42*H42)+($E43*H43)+($E44*H43)+($E45*H45)+(($F41-SUM($E41:$E45))*H46))))))),2)</f>
        <v>6004.59</v>
      </c>
      <c r="J47" s="605"/>
      <c r="K47" s="609">
        <f>$G41+ROUND(IF($F41&lt;$E41,($F41*J41),IF($F41&lt;SUM($E41:$E42),(($E41*J41)+(($F41-$E41)*J42)),IF($F41&lt;SUM($E41:$E43),(($E41*J41)+($E42*J42)+(($F41-$E41-$E42)*J43)),IF($F41&lt;SUM($E41:$E44),(($E41*J41)+($E42*J42)+($E43*J43)+(($F41-SUM($E41:$E43))*J44)),IF($F41&lt;SUM($E41:$E45),(($E41*J41)+($E42*J42)+($E43*J43)+($E44*J44)+(($F41-SUM($E41:$E44))*J45)),(($E41*J41)+($E42*J42)+($E43*J43)+($E44*J43)+($E45*J45)+(($F41-SUM($E41:$E45))*J46))))))),2)</f>
        <v>6004.59</v>
      </c>
      <c r="L47" s="126">
        <f>ROUND((K47-I47)/I47,3)</f>
        <v>0</v>
      </c>
      <c r="M47" s="605"/>
      <c r="N47" s="609">
        <f>$G41+ROUND(IF($F41&lt;$E41,($F41*M41),IF($F41&lt;SUM($E41:$E42),(($E41*M41)+(($F41-$E41)*M42)),IF($F41&lt;SUM($E41:$E43),(($E41*M41)+($E42*M42)+(($F41-$E41-$E42)*M43)),IF($F41&lt;SUM($E41:$E44),(($E41*M41)+($E42*M42)+($E43*M43)+(($F41-SUM($E41:$E43))*M44)),IF($F41&lt;SUM($E41:$E45),(($E41*M41)+($E42*M42)+($E43*M43)+($E44*M44)+(($F41-SUM($E41:$E44))*M45)),(($E41*M41)+($E42*M42)+($E43*M43)+($E44*M43)+($E45*M45)+(($F41-SUM($E41:$E45))*M46))))))),2)</f>
        <v>6005.4</v>
      </c>
      <c r="O47" s="126">
        <f>ROUND((N47-I47)/I47,3)</f>
        <v>0</v>
      </c>
      <c r="P47" s="658"/>
      <c r="Q47" s="609">
        <f>$G41+ROUND(IF($F41&lt;$E41,($F41*P41),IF($F41&lt;SUM($E41:$E42),(($E41*P41)+(($F41-$E41)*P42)),IF($F41&lt;SUM($E41:$E43),(($E41*P41)+($E42*P42)+(($F41-$E41-$E42)*P43)),IF($F41&lt;SUM($E41:$E44),(($E41*P41)+($E42*P42)+($E43*P43)+(($F41-SUM($E41:$E43))*P44)),IF($F41&lt;SUM($E41:$E45),(($E41*P41)+($E42*P42)+($E43*P43)+($E44*P44)+(($F41-SUM($E41:$E44))*P45)),(($E41*P41)+($E42*P42)+($E43*P43)+($E44*P43)+($E45*P45)+(($F41-SUM($E41:$E45))*P46))))))),2)</f>
        <v>6000.54</v>
      </c>
      <c r="R47" s="126">
        <f t="shared" si="11"/>
        <v>-6.7448401972494069E-4</v>
      </c>
      <c r="S47" s="658"/>
      <c r="T47" s="609">
        <f>$G41+ROUND(IF($F41&lt;$E41,($F41*S41),IF($F41&lt;SUM($E41:$E42),(($E41*S41)+(($F41-$E41)*S42)),IF($F41&lt;SUM($E41:$E43),(($E41*S41)+($E42*S42)+(($F41-$E41-$E42)*S43)),IF($F41&lt;SUM($E41:$E44),(($E41*S41)+($E42*S42)+($E43*S43)+(($F41-SUM($E41:$E43))*S44)),IF($F41&lt;SUM($E41:$E45),(($E41*S41)+($E42*S42)+($E43*S43)+($E44*S44)+(($F41-SUM($E41:$E44))*S45)),(($E41*S41)+($E42*S42)+($E43*S43)+($E44*S43)+($E45*S45)+(($F41-SUM($E41:$E45))*S46))))))),2)</f>
        <v>5194.71</v>
      </c>
      <c r="U47" s="126">
        <f t="shared" si="12"/>
        <v>-0.13500000000000001</v>
      </c>
      <c r="V47" s="605"/>
      <c r="W47" s="609">
        <f>$G41+ROUND(IF($F41&lt;$E41,($F41*V41),IF($F41&lt;SUM($E41:$E42),(($E41*V41)+(($F41-$E41)*V42)),IF($F41&lt;SUM($E41:$E43),(($E41*V41)+($E42*V42)+(($F41-$E41-$E42)*V43)),IF($F41&lt;SUM($E41:$E44),(($E41*V41)+($E42*V42)+($E43*V43)+(($F41-SUM($E41:$E43))*V44)),IF($F41&lt;SUM($E41:$E45),(($E41*V41)+($E42*V42)+($E43*V43)+($E44*V44)+(($F41-SUM($E41:$E44))*V45)),(($E41*V41)+($E42*V42)+($E43*V43)+($E44*V43)+($E45*V45)+(($F41-SUM($E41:$E45))*V46))))))),2)</f>
        <v>5191.4699999999993</v>
      </c>
      <c r="X47" s="126">
        <f>ROUND((W47-I47)/I47,3)</f>
        <v>-0.13500000000000001</v>
      </c>
      <c r="Y47" s="549"/>
      <c r="AA47" s="549"/>
      <c r="AB47" s="549"/>
    </row>
    <row r="48" spans="1:28" x14ac:dyDescent="0.25">
      <c r="A48" s="43">
        <f t="shared" si="0"/>
        <v>42</v>
      </c>
      <c r="B48" s="69" t="s">
        <v>165</v>
      </c>
      <c r="C48" s="18" t="s">
        <v>6</v>
      </c>
      <c r="D48" s="70">
        <f>+'Washington volumes'!J41</f>
        <v>1313594</v>
      </c>
      <c r="E48" s="70">
        <v>10000</v>
      </c>
      <c r="F48" s="120">
        <f>+'Washington volumes'!M41</f>
        <v>41245</v>
      </c>
      <c r="G48" s="613">
        <f>1300+250</f>
        <v>1550</v>
      </c>
      <c r="H48" s="230">
        <f>+'Rates in summary'!D41</f>
        <v>0.11817999999999999</v>
      </c>
      <c r="I48" s="231"/>
      <c r="J48" s="230">
        <f>'Rates in summary'!D41+Temporaries!K41-Temporaries!AZ41</f>
        <v>0.11817999999999999</v>
      </c>
      <c r="K48" s="231"/>
      <c r="L48" s="569"/>
      <c r="M48" s="230">
        <f>'Rates in summary'!D41+Temporaries!L41+Temporaries!V41-Temporaries!BA41</f>
        <v>0.11817999999999999</v>
      </c>
      <c r="N48" s="231"/>
      <c r="O48" s="569"/>
      <c r="P48" s="657">
        <f>'Rates in summary'!D41+Temporaries!W41-Temporaries!BC41</f>
        <v>0.11795</v>
      </c>
      <c r="Q48" s="231"/>
      <c r="R48" s="569"/>
      <c r="S48" s="657">
        <f>'Rates in summary'!G41+'Rates in summary'!P41+Temporaries!J41</f>
        <v>0.11817999999999999</v>
      </c>
      <c r="T48" s="231"/>
      <c r="U48" s="569"/>
      <c r="V48" s="230">
        <f>+'Rates in summary'!Q41</f>
        <v>0.11795</v>
      </c>
      <c r="W48" s="231"/>
      <c r="X48" s="121"/>
      <c r="Y48" s="560"/>
    </row>
    <row r="49" spans="1:28" x14ac:dyDescent="0.25">
      <c r="A49" s="43">
        <f t="shared" si="0"/>
        <v>43</v>
      </c>
      <c r="B49" s="69"/>
      <c r="C49" s="18" t="s">
        <v>7</v>
      </c>
      <c r="D49" s="70">
        <f>+'Washington volumes'!J42</f>
        <v>1609433</v>
      </c>
      <c r="E49" s="70">
        <v>20000</v>
      </c>
      <c r="F49" s="120"/>
      <c r="G49" s="613"/>
      <c r="H49" s="230">
        <f>+'Rates in summary'!D42</f>
        <v>0.10579</v>
      </c>
      <c r="I49" s="231"/>
      <c r="J49" s="230">
        <f>'Rates in summary'!D42+Temporaries!K42-Temporaries!AZ42</f>
        <v>0.10579</v>
      </c>
      <c r="K49" s="231"/>
      <c r="L49" s="569"/>
      <c r="M49" s="230">
        <f>'Rates in summary'!D42+Temporaries!L42+Temporaries!V42-Temporaries!BA42</f>
        <v>0.10579</v>
      </c>
      <c r="N49" s="231"/>
      <c r="O49" s="569"/>
      <c r="P49" s="657">
        <f>'Rates in summary'!D42+Temporaries!W42-Temporaries!BC42</f>
        <v>0.10557999999999999</v>
      </c>
      <c r="Q49" s="231"/>
      <c r="R49" s="569"/>
      <c r="S49" s="657">
        <f>'Rates in summary'!G42+'Rates in summary'!P42+Temporaries!J42</f>
        <v>0.10579</v>
      </c>
      <c r="T49" s="231"/>
      <c r="U49" s="569"/>
      <c r="V49" s="230">
        <f>+'Rates in summary'!Q42</f>
        <v>0.10557999999999999</v>
      </c>
      <c r="W49" s="231"/>
      <c r="X49" s="121"/>
      <c r="Y49" s="560"/>
    </row>
    <row r="50" spans="1:28" x14ac:dyDescent="0.25">
      <c r="A50" s="43">
        <f t="shared" si="0"/>
        <v>44</v>
      </c>
      <c r="B50" s="69"/>
      <c r="C50" s="18" t="s">
        <v>8</v>
      </c>
      <c r="D50" s="70">
        <f>+'Washington volumes'!J43</f>
        <v>1138813</v>
      </c>
      <c r="E50" s="70">
        <v>20000</v>
      </c>
      <c r="F50" s="120"/>
      <c r="G50" s="613"/>
      <c r="H50" s="230">
        <f>+'Rates in summary'!D43</f>
        <v>8.1119999999999998E-2</v>
      </c>
      <c r="I50" s="231"/>
      <c r="J50" s="230">
        <f>'Rates in summary'!D43+Temporaries!K43-Temporaries!AZ43</f>
        <v>8.1119999999999998E-2</v>
      </c>
      <c r="K50" s="231"/>
      <c r="L50" s="569"/>
      <c r="M50" s="230">
        <f>'Rates in summary'!D43+Temporaries!L43+Temporaries!V43-Temporaries!BA43</f>
        <v>8.1119999999999998E-2</v>
      </c>
      <c r="N50" s="231"/>
      <c r="O50" s="569"/>
      <c r="P50" s="657">
        <f>'Rates in summary'!D43+Temporaries!W43-Temporaries!BC43</f>
        <v>8.0960000000000004E-2</v>
      </c>
      <c r="Q50" s="231"/>
      <c r="R50" s="569"/>
      <c r="S50" s="657">
        <f>'Rates in summary'!G43+'Rates in summary'!P43+Temporaries!J43</f>
        <v>8.1119999999999998E-2</v>
      </c>
      <c r="T50" s="231"/>
      <c r="U50" s="569"/>
      <c r="V50" s="230">
        <f>+'Rates in summary'!Q43</f>
        <v>8.0960000000000004E-2</v>
      </c>
      <c r="W50" s="231"/>
      <c r="X50" s="121"/>
      <c r="Y50" s="19"/>
    </row>
    <row r="51" spans="1:28" x14ac:dyDescent="0.25">
      <c r="A51" s="43">
        <f t="shared" si="0"/>
        <v>45</v>
      </c>
      <c r="B51" s="69"/>
      <c r="C51" s="18" t="s">
        <v>9</v>
      </c>
      <c r="D51" s="70">
        <f>+'Washington volumes'!J44</f>
        <v>1522236</v>
      </c>
      <c r="E51" s="70">
        <v>100000</v>
      </c>
      <c r="F51" s="120"/>
      <c r="G51" s="613"/>
      <c r="H51" s="230">
        <f>+'Rates in summary'!D44</f>
        <v>6.4899999999999999E-2</v>
      </c>
      <c r="I51" s="231"/>
      <c r="J51" s="230">
        <f>'Rates in summary'!D44+Temporaries!K44-Temporaries!AZ44</f>
        <v>6.4899999999999999E-2</v>
      </c>
      <c r="K51" s="231"/>
      <c r="L51" s="569"/>
      <c r="M51" s="230">
        <f>'Rates in summary'!D44+Temporaries!L44+Temporaries!V44-Temporaries!BA44</f>
        <v>6.4899999999999999E-2</v>
      </c>
      <c r="N51" s="231"/>
      <c r="O51" s="569"/>
      <c r="P51" s="657">
        <f>'Rates in summary'!D44+Temporaries!W44-Temporaries!BC44</f>
        <v>6.4769999999999994E-2</v>
      </c>
      <c r="Q51" s="231"/>
      <c r="R51" s="569"/>
      <c r="S51" s="657">
        <f>'Rates in summary'!G44+'Rates in summary'!P44+Temporaries!J44</f>
        <v>6.4899999999999999E-2</v>
      </c>
      <c r="T51" s="231"/>
      <c r="U51" s="569"/>
      <c r="V51" s="230">
        <f>+'Rates in summary'!Q44</f>
        <v>6.4769999999999994E-2</v>
      </c>
      <c r="W51" s="231"/>
      <c r="X51" s="121"/>
      <c r="Y51" s="19"/>
      <c r="Z51" s="19"/>
    </row>
    <row r="52" spans="1:28" x14ac:dyDescent="0.25">
      <c r="A52" s="43">
        <f t="shared" si="0"/>
        <v>46</v>
      </c>
      <c r="B52" s="69"/>
      <c r="C52" s="18" t="s">
        <v>10</v>
      </c>
      <c r="D52" s="70">
        <f>+'Washington volumes'!J45</f>
        <v>355242</v>
      </c>
      <c r="E52" s="70">
        <v>600000</v>
      </c>
      <c r="F52" s="120"/>
      <c r="G52" s="613"/>
      <c r="H52" s="230">
        <f>+'Rates in summary'!D45</f>
        <v>4.3270000000000003E-2</v>
      </c>
      <c r="I52" s="231"/>
      <c r="J52" s="230">
        <f>'Rates in summary'!D45+Temporaries!K45-Temporaries!AZ45</f>
        <v>4.3270000000000003E-2</v>
      </c>
      <c r="K52" s="231"/>
      <c r="L52" s="569"/>
      <c r="M52" s="230">
        <f>'Rates in summary'!D45+Temporaries!L45+Temporaries!V45-Temporaries!BA45</f>
        <v>4.3270000000000003E-2</v>
      </c>
      <c r="N52" s="231"/>
      <c r="O52" s="569"/>
      <c r="P52" s="657">
        <f>'Rates in summary'!D45+Temporaries!W45-Temporaries!BC45</f>
        <v>4.3180000000000003E-2</v>
      </c>
      <c r="Q52" s="231"/>
      <c r="R52" s="569"/>
      <c r="S52" s="657">
        <f>'Rates in summary'!G45+'Rates in summary'!P45+Temporaries!J45</f>
        <v>4.3270000000000003E-2</v>
      </c>
      <c r="T52" s="231"/>
      <c r="U52" s="569"/>
      <c r="V52" s="230">
        <f>+'Rates in summary'!Q45</f>
        <v>4.3180000000000003E-2</v>
      </c>
      <c r="W52" s="231"/>
      <c r="X52" s="121"/>
    </row>
    <row r="53" spans="1:28" x14ac:dyDescent="0.25">
      <c r="A53" s="43">
        <f t="shared" si="0"/>
        <v>47</v>
      </c>
      <c r="B53" s="69"/>
      <c r="C53" s="18" t="s">
        <v>11</v>
      </c>
      <c r="D53" s="70">
        <f>+'Washington volumes'!J46</f>
        <v>0</v>
      </c>
      <c r="E53" s="119" t="s">
        <v>201</v>
      </c>
      <c r="F53" s="120"/>
      <c r="G53" s="613"/>
      <c r="H53" s="230">
        <f>+'Rates in summary'!D46</f>
        <v>1.6219999999999998E-2</v>
      </c>
      <c r="I53" s="231"/>
      <c r="J53" s="230">
        <f>'Rates in summary'!D46+Temporaries!K46-Temporaries!AZ46</f>
        <v>1.6219999999999998E-2</v>
      </c>
      <c r="K53" s="231"/>
      <c r="L53" s="569"/>
      <c r="M53" s="230">
        <f>'Rates in summary'!D46+Temporaries!L46+Temporaries!V46-Temporaries!BA46</f>
        <v>1.6219999999999998E-2</v>
      </c>
      <c r="N53" s="231"/>
      <c r="O53" s="569"/>
      <c r="P53" s="657">
        <f>'Rates in summary'!D46+Temporaries!W46-Temporaries!BC46</f>
        <v>1.619E-2</v>
      </c>
      <c r="Q53" s="231"/>
      <c r="R53" s="569"/>
      <c r="S53" s="657">
        <f>'Rates in summary'!G46+'Rates in summary'!P46+Temporaries!J46</f>
        <v>1.6219999999999998E-2</v>
      </c>
      <c r="T53" s="231"/>
      <c r="U53" s="569"/>
      <c r="V53" s="230">
        <f>+'Rates in summary'!Q46</f>
        <v>1.619E-2</v>
      </c>
      <c r="W53" s="231"/>
      <c r="X53" s="121"/>
    </row>
    <row r="54" spans="1:28" x14ac:dyDescent="0.25">
      <c r="A54" s="43">
        <f t="shared" si="0"/>
        <v>48</v>
      </c>
      <c r="B54" s="74"/>
      <c r="C54" s="122" t="s">
        <v>205</v>
      </c>
      <c r="D54" s="123"/>
      <c r="E54" s="124"/>
      <c r="F54" s="125"/>
      <c r="G54" s="614"/>
      <c r="H54" s="605"/>
      <c r="I54" s="609">
        <f>$G48+ROUND(IF($F48&lt;$E48,($F48*H48),IF($F48&lt;SUM($E48:$E49),(($E48*H48)+(($F48-$E48)*H49)),IF($F48&lt;SUM($E48:$E50),(($E48*H48)+($E49*H49)+(($F48-$E48-$E49)*H50)),IF($F48&lt;SUM($E48:$E51),(($E48*H48)+($E49*H49)+($E50*H50)+(($F48-SUM($E48:$E50))*H51)),IF($F48&lt;SUM($E48:$E52),(($E48*H48)+($E49*H49)+($E50*H50)+($E51*H51)+(($F48-SUM($E48:$E51))*H52)),(($E48*H48)+($E49*H49)+($E50*H50)+($E51*H50)+($E52*H52)+(($F48-SUM($E48:$E52))*H53))))))),2)</f>
        <v>5759.79</v>
      </c>
      <c r="J54" s="605"/>
      <c r="K54" s="609">
        <f>$G48+ROUND(IF($F48&lt;$E48,($F48*J48),IF($F48&lt;SUM($E48:$E49),(($E48*J48)+(($F48-$E48)*J49)),IF($F48&lt;SUM($E48:$E50),(($E48*J48)+($E49*J49)+(($F48-$E48-$E49)*J50)),IF($F48&lt;SUM($E48:$E51),(($E48*J48)+($E49*J49)+($E50*J50)+(($F48-SUM($E48:$E50))*J51)),IF($F48&lt;SUM($E48:$E52),(($E48*J48)+($E49*J49)+($E50*J50)+($E51*J51)+(($F48-SUM($E48:$E51))*J52)),(($E48*J48)+($E49*J49)+($E50*J50)+($E51*J50)+($E52*J52)+(($F48-SUM($E48:$E52))*J53))))))),2)</f>
        <v>5759.79</v>
      </c>
      <c r="L54" s="126">
        <f>ROUND((K54-I54)/I54,3)</f>
        <v>0</v>
      </c>
      <c r="M54" s="605"/>
      <c r="N54" s="609">
        <f>$G48+ROUND(IF($F48&lt;$E48,($F48*M48),IF($F48&lt;SUM($E48:$E49),(($E48*M48)+(($F48-$E48)*M49)),IF($F48&lt;SUM($E48:$E50),(($E48*M48)+($E49*M49)+(($F48-$E48-$E49)*M50)),IF($F48&lt;SUM($E48:$E51),(($E48*M48)+($E49*M49)+($E50*M50)+(($F48-SUM($E48:$E50))*M51)),IF($F48&lt;SUM($E48:$E52),(($E48*M48)+($E49*M49)+($E50*M50)+($E51*M51)+(($F48-SUM($E48:$E51))*M52)),(($E48*M48)+($E49*M49)+($E50*M50)+($E51*M50)+($E52*M52)+(($F48-SUM($E48:$E52))*M53))))))),2)</f>
        <v>5759.79</v>
      </c>
      <c r="O54" s="126">
        <f>ROUND((N54-I54)/I54,3)</f>
        <v>0</v>
      </c>
      <c r="P54" s="658"/>
      <c r="Q54" s="609">
        <f>$G48+ROUND(IF($F48&lt;$E48,($F48*P48),IF($F48&lt;SUM($E48:$E49),(($E48*P48)+(($F48-$E48)*P49)),IF($F48&lt;SUM($E48:$E50),(($E48*P48)+($E49*P49)+(($F48-$E48-$E49)*P50)),IF($F48&lt;SUM($E48:$E51),(($E48*P48)+($E49*P49)+($E50*P50)+(($F48-SUM($E48:$E50))*P51)),IF($F48&lt;SUM($E48:$E52),(($E48*P48)+($E49*P49)+($E50*P50)+($E51*P51)+(($F48-SUM($E48:$E51))*P52)),(($E48*P48)+($E49*P49)+($E50*P50)+($E51*P50)+($E52*P52)+(($F48-SUM($E48:$E52))*P53))))))),2)</f>
        <v>5751.5</v>
      </c>
      <c r="R54" s="126">
        <f t="shared" si="11"/>
        <v>-1.4392885851741059E-3</v>
      </c>
      <c r="S54" s="658"/>
      <c r="T54" s="609">
        <f>$G48+ROUND(IF($F48&lt;$E48,($F48*S48),IF($F48&lt;SUM($E48:$E49),(($E48*S48)+(($F48-$E48)*S49)),IF($F48&lt;SUM($E48:$E50),(($E48*S48)+($E49*S49)+(($F48-$E48-$E49)*S50)),IF($F48&lt;SUM($E48:$E51),(($E48*S48)+($E49*S49)+($E50*S50)+(($F48-SUM($E48:$E50))*S51)),IF($F48&lt;SUM($E48:$E52),(($E48*S48)+($E49*S49)+($E50*S50)+($E51*S51)+(($F48-SUM($E48:$E51))*S52)),(($E48*S48)+($E49*S49)+($E50*S50)+($E51*S50)+($E52*S52)+(($F48-SUM($E48:$E52))*S53))))))),2)</f>
        <v>5759.79</v>
      </c>
      <c r="U54" s="126">
        <f t="shared" si="12"/>
        <v>0</v>
      </c>
      <c r="V54" s="605"/>
      <c r="W54" s="609">
        <f>$G48+ROUND(IF($F48&lt;$E48,($F48*V48),IF($F48&lt;SUM($E48:$E49),(($E48*V48)+(($F48-$E48)*V49)),IF($F48&lt;SUM($E48:$E50),(($E48*V48)+($E49*V49)+(($F48-$E48-$E49)*V50)),IF($F48&lt;SUM($E48:$E51),(($E48*V48)+($E49*V49)+($E50*V50)+(($F48-SUM($E48:$E50))*V51)),IF($F48&lt;SUM($E48:$E52),(($E48*V48)+($E49*V49)+($E50*V50)+($E51*V51)+(($F48-SUM($E48:$E51))*V52)),(($E48*V48)+($E49*V49)+($E50*V50)+($E51*V50)+($E52*V52)+(($F48-SUM($E48:$E52))*V53))))))),2)</f>
        <v>5751.5</v>
      </c>
      <c r="X54" s="126">
        <f>ROUND((W54-I54)/I54,3)</f>
        <v>-1E-3</v>
      </c>
      <c r="Y54" s="549"/>
      <c r="AA54" s="549"/>
      <c r="AB54" s="549"/>
    </row>
    <row r="55" spans="1:28" x14ac:dyDescent="0.25">
      <c r="A55" s="43">
        <f t="shared" si="0"/>
        <v>49</v>
      </c>
      <c r="B55" s="69" t="s">
        <v>369</v>
      </c>
      <c r="C55" s="18" t="s">
        <v>6</v>
      </c>
      <c r="D55" s="70">
        <f>+'Washington volumes'!J47</f>
        <v>250151</v>
      </c>
      <c r="E55" s="70">
        <v>10000</v>
      </c>
      <c r="F55" s="120">
        <f>+'Washington volumes'!M47</f>
        <v>28810</v>
      </c>
      <c r="G55" s="613">
        <v>1300</v>
      </c>
      <c r="H55" s="230">
        <f>+'Rates in summary'!D47</f>
        <v>0.38132999999999995</v>
      </c>
      <c r="I55" s="231"/>
      <c r="J55" s="230">
        <f>'Rates in summary'!D47+Temporaries!K47-Temporaries!AZ47</f>
        <v>0.38462999999999992</v>
      </c>
      <c r="K55" s="231"/>
      <c r="L55" s="569"/>
      <c r="M55" s="230">
        <f>'Rates in summary'!D47+Temporaries!L47+Temporaries!V47-Temporaries!BA47</f>
        <v>0.38183999999999996</v>
      </c>
      <c r="N55" s="231"/>
      <c r="O55" s="569"/>
      <c r="P55" s="657">
        <f>'Rates in summary'!D47+Temporaries!W47-Temporaries!BC47</f>
        <v>0.38108999999999993</v>
      </c>
      <c r="Q55" s="231"/>
      <c r="R55" s="569"/>
      <c r="S55" s="657">
        <f>'Rates in summary'!G47+'Rates in summary'!P47+Temporaries!J47</f>
        <v>0.31540999999999997</v>
      </c>
      <c r="T55" s="231"/>
      <c r="U55" s="569"/>
      <c r="V55" s="230">
        <f>+'Rates in summary'!Q47</f>
        <v>0.31897999999999999</v>
      </c>
      <c r="W55" s="231"/>
      <c r="X55" s="425"/>
      <c r="Y55" s="560"/>
    </row>
    <row r="56" spans="1:28" x14ac:dyDescent="0.25">
      <c r="A56" s="43">
        <f t="shared" si="0"/>
        <v>50</v>
      </c>
      <c r="B56" s="69"/>
      <c r="C56" s="18" t="s">
        <v>7</v>
      </c>
      <c r="D56" s="70">
        <f>+'Washington volumes'!J48</f>
        <v>486821</v>
      </c>
      <c r="E56" s="70">
        <v>20000</v>
      </c>
      <c r="F56" s="177"/>
      <c r="G56" s="615"/>
      <c r="H56" s="230">
        <f>+'Rates in summary'!D48</f>
        <v>0.3679599999999999</v>
      </c>
      <c r="I56" s="231"/>
      <c r="J56" s="230">
        <f>'Rates in summary'!D48+Temporaries!K48-Temporaries!AZ48</f>
        <v>0.37090999999999985</v>
      </c>
      <c r="K56" s="231"/>
      <c r="L56" s="569"/>
      <c r="M56" s="230">
        <f>'Rates in summary'!D48+Temporaries!L48+Temporaries!V48-Temporaries!BA48</f>
        <v>0.3684099999999999</v>
      </c>
      <c r="N56" s="231"/>
      <c r="O56" s="569"/>
      <c r="P56" s="657">
        <f>'Rates in summary'!D48+Temporaries!W48-Temporaries!BC48</f>
        <v>0.36774999999999991</v>
      </c>
      <c r="Q56" s="231"/>
      <c r="R56" s="569"/>
      <c r="S56" s="657">
        <f>'Rates in summary'!G48+'Rates in summary'!P48+Temporaries!J48</f>
        <v>0.30203999999999986</v>
      </c>
      <c r="T56" s="231"/>
      <c r="U56" s="569"/>
      <c r="V56" s="230">
        <f>+'Rates in summary'!Q48</f>
        <v>0.30522999999999989</v>
      </c>
      <c r="W56" s="231"/>
      <c r="X56" s="425"/>
      <c r="Y56" s="560"/>
    </row>
    <row r="57" spans="1:28" x14ac:dyDescent="0.25">
      <c r="A57" s="43">
        <f t="shared" si="0"/>
        <v>51</v>
      </c>
      <c r="B57" s="69"/>
      <c r="C57" s="18" t="s">
        <v>8</v>
      </c>
      <c r="D57" s="70">
        <f>+'Washington volumes'!J49</f>
        <v>246036</v>
      </c>
      <c r="E57" s="70">
        <v>20000</v>
      </c>
      <c r="F57" s="177"/>
      <c r="G57" s="615"/>
      <c r="H57" s="230">
        <f>+'Rates in summary'!D49</f>
        <v>0.34134000000000014</v>
      </c>
      <c r="I57" s="231"/>
      <c r="J57" s="230">
        <f>'Rates in summary'!D49+Temporaries!K49-Temporaries!AZ49</f>
        <v>0.34360000000000013</v>
      </c>
      <c r="K57" s="231"/>
      <c r="L57" s="569"/>
      <c r="M57" s="230">
        <f>'Rates in summary'!D49+Temporaries!L49+Temporaries!V49-Temporaries!BA49</f>
        <v>0.3416900000000001</v>
      </c>
      <c r="N57" s="231"/>
      <c r="O57" s="569"/>
      <c r="P57" s="657">
        <f>'Rates in summary'!D49+Temporaries!W49-Temporaries!BC49</f>
        <v>0.34118000000000015</v>
      </c>
      <c r="Q57" s="231"/>
      <c r="R57" s="569"/>
      <c r="S57" s="657">
        <f>'Rates in summary'!G49+'Rates in summary'!P49+Temporaries!J49</f>
        <v>0.27542000000000011</v>
      </c>
      <c r="T57" s="231"/>
      <c r="U57" s="569"/>
      <c r="V57" s="230">
        <f>+'Rates in summary'!Q49</f>
        <v>0.27787000000000012</v>
      </c>
      <c r="W57" s="231"/>
      <c r="X57" s="425"/>
      <c r="Y57" s="19"/>
    </row>
    <row r="58" spans="1:28" x14ac:dyDescent="0.25">
      <c r="A58" s="43">
        <f t="shared" si="0"/>
        <v>52</v>
      </c>
      <c r="B58" s="69"/>
      <c r="C58" s="18" t="s">
        <v>9</v>
      </c>
      <c r="D58" s="70">
        <f>+'Washington volumes'!J50</f>
        <v>54140</v>
      </c>
      <c r="E58" s="70">
        <v>100000</v>
      </c>
      <c r="F58" s="177"/>
      <c r="G58" s="615"/>
      <c r="H58" s="230">
        <f>+'Rates in summary'!D50</f>
        <v>0.32383999999999996</v>
      </c>
      <c r="I58" s="231"/>
      <c r="J58" s="230">
        <f>'Rates in summary'!D50+Temporaries!K50-Temporaries!AZ50</f>
        <v>0.32565</v>
      </c>
      <c r="K58" s="231"/>
      <c r="L58" s="569"/>
      <c r="M58" s="230">
        <f>'Rates in summary'!D50+Temporaries!L50+Temporaries!V50-Temporaries!BA50</f>
        <v>0.32411999999999996</v>
      </c>
      <c r="N58" s="231"/>
      <c r="O58" s="569"/>
      <c r="P58" s="657">
        <f>'Rates in summary'!D50+Temporaries!W50-Temporaries!BC50</f>
        <v>0.32370999999999994</v>
      </c>
      <c r="Q58" s="231"/>
      <c r="R58" s="569"/>
      <c r="S58" s="657">
        <f>'Rates in summary'!G50+'Rates in summary'!P50+Temporaries!J50</f>
        <v>0.25791999999999993</v>
      </c>
      <c r="T58" s="231"/>
      <c r="U58" s="569"/>
      <c r="V58" s="230">
        <f>+'Rates in summary'!Q50</f>
        <v>0.25987999999999994</v>
      </c>
      <c r="W58" s="231"/>
      <c r="X58" s="425"/>
      <c r="Y58" s="19"/>
      <c r="Z58" s="19"/>
    </row>
    <row r="59" spans="1:28" x14ac:dyDescent="0.25">
      <c r="A59" s="43">
        <f t="shared" si="0"/>
        <v>53</v>
      </c>
      <c r="B59" s="69"/>
      <c r="C59" s="18" t="s">
        <v>10</v>
      </c>
      <c r="D59" s="70">
        <f>+'Washington volumes'!J51</f>
        <v>0</v>
      </c>
      <c r="E59" s="70">
        <v>600000</v>
      </c>
      <c r="F59" s="177"/>
      <c r="G59" s="615"/>
      <c r="H59" s="230">
        <f>+'Rates in summary'!D51</f>
        <v>0.30050000000000004</v>
      </c>
      <c r="I59" s="231"/>
      <c r="J59" s="230">
        <f>'Rates in summary'!D51+Temporaries!K51-Temporaries!AZ51</f>
        <v>0.30171000000000003</v>
      </c>
      <c r="K59" s="231"/>
      <c r="L59" s="569"/>
      <c r="M59" s="230">
        <f>'Rates in summary'!D51+Temporaries!L51+Temporaries!V51-Temporaries!BA51</f>
        <v>0.30068</v>
      </c>
      <c r="N59" s="231"/>
      <c r="O59" s="569"/>
      <c r="P59" s="657">
        <f>'Rates in summary'!D51+Temporaries!W51-Temporaries!BC51</f>
        <v>0.30041000000000007</v>
      </c>
      <c r="Q59" s="231"/>
      <c r="R59" s="569"/>
      <c r="S59" s="657">
        <f>'Rates in summary'!G51+'Rates in summary'!P51+Temporaries!J51</f>
        <v>0.23458000000000001</v>
      </c>
      <c r="T59" s="231"/>
      <c r="U59" s="569"/>
      <c r="V59" s="230">
        <f>+'Rates in summary'!Q51</f>
        <v>0.23588000000000003</v>
      </c>
      <c r="W59" s="231"/>
      <c r="X59" s="425"/>
    </row>
    <row r="60" spans="1:28" x14ac:dyDescent="0.25">
      <c r="A60" s="43">
        <f t="shared" si="0"/>
        <v>54</v>
      </c>
      <c r="B60" s="69"/>
      <c r="C60" s="18" t="s">
        <v>11</v>
      </c>
      <c r="D60" s="70">
        <f>+'Washington volumes'!J52</f>
        <v>0</v>
      </c>
      <c r="E60" s="119" t="s">
        <v>201</v>
      </c>
      <c r="F60" s="177"/>
      <c r="G60" s="615"/>
      <c r="H60" s="230">
        <f>+'Rates in summary'!D52</f>
        <v>0.27133999999999991</v>
      </c>
      <c r="I60" s="231"/>
      <c r="J60" s="230">
        <f>'Rates in summary'!D52+Temporaries!K52-Temporaries!AZ52</f>
        <v>0.27178999999999992</v>
      </c>
      <c r="K60" s="231"/>
      <c r="L60" s="569"/>
      <c r="M60" s="230">
        <f>'Rates in summary'!D52+Temporaries!L52+Temporaries!V52-Temporaries!BA52</f>
        <v>0.27139999999999992</v>
      </c>
      <c r="N60" s="231"/>
      <c r="O60" s="569"/>
      <c r="P60" s="657">
        <f>'Rates in summary'!D52+Temporaries!W52-Temporaries!BC52</f>
        <v>0.27130999999999994</v>
      </c>
      <c r="Q60" s="231"/>
      <c r="R60" s="569"/>
      <c r="S60" s="657">
        <f>'Rates in summary'!G52+'Rates in summary'!P52+Temporaries!J52</f>
        <v>0.20541999999999991</v>
      </c>
      <c r="T60" s="231"/>
      <c r="U60" s="569"/>
      <c r="V60" s="230">
        <f>+'Rates in summary'!Q52</f>
        <v>0.20589999999999992</v>
      </c>
      <c r="W60" s="231"/>
      <c r="X60" s="425"/>
    </row>
    <row r="61" spans="1:28" x14ac:dyDescent="0.25">
      <c r="A61" s="43">
        <f t="shared" si="0"/>
        <v>55</v>
      </c>
      <c r="B61" s="74"/>
      <c r="C61" s="122" t="s">
        <v>205</v>
      </c>
      <c r="D61" s="123"/>
      <c r="E61" s="124"/>
      <c r="F61" s="125"/>
      <c r="G61" s="614"/>
      <c r="H61" s="605"/>
      <c r="I61" s="609">
        <f>$G55+ROUND(IF($F55&lt;$E55,($F55*H55),IF($F55&lt;SUM($E55:$E56),(($E55*H55)+(($F55-$E55)*H56)),IF($F55&lt;SUM($E55:$E57),(($E55*H55)+($E56*H56)+(($F55-$E55-$E56)*H57)),IF($F55&lt;SUM($E55:$E58),(($E55*H55)+($E56*H56)+($E57*H57)+(($F55-SUM($E55:$E57))*H58)),IF($F55&lt;SUM($E55:$E59),(($E55*H55)+($E56*H56)+($E57*H57)+($E58*H58)+(($F55-SUM($E55:$E58))*H59)),(($E55*H55)+($E56*H56)+($E57*H57)+($E58*H57)+($E59*H59)+(($F55-SUM($E55:$E59))*H60))))))),2)</f>
        <v>12034.63</v>
      </c>
      <c r="J61" s="605"/>
      <c r="K61" s="609">
        <f>$G55+ROUND(IF($F55&lt;$E55,($F55*J55),IF($F55&lt;SUM($E55:$E56),(($E55*J55)+(($F55-$E55)*J56)),IF($F55&lt;SUM($E55:$E57),(($E55*J55)+($E56*J56)+(($F55-$E55-$E56)*J57)),IF($F55&lt;SUM($E55:$E58),(($E55*J55)+($E56*J56)+($E57*J57)+(($F55-SUM($E55:$E57))*J58)),IF($F55&lt;SUM($E55:$E59),(($E55*J55)+($E56*J56)+($E57*J57)+($E58*J58)+(($F55-SUM($E55:$E58))*J59)),(($E55*J55)+($E56*J56)+($E57*J57)+($E58*J57)+($E59*J59)+(($F55-SUM($E55:$E59))*J60))))))),2)</f>
        <v>12123.12</v>
      </c>
      <c r="L61" s="126">
        <f>ROUND((K61-I61)/I61,3)</f>
        <v>7.0000000000000001E-3</v>
      </c>
      <c r="M61" s="605"/>
      <c r="N61" s="609">
        <f>$G55+ROUND(IF($F55&lt;$E55,($F55*M55),IF($F55&lt;SUM($E55:$E56),(($E55*M55)+(($F55-$E55)*M56)),IF($F55&lt;SUM($E55:$E57),(($E55*M55)+($E56*M56)+(($F55-$E55-$E56)*M57)),IF($F55&lt;SUM($E55:$E58),(($E55*M55)+($E56*M56)+($E57*M57)+(($F55-SUM($E55:$E57))*M58)),IF($F55&lt;SUM($E55:$E59),(($E55*M55)+($E56*M56)+($E57*M57)+($E58*M58)+(($F55-SUM($E55:$E58))*M59)),(($E55*M55)+($E56*M56)+($E57*M57)+($E58*M57)+($E59*M59)+(($F55-SUM($E55:$E59))*M60))))))),2)</f>
        <v>12048.19</v>
      </c>
      <c r="O61" s="126">
        <f>ROUND((N61-I61)/I61,3)</f>
        <v>1E-3</v>
      </c>
      <c r="P61" s="658"/>
      <c r="Q61" s="609">
        <f>$G55+ROUND(IF($F55&lt;$E55,($F55*P55),IF($F55&lt;SUM($E55:$E56),(($E55*P55)+(($F55-$E55)*P56)),IF($F55&lt;SUM($E55:$E57),(($E55*P55)+($E56*P56)+(($F55-$E55-$E56)*P57)),IF($F55&lt;SUM($E55:$E58),(($E55*P55)+($E56*P56)+($E57*P57)+(($F55-SUM($E55:$E57))*P58)),IF($F55&lt;SUM($E55:$E59),(($E55*P55)+($E56*P56)+($E57*P57)+($E58*P58)+(($F55-SUM($E55:$E58))*P59)),(($E55*P55)+($E56*P56)+($E57*P57)+($E58*P57)+($E59*P59)+(($F55-SUM($E55:$E59))*P60))))))),2)</f>
        <v>12028.28</v>
      </c>
      <c r="R61" s="126">
        <f t="shared" si="11"/>
        <v>-5.276439740979611E-4</v>
      </c>
      <c r="S61" s="658"/>
      <c r="T61" s="609">
        <f>$G55+ROUND(IF($F55&lt;$E55,($F55*S55),IF($F55&lt;SUM($E55:$E56),(($E55*S55)+(($F55-$E55)*S56)),IF($F55&lt;SUM($E55:$E57),(($E55*S55)+($E56*S56)+(($F55-$E55-$E56)*S57)),IF($F55&lt;SUM($E55:$E58),(($E55*S55)+($E56*S56)+($E57*S57)+(($F55-SUM($E55:$E57))*S58)),IF($F55&lt;SUM($E55:$E59),(($E55*S55)+($E56*S56)+($E57*S57)+($E58*S58)+(($F55-SUM($E55:$E58))*S59)),(($E55*S55)+($E56*S56)+($E57*S57)+($E58*S57)+($E59*S59)+(($F55-SUM($E55:$E59))*S60))))))),2)</f>
        <v>10135.469999999999</v>
      </c>
      <c r="U61" s="126">
        <f t="shared" si="12"/>
        <v>-0.158</v>
      </c>
      <c r="V61" s="605"/>
      <c r="W61" s="609">
        <f>$G55+ROUND(IF($F55&lt;$E55,($F55*V55),IF($F55&lt;SUM($E55:$E56),(($E55*V55)+(($F55-$E55)*V56)),IF($F55&lt;SUM($E55:$E57),(($E55*V55)+($E56*V56)+(($F55-$E55-$E56)*V57)),IF($F55&lt;SUM($E55:$E58),(($E55*V55)+($E56*V56)+($E57*V57)+(($F55-SUM($E55:$E57))*V58)),IF($F55&lt;SUM($E55:$E59),(($E55*V55)+($E56*V56)+($E57*V57)+($E58*V58)+(($F55-SUM($E55:$E58))*V59)),(($E55*V55)+($E56*V56)+($E57*V57)+($E58*V57)+($E59*V59)+(($F55-SUM($E55:$E59))*V60))))))),2)</f>
        <v>10231.18</v>
      </c>
      <c r="X61" s="126">
        <f>ROUND((W61-I61)/I61,3)</f>
        <v>-0.15</v>
      </c>
      <c r="Y61" s="549"/>
      <c r="AA61" s="549"/>
      <c r="AB61" s="549"/>
    </row>
    <row r="62" spans="1:28" x14ac:dyDescent="0.25">
      <c r="A62" s="43">
        <f t="shared" si="0"/>
        <v>56</v>
      </c>
      <c r="B62" s="69" t="s">
        <v>370</v>
      </c>
      <c r="C62" s="18" t="s">
        <v>6</v>
      </c>
      <c r="D62" s="70">
        <f>+'Washington volumes'!J53</f>
        <v>179269</v>
      </c>
      <c r="E62" s="70">
        <v>10000</v>
      </c>
      <c r="F62" s="120">
        <f>+'Washington volumes'!M53</f>
        <v>13310</v>
      </c>
      <c r="G62" s="613">
        <v>1300</v>
      </c>
      <c r="H62" s="230">
        <f>+'Rates in summary'!D53</f>
        <v>0.37669999999999992</v>
      </c>
      <c r="I62" s="231"/>
      <c r="J62" s="230">
        <f>'Rates in summary'!D53+Temporaries!K53-Temporaries!AZ53</f>
        <v>0.37669999999999992</v>
      </c>
      <c r="K62" s="231"/>
      <c r="L62" s="569"/>
      <c r="M62" s="230">
        <f>'Rates in summary'!D53+Temporaries!L53+Temporaries!V53-Temporaries!BA53</f>
        <v>0.37509999999999988</v>
      </c>
      <c r="N62" s="231"/>
      <c r="O62" s="569"/>
      <c r="P62" s="657">
        <f>'Rates in summary'!D53+Temporaries!W53-Temporaries!BC53</f>
        <v>0.37638999999999995</v>
      </c>
      <c r="Q62" s="231"/>
      <c r="R62" s="569"/>
      <c r="S62" s="657">
        <f>'Rates in summary'!G53+'Rates in summary'!P53+Temporaries!J53</f>
        <v>0.31077999999999995</v>
      </c>
      <c r="T62" s="231"/>
      <c r="U62" s="569"/>
      <c r="V62" s="230">
        <f>+'Rates in summary'!Q53</f>
        <v>0.30886999999999998</v>
      </c>
      <c r="W62" s="231"/>
      <c r="X62" s="121"/>
      <c r="Y62" s="560"/>
      <c r="Z62" s="560"/>
    </row>
    <row r="63" spans="1:28" x14ac:dyDescent="0.25">
      <c r="A63" s="43">
        <f t="shared" si="0"/>
        <v>57</v>
      </c>
      <c r="B63" s="69"/>
      <c r="C63" s="18" t="s">
        <v>7</v>
      </c>
      <c r="D63" s="70">
        <f>+'Washington volumes'!J54</f>
        <v>140180</v>
      </c>
      <c r="E63" s="70">
        <v>20000</v>
      </c>
      <c r="F63" s="120"/>
      <c r="G63" s="613"/>
      <c r="H63" s="230">
        <f>+'Rates in summary'!D54</f>
        <v>0.36380999999999991</v>
      </c>
      <c r="I63" s="231"/>
      <c r="J63" s="230">
        <f>'Rates in summary'!D54+Temporaries!K54-Temporaries!AZ54</f>
        <v>0.36380999999999991</v>
      </c>
      <c r="K63" s="231"/>
      <c r="L63" s="569"/>
      <c r="M63" s="230">
        <f>'Rates in summary'!D54+Temporaries!L54+Temporaries!V54-Temporaries!BA54</f>
        <v>0.36237999999999987</v>
      </c>
      <c r="N63" s="231"/>
      <c r="O63" s="569"/>
      <c r="P63" s="657">
        <f>'Rates in summary'!D54+Temporaries!W54-Temporaries!BC54</f>
        <v>0.36352999999999991</v>
      </c>
      <c r="Q63" s="231"/>
      <c r="R63" s="569"/>
      <c r="S63" s="657">
        <f>'Rates in summary'!G54+'Rates in summary'!P54+Temporaries!J54</f>
        <v>0.29788999999999988</v>
      </c>
      <c r="T63" s="231"/>
      <c r="U63" s="569"/>
      <c r="V63" s="230">
        <f>+'Rates in summary'!Q54</f>
        <v>0.29617999999999989</v>
      </c>
      <c r="W63" s="231"/>
      <c r="X63" s="121"/>
      <c r="Y63" s="560"/>
      <c r="Z63" s="560"/>
    </row>
    <row r="64" spans="1:28" x14ac:dyDescent="0.25">
      <c r="A64" s="43">
        <f t="shared" si="0"/>
        <v>58</v>
      </c>
      <c r="B64" s="69"/>
      <c r="C64" s="18" t="s">
        <v>8</v>
      </c>
      <c r="D64" s="70">
        <f>+'Washington volumes'!J55</f>
        <v>0</v>
      </c>
      <c r="E64" s="70">
        <v>20000</v>
      </c>
      <c r="F64" s="120"/>
      <c r="G64" s="613"/>
      <c r="H64" s="230">
        <f>+'Rates in summary'!D55</f>
        <v>0.33817000000000014</v>
      </c>
      <c r="I64" s="231"/>
      <c r="J64" s="230">
        <f>'Rates in summary'!D55+Temporaries!K55-Temporaries!AZ55</f>
        <v>0.33817000000000014</v>
      </c>
      <c r="K64" s="231"/>
      <c r="L64" s="569"/>
      <c r="M64" s="230">
        <f>'Rates in summary'!D55+Temporaries!L55+Temporaries!V55-Temporaries!BA55</f>
        <v>0.33707000000000015</v>
      </c>
      <c r="N64" s="231"/>
      <c r="O64" s="569"/>
      <c r="P64" s="657">
        <f>'Rates in summary'!D55+Temporaries!W55-Temporaries!BC55</f>
        <v>0.33796000000000015</v>
      </c>
      <c r="Q64" s="231"/>
      <c r="R64" s="569"/>
      <c r="S64" s="657">
        <f>'Rates in summary'!G55+'Rates in summary'!P55+Temporaries!J55</f>
        <v>0.2722500000000001</v>
      </c>
      <c r="T64" s="231"/>
      <c r="U64" s="569"/>
      <c r="V64" s="230">
        <f>+'Rates in summary'!Q55</f>
        <v>0.27094000000000013</v>
      </c>
      <c r="W64" s="231"/>
      <c r="X64" s="121"/>
      <c r="Y64" s="19"/>
      <c r="Z64" s="19"/>
    </row>
    <row r="65" spans="1:28" x14ac:dyDescent="0.25">
      <c r="A65" s="43">
        <f t="shared" si="0"/>
        <v>59</v>
      </c>
      <c r="B65" s="69"/>
      <c r="C65" s="18" t="s">
        <v>9</v>
      </c>
      <c r="D65" s="70">
        <f>+'Washington volumes'!J56</f>
        <v>0</v>
      </c>
      <c r="E65" s="70">
        <v>100000</v>
      </c>
      <c r="F65" s="120"/>
      <c r="G65" s="613"/>
      <c r="H65" s="230">
        <f>+'Rates in summary'!D56</f>
        <v>0.32129999999999981</v>
      </c>
      <c r="I65" s="231"/>
      <c r="J65" s="230">
        <f>'Rates in summary'!D56+Temporaries!K56-Temporaries!AZ56</f>
        <v>0.32129999999999981</v>
      </c>
      <c r="K65" s="231"/>
      <c r="L65" s="569"/>
      <c r="M65" s="230">
        <f>'Rates in summary'!D56+Temporaries!L56+Temporaries!V56-Temporaries!BA56</f>
        <v>0.32041999999999976</v>
      </c>
      <c r="N65" s="231"/>
      <c r="O65" s="569"/>
      <c r="P65" s="657">
        <f>'Rates in summary'!D56+Temporaries!W56-Temporaries!BC56</f>
        <v>0.3211299999999998</v>
      </c>
      <c r="Q65" s="231"/>
      <c r="R65" s="569"/>
      <c r="S65" s="657">
        <f>'Rates in summary'!G56+'Rates in summary'!P56+Temporaries!J56</f>
        <v>0.25537999999999983</v>
      </c>
      <c r="T65" s="231"/>
      <c r="U65" s="569"/>
      <c r="V65" s="230">
        <f>+'Rates in summary'!Q56</f>
        <v>0.25432999999999983</v>
      </c>
      <c r="W65" s="231"/>
      <c r="X65" s="121"/>
    </row>
    <row r="66" spans="1:28" x14ac:dyDescent="0.25">
      <c r="A66" s="43">
        <f t="shared" si="0"/>
        <v>60</v>
      </c>
      <c r="B66" s="69"/>
      <c r="C66" s="18" t="s">
        <v>10</v>
      </c>
      <c r="D66" s="70">
        <f>+'Washington volumes'!J57</f>
        <v>0</v>
      </c>
      <c r="E66" s="70">
        <v>600000</v>
      </c>
      <c r="F66" s="120"/>
      <c r="G66" s="613"/>
      <c r="H66" s="230">
        <f>+'Rates in summary'!D57</f>
        <v>0.29879</v>
      </c>
      <c r="I66" s="231"/>
      <c r="J66" s="230">
        <f>'Rates in summary'!D57+Temporaries!K57-Temporaries!AZ57</f>
        <v>0.29879</v>
      </c>
      <c r="K66" s="231"/>
      <c r="L66" s="569"/>
      <c r="M66" s="230">
        <f>'Rates in summary'!D57+Temporaries!L57+Temporaries!V57-Temporaries!BA57</f>
        <v>0.29820999999999998</v>
      </c>
      <c r="N66" s="231"/>
      <c r="O66" s="569"/>
      <c r="P66" s="657">
        <f>'Rates in summary'!D57+Temporaries!W57-Temporaries!BC57</f>
        <v>0.29868</v>
      </c>
      <c r="Q66" s="231"/>
      <c r="R66" s="569"/>
      <c r="S66" s="657">
        <f>'Rates in summary'!G57+'Rates in summary'!P57+Temporaries!J57</f>
        <v>0.23287000000000002</v>
      </c>
      <c r="T66" s="231"/>
      <c r="U66" s="569"/>
      <c r="V66" s="230">
        <f>+'Rates in summary'!Q57</f>
        <v>0.23218000000000003</v>
      </c>
      <c r="W66" s="231"/>
      <c r="X66" s="121"/>
    </row>
    <row r="67" spans="1:28" x14ac:dyDescent="0.25">
      <c r="A67" s="43">
        <f t="shared" si="0"/>
        <v>61</v>
      </c>
      <c r="B67" s="69"/>
      <c r="C67" s="18" t="s">
        <v>11</v>
      </c>
      <c r="D67" s="70">
        <f>+'Washington volumes'!J58</f>
        <v>0</v>
      </c>
      <c r="E67" s="119" t="s">
        <v>201</v>
      </c>
      <c r="F67" s="120"/>
      <c r="G67" s="613"/>
      <c r="H67" s="230">
        <f>+'Rates in summary'!D58</f>
        <v>0.27068999999999993</v>
      </c>
      <c r="I67" s="231"/>
      <c r="J67" s="230">
        <f>'Rates in summary'!D58+Temporaries!K58-Temporaries!AZ58</f>
        <v>0.27068999999999993</v>
      </c>
      <c r="K67" s="231"/>
      <c r="L67" s="569"/>
      <c r="M67" s="230">
        <f>'Rates in summary'!D58+Temporaries!L58+Temporaries!V58-Temporaries!BA58</f>
        <v>0.27047999999999994</v>
      </c>
      <c r="N67" s="231"/>
      <c r="O67" s="569"/>
      <c r="P67" s="657">
        <f>'Rates in summary'!D58+Temporaries!W58-Temporaries!BC58</f>
        <v>0.27064999999999995</v>
      </c>
      <c r="Q67" s="231"/>
      <c r="R67" s="569"/>
      <c r="S67" s="657">
        <f>'Rates in summary'!G58+'Rates in summary'!P58+Temporaries!J58</f>
        <v>0.20476999999999992</v>
      </c>
      <c r="T67" s="231"/>
      <c r="U67" s="569"/>
      <c r="V67" s="230">
        <f>+'Rates in summary'!Q58</f>
        <v>0.20451999999999992</v>
      </c>
      <c r="W67" s="231"/>
      <c r="X67" s="121"/>
    </row>
    <row r="68" spans="1:28" x14ac:dyDescent="0.25">
      <c r="A68" s="43">
        <f t="shared" si="0"/>
        <v>62</v>
      </c>
      <c r="B68" s="74"/>
      <c r="C68" s="122" t="s">
        <v>205</v>
      </c>
      <c r="D68" s="123"/>
      <c r="E68" s="124"/>
      <c r="F68" s="125"/>
      <c r="G68" s="614"/>
      <c r="H68" s="605"/>
      <c r="I68" s="609">
        <f>$G62+ROUND(IF($F62&lt;$E62,($F62*H62),IF($F62&lt;SUM($E62:$E63),(($E62*H62)+(($F62-$E62)*H63)),IF($F62&lt;SUM($E62:$E64),(($E62*H62)+($E63*H63)+(($F62-$E62-$E63)*H64)),IF($F62&lt;SUM($E62:$E65),(($E62*H62)+($E63*H63)+($E64*H64)+(($F62-SUM($E62:$E64))*H65)),IF($F62&lt;SUM($E62:$E66),(($E62*H62)+($E63*H63)+($E64*H64)+($E65*H65)+(($F62-SUM($E62:$E65))*H66)),(($E62*H62)+($E63*H63)+($E64*H64)+($E65*H64)+($E66*H66)+(($F62-SUM($E62:$E66))*H67))))))),2)</f>
        <v>6271.21</v>
      </c>
      <c r="J68" s="605"/>
      <c r="K68" s="609">
        <f>$G62+ROUND(IF($F62&lt;$E62,($F62*J62),IF($F62&lt;SUM($E62:$E63),(($E62*J62)+(($F62-$E62)*J63)),IF($F62&lt;SUM($E62:$E64),(($E62*J62)+($E63*J63)+(($F62-$E62-$E63)*J64)),IF($F62&lt;SUM($E62:$E65),(($E62*J62)+($E63*J63)+($E64*J64)+(($F62-SUM($E62:$E64))*J65)),IF($F62&lt;SUM($E62:$E66),(($E62*J62)+($E63*J63)+($E64*J64)+($E65*J65)+(($F62-SUM($E62:$E65))*J66)),(($E62*J62)+($E63*J63)+($E64*J64)+($E65*J64)+($E66*J66)+(($F62-SUM($E62:$E66))*J67))))))),2)</f>
        <v>6271.21</v>
      </c>
      <c r="L68" s="126">
        <f>ROUND((K68-I68)/I68,3)</f>
        <v>0</v>
      </c>
      <c r="M68" s="605"/>
      <c r="N68" s="609">
        <f>$G62+ROUND(IF($F62&lt;$E62,($F62*M62),IF($F62&lt;SUM($E62:$E63),(($E62*M62)+(($F62-$E62)*M63)),IF($F62&lt;SUM($E62:$E64),(($E62*M62)+($E63*M63)+(($F62-$E62-$E63)*M64)),IF($F62&lt;SUM($E62:$E65),(($E62*M62)+($E63*M63)+($E64*M64)+(($F62-SUM($E62:$E64))*M65)),IF($F62&lt;SUM($E62:$E66),(($E62*M62)+($E63*M63)+($E64*M64)+($E65*M65)+(($F62-SUM($E62:$E65))*M66)),(($E62*M62)+($E63*M63)+($E64*M64)+($E65*M64)+($E66*M66)+(($F62-SUM($E62:$E66))*M67))))))),2)</f>
        <v>6250.48</v>
      </c>
      <c r="O68" s="126">
        <f>ROUND((N68-I68)/I68,3)</f>
        <v>-3.0000000000000001E-3</v>
      </c>
      <c r="P68" s="658"/>
      <c r="Q68" s="609">
        <f>$G62+ROUND(IF($F62&lt;$E62,($F62*P62),IF($F62&lt;SUM($E62:$E63),(($E62*P62)+(($F62-$E62)*P63)),IF($F62&lt;SUM($E62:$E64),(($E62*P62)+($E63*P63)+(($F62-$E62-$E63)*P64)),IF($F62&lt;SUM($E62:$E65),(($E62*P62)+($E63*P63)+($E64*P64)+(($F62-SUM($E62:$E64))*P65)),IF($F62&lt;SUM($E62:$E66),(($E62*P62)+($E63*P63)+($E64*P64)+($E65*P65)+(($F62-SUM($E62:$E65))*P66)),(($E62*P62)+($E63*P63)+($E64*P64)+($E65*P64)+($E66*P66)+(($F62-SUM($E62:$E66))*P67))))))),2)</f>
        <v>6267.18</v>
      </c>
      <c r="R68" s="126">
        <f t="shared" si="11"/>
        <v>-6.4261920745753139E-4</v>
      </c>
      <c r="S68" s="658"/>
      <c r="T68" s="609">
        <f>$G62+ROUND(IF($F62&lt;$E62,($F62*S62),IF($F62&lt;SUM($E62:$E63),(($E62*S62)+(($F62-$E62)*S63)),IF($F62&lt;SUM($E62:$E64),(($E62*S62)+($E63*S63)+(($F62-$E62-$E63)*S64)),IF($F62&lt;SUM($E62:$E65),(($E62*S62)+($E63*S63)+($E64*S64)+(($F62-SUM($E62:$E64))*S65)),IF($F62&lt;SUM($E62:$E66),(($E62*S62)+($E63*S63)+($E64*S64)+($E65*S65)+(($F62-SUM($E62:$E65))*S66)),(($E62*S62)+($E63*S63)+($E64*S64)+($E65*S64)+($E66*S66)+(($F62-SUM($E62:$E66))*S67))))))),2)</f>
        <v>5393.82</v>
      </c>
      <c r="U68" s="126">
        <f t="shared" si="12"/>
        <v>-0.14000000000000001</v>
      </c>
      <c r="V68" s="605"/>
      <c r="W68" s="609">
        <f>$G62+ROUND(IF($F62&lt;$E62,($F62*V62),IF($F62&lt;SUM($E62:$E63),(($E62*V62)+(($F62-$E62)*V63)),IF($F62&lt;SUM($E62:$E64),(($E62*V62)+($E63*V63)+(($F62-$E62-$E63)*V64)),IF($F62&lt;SUM($E62:$E65),(($E62*V62)+($E63*V63)+($E64*V64)+(($F62-SUM($E62:$E64))*V65)),IF($F62&lt;SUM($E62:$E66),(($E62*V62)+($E63*V63)+($E64*V64)+($E65*V65)+(($F62-SUM($E62:$E65))*V66)),(($E62*V62)+($E63*V63)+($E64*V64)+($E65*V64)+($E66*V66)+(($F62-SUM($E62:$E66))*V67))))))),2)</f>
        <v>5369.0599999999995</v>
      </c>
      <c r="X68" s="126">
        <f>ROUND((W68-I68)/I68,3)</f>
        <v>-0.14399999999999999</v>
      </c>
      <c r="Y68" s="549"/>
      <c r="AA68" s="549"/>
      <c r="AB68" s="549"/>
    </row>
    <row r="69" spans="1:28" x14ac:dyDescent="0.25">
      <c r="A69" s="43">
        <f t="shared" si="0"/>
        <v>63</v>
      </c>
      <c r="B69" s="69" t="s">
        <v>166</v>
      </c>
      <c r="C69" s="18" t="s">
        <v>6</v>
      </c>
      <c r="D69" s="127">
        <f>+'Washington volumes'!J59</f>
        <v>906535</v>
      </c>
      <c r="E69" s="70">
        <v>10000</v>
      </c>
      <c r="F69" s="128">
        <f>+'Washington volumes'!M59</f>
        <v>81264</v>
      </c>
      <c r="G69" s="613">
        <f>1300+250</f>
        <v>1550</v>
      </c>
      <c r="H69" s="606">
        <f>+'Rates in summary'!D59</f>
        <v>0.11817999999999999</v>
      </c>
      <c r="I69" s="231"/>
      <c r="J69" s="230">
        <f>'Rates in summary'!D59+Temporaries!K59-Temporaries!AZ59</f>
        <v>0.11817999999999999</v>
      </c>
      <c r="K69" s="231"/>
      <c r="L69" s="569"/>
      <c r="M69" s="230">
        <f>'Rates in summary'!D59+Temporaries!L59+Temporaries!V59-Temporaries!BA59</f>
        <v>0.11817999999999999</v>
      </c>
      <c r="N69" s="231"/>
      <c r="O69" s="569"/>
      <c r="P69" s="657">
        <f>'Rates in summary'!D59+Temporaries!W59-Temporaries!BC59</f>
        <v>0.11796999999999999</v>
      </c>
      <c r="Q69" s="231"/>
      <c r="R69" s="569"/>
      <c r="S69" s="657">
        <f>'Rates in summary'!G59+'Rates in summary'!P59+Temporaries!J59</f>
        <v>0.11817999999999999</v>
      </c>
      <c r="T69" s="231"/>
      <c r="U69" s="569"/>
      <c r="V69" s="230">
        <f>+'Rates in summary'!Q59</f>
        <v>0.11796999999999999</v>
      </c>
      <c r="W69" s="231"/>
      <c r="X69" s="129"/>
      <c r="Y69" s="560"/>
      <c r="Z69" s="560"/>
    </row>
    <row r="70" spans="1:28" x14ac:dyDescent="0.25">
      <c r="A70" s="43">
        <f t="shared" si="0"/>
        <v>64</v>
      </c>
      <c r="B70" s="69"/>
      <c r="C70" s="18" t="s">
        <v>7</v>
      </c>
      <c r="D70" s="130">
        <f>+'Washington volumes'!J60</f>
        <v>1644618</v>
      </c>
      <c r="E70" s="70">
        <v>20000</v>
      </c>
      <c r="F70" s="131"/>
      <c r="G70" s="616"/>
      <c r="H70" s="607">
        <f>+'Rates in summary'!D60</f>
        <v>0.10579</v>
      </c>
      <c r="I70" s="231"/>
      <c r="J70" s="230">
        <f>'Rates in summary'!D60+Temporaries!K60-Temporaries!AZ60</f>
        <v>0.10579</v>
      </c>
      <c r="K70" s="231"/>
      <c r="L70" s="569"/>
      <c r="M70" s="230">
        <f>'Rates in summary'!D60+Temporaries!L60+Temporaries!V60-Temporaries!BA60</f>
        <v>0.10579</v>
      </c>
      <c r="N70" s="231"/>
      <c r="O70" s="569"/>
      <c r="P70" s="657">
        <f>'Rates in summary'!D60+Temporaries!W60-Temporaries!BC60</f>
        <v>0.1056</v>
      </c>
      <c r="Q70" s="231"/>
      <c r="R70" s="569"/>
      <c r="S70" s="657">
        <f>'Rates in summary'!G60+'Rates in summary'!P60+Temporaries!J60</f>
        <v>0.10579</v>
      </c>
      <c r="T70" s="231"/>
      <c r="U70" s="569"/>
      <c r="V70" s="230">
        <f>+'Rates in summary'!Q60</f>
        <v>0.1056</v>
      </c>
      <c r="W70" s="231"/>
      <c r="X70" s="132"/>
      <c r="Y70" s="560"/>
      <c r="Z70" s="560"/>
    </row>
    <row r="71" spans="1:28" x14ac:dyDescent="0.25">
      <c r="A71" s="43">
        <f t="shared" si="0"/>
        <v>65</v>
      </c>
      <c r="B71" s="69"/>
      <c r="C71" s="18" t="s">
        <v>8</v>
      </c>
      <c r="D71" s="130">
        <f>+'Washington volumes'!J61</f>
        <v>1375643</v>
      </c>
      <c r="E71" s="70">
        <v>20000</v>
      </c>
      <c r="F71" s="131"/>
      <c r="G71" s="616"/>
      <c r="H71" s="607">
        <f>+'Rates in summary'!D61</f>
        <v>8.1119999999999998E-2</v>
      </c>
      <c r="I71" s="231"/>
      <c r="J71" s="230">
        <f>'Rates in summary'!D61+Temporaries!K61-Temporaries!AZ61</f>
        <v>8.1119999999999998E-2</v>
      </c>
      <c r="K71" s="231"/>
      <c r="L71" s="569"/>
      <c r="M71" s="230">
        <f>'Rates in summary'!D61+Temporaries!L61+Temporaries!V61-Temporaries!BA61</f>
        <v>8.1119999999999998E-2</v>
      </c>
      <c r="N71" s="231"/>
      <c r="O71" s="569"/>
      <c r="P71" s="657">
        <f>'Rates in summary'!D61+Temporaries!W61-Temporaries!BC61</f>
        <v>8.0979999999999996E-2</v>
      </c>
      <c r="Q71" s="231"/>
      <c r="R71" s="569"/>
      <c r="S71" s="657">
        <f>'Rates in summary'!G61+'Rates in summary'!P61+Temporaries!J61</f>
        <v>8.1119999999999998E-2</v>
      </c>
      <c r="T71" s="231"/>
      <c r="U71" s="569"/>
      <c r="V71" s="230">
        <f>+'Rates in summary'!Q61</f>
        <v>8.0979999999999996E-2</v>
      </c>
      <c r="W71" s="231"/>
      <c r="X71" s="132"/>
      <c r="Y71" s="19"/>
      <c r="Z71" s="560"/>
    </row>
    <row r="72" spans="1:28" x14ac:dyDescent="0.25">
      <c r="A72" s="43">
        <f t="shared" si="0"/>
        <v>66</v>
      </c>
      <c r="B72" s="69"/>
      <c r="C72" s="18" t="s">
        <v>9</v>
      </c>
      <c r="D72" s="130">
        <f>+'Washington volumes'!J62</f>
        <v>4240259</v>
      </c>
      <c r="E72" s="70">
        <v>100000</v>
      </c>
      <c r="F72" s="131"/>
      <c r="G72" s="616"/>
      <c r="H72" s="607">
        <f>+'Rates in summary'!D62</f>
        <v>6.4899999999999999E-2</v>
      </c>
      <c r="I72" s="231"/>
      <c r="J72" s="230">
        <f>'Rates in summary'!D62+Temporaries!K62-Temporaries!AZ62</f>
        <v>6.4899999999999999E-2</v>
      </c>
      <c r="K72" s="231"/>
      <c r="L72" s="569"/>
      <c r="M72" s="230">
        <f>'Rates in summary'!D62+Temporaries!L62+Temporaries!V62-Temporaries!BA62</f>
        <v>6.4899999999999999E-2</v>
      </c>
      <c r="N72" s="231"/>
      <c r="O72" s="569"/>
      <c r="P72" s="657">
        <f>'Rates in summary'!D62+Temporaries!W62-Temporaries!BC62</f>
        <v>6.479E-2</v>
      </c>
      <c r="Q72" s="231"/>
      <c r="R72" s="569"/>
      <c r="S72" s="657">
        <f>'Rates in summary'!G62+'Rates in summary'!P62+Temporaries!J62</f>
        <v>6.4899999999999999E-2</v>
      </c>
      <c r="T72" s="231"/>
      <c r="U72" s="569"/>
      <c r="V72" s="230">
        <f>+'Rates in summary'!Q62</f>
        <v>6.479E-2</v>
      </c>
      <c r="W72" s="231"/>
      <c r="X72" s="132"/>
      <c r="Y72" s="19"/>
      <c r="Z72" s="19"/>
    </row>
    <row r="73" spans="1:28" x14ac:dyDescent="0.25">
      <c r="A73" s="43">
        <f t="shared" si="0"/>
        <v>67</v>
      </c>
      <c r="B73" s="69"/>
      <c r="C73" s="18" t="s">
        <v>10</v>
      </c>
      <c r="D73" s="130">
        <f>+'Washington volumes'!J63</f>
        <v>2559794</v>
      </c>
      <c r="E73" s="70">
        <v>600000</v>
      </c>
      <c r="F73" s="131"/>
      <c r="G73" s="616"/>
      <c r="H73" s="607">
        <f>+'Rates in summary'!D63</f>
        <v>4.3270000000000003E-2</v>
      </c>
      <c r="I73" s="231"/>
      <c r="J73" s="230">
        <f>'Rates in summary'!D63+Temporaries!K63-Temporaries!AZ63</f>
        <v>4.3270000000000003E-2</v>
      </c>
      <c r="K73" s="231"/>
      <c r="L73" s="569"/>
      <c r="M73" s="230">
        <f>'Rates in summary'!D63+Temporaries!L63+Temporaries!V63-Temporaries!BA63</f>
        <v>4.3270000000000003E-2</v>
      </c>
      <c r="N73" s="231"/>
      <c r="O73" s="569"/>
      <c r="P73" s="657">
        <f>'Rates in summary'!D63+Temporaries!W63-Temporaries!BC63</f>
        <v>4.3190000000000006E-2</v>
      </c>
      <c r="Q73" s="231"/>
      <c r="R73" s="569"/>
      <c r="S73" s="657">
        <f>'Rates in summary'!G63+'Rates in summary'!P63+Temporaries!J63</f>
        <v>4.3270000000000003E-2</v>
      </c>
      <c r="T73" s="231"/>
      <c r="U73" s="569"/>
      <c r="V73" s="230">
        <f>+'Rates in summary'!Q63</f>
        <v>4.3190000000000006E-2</v>
      </c>
      <c r="W73" s="231"/>
      <c r="X73" s="132"/>
      <c r="Y73" s="19"/>
      <c r="Z73" s="19"/>
    </row>
    <row r="74" spans="1:28" x14ac:dyDescent="0.25">
      <c r="A74" s="43">
        <f t="shared" ref="A74:A87" si="13">+A73+1</f>
        <v>68</v>
      </c>
      <c r="B74" s="69"/>
      <c r="C74" s="18" t="s">
        <v>11</v>
      </c>
      <c r="D74" s="130">
        <f>+'Washington volumes'!J64</f>
        <v>0</v>
      </c>
      <c r="E74" s="119" t="s">
        <v>201</v>
      </c>
      <c r="F74" s="131"/>
      <c r="G74" s="616"/>
      <c r="H74" s="607">
        <f>+'Rates in summary'!D64</f>
        <v>1.6219999999999998E-2</v>
      </c>
      <c r="I74" s="231"/>
      <c r="J74" s="230">
        <f>'Rates in summary'!D64+Temporaries!K64-Temporaries!AZ64</f>
        <v>1.6219999999999998E-2</v>
      </c>
      <c r="K74" s="231"/>
      <c r="L74" s="569"/>
      <c r="M74" s="230">
        <f>'Rates in summary'!D64+Temporaries!L64+Temporaries!V64-Temporaries!BA64</f>
        <v>1.6219999999999998E-2</v>
      </c>
      <c r="N74" s="231"/>
      <c r="O74" s="569"/>
      <c r="P74" s="657">
        <f>'Rates in summary'!D64+Temporaries!W64-Temporaries!BC64</f>
        <v>1.619E-2</v>
      </c>
      <c r="Q74" s="231"/>
      <c r="R74" s="569"/>
      <c r="S74" s="657">
        <f>'Rates in summary'!G64+'Rates in summary'!P64+Temporaries!J64</f>
        <v>1.6219999999999998E-2</v>
      </c>
      <c r="T74" s="231"/>
      <c r="U74" s="569"/>
      <c r="V74" s="230">
        <f>+'Rates in summary'!Q64</f>
        <v>1.619E-2</v>
      </c>
      <c r="W74" s="231"/>
      <c r="X74" s="132"/>
    </row>
    <row r="75" spans="1:28" x14ac:dyDescent="0.25">
      <c r="A75" s="43">
        <f t="shared" si="13"/>
        <v>69</v>
      </c>
      <c r="B75" s="74"/>
      <c r="C75" s="122" t="s">
        <v>205</v>
      </c>
      <c r="D75" s="123"/>
      <c r="E75" s="124"/>
      <c r="F75" s="125"/>
      <c r="G75" s="614"/>
      <c r="H75" s="605"/>
      <c r="I75" s="609">
        <f>$G69+ROUND(IF($F69&lt;$E69,($F69*H69),IF($F69&lt;SUM($E69:$E70),(($E69*H69)+(($F69-$E69)*H70)),IF($F69&lt;SUM($E69:$E71),(($E69*H69)+($E70*H70)+(($F69-$E69-$E70)*H71)),IF($F69&lt;SUM($E69:$E72),(($E69*H69)+($E70*H70)+($E71*H71)+(($F69-SUM($E69:$E71))*H72)),IF($F69&lt;SUM($E69:$E73),(($E69*H69)+($E70*H70)+($E71*H71)+($E72*H72)+(($F69-SUM($E69:$E72))*H73)),(($E69*H69)+($E70*H70)+($E71*H71)+($E72*H71)+($E73*H73)+(($F69-SUM($E69:$E73))*H74))))))),2)</f>
        <v>8499.0299999999988</v>
      </c>
      <c r="J75" s="610"/>
      <c r="K75" s="609">
        <f>$G69+ROUND(IF($F69&lt;$E69,($F69*J69),IF($F69&lt;SUM($E69:$E70),(($E69*J69)+(($F69-$E69)*J70)),IF($F69&lt;SUM($E69:$E71),(($E69*J69)+($E70*J70)+(($F69-$E69-$E70)*J71)),IF($F69&lt;SUM($E69:$E72),(($E69*J69)+($E70*J70)+($E71*J71)+(($F69-SUM($E69:$E71))*J72)),IF($F69&lt;SUM($E69:$E73),(($E69*J69)+($E70*J70)+($E71*J71)+($E72*J72)+(($F69-SUM($E69:$E72))*J73)),(($E69*J69)+($E70*J70)+($E71*J71)+($E72*J71)+($E73*J73)+(($F69-SUM($E69:$E73))*J74))))))),2)</f>
        <v>8499.0299999999988</v>
      </c>
      <c r="L75" s="425">
        <f>ROUND((K75-I75)/I75,3)</f>
        <v>0</v>
      </c>
      <c r="M75" s="610"/>
      <c r="N75" s="609">
        <f>$G69+ROUND(IF($F69&lt;$E69,($F69*M69),IF($F69&lt;SUM($E69:$E70),(($E69*M69)+(($F69-$E69)*M70)),IF($F69&lt;SUM($E69:$E71),(($E69*M69)+($E70*M70)+(($F69-$E69-$E70)*M71)),IF($F69&lt;SUM($E69:$E72),(($E69*M69)+($E70*M70)+($E71*M71)+(($F69-SUM($E69:$E71))*M72)),IF($F69&lt;SUM($E69:$E73),(($E69*M69)+($E70*M70)+($E71*M71)+($E72*M72)+(($F69-SUM($E69:$E72))*M73)),(($E69*M69)+($E70*M70)+($E71*M71)+($E72*M71)+($E73*M73)+(($F69-SUM($E69:$E73))*M74))))))),2)</f>
        <v>8499.0299999999988</v>
      </c>
      <c r="O75" s="425">
        <f>ROUND((N75-I75)/I75,3)</f>
        <v>0</v>
      </c>
      <c r="P75" s="659"/>
      <c r="Q75" s="609">
        <f>$G69+ROUND(IF($F69&lt;$E69,($F69*P69),IF($F69&lt;SUM($E69:$E70),(($E69*P69)+(($F69-$E69)*P70)),IF($F69&lt;SUM($E69:$E71),(($E69*P69)+($E70*P70)+(($F69-$E69-$E70)*P71)),IF($F69&lt;SUM($E69:$E72),(($E69*P69)+($E70*P70)+($E71*P71)+(($F69-SUM($E69:$E71))*P72)),IF($F69&lt;SUM($E69:$E73),(($E69*P69)+($E70*P70)+($E71*P71)+($E72*P72)+(($F69-SUM($E69:$E72))*P73)),(($E69*P69)+($E70*P70)+($E71*P71)+($E72*P71)+($E73*P73)+(($F69-SUM($E69:$E73))*P74))))))),2)</f>
        <v>8486.89</v>
      </c>
      <c r="R75" s="425">
        <f t="shared" si="11"/>
        <v>-1.4283982995705886E-3</v>
      </c>
      <c r="S75" s="659"/>
      <c r="T75" s="609">
        <f>$G69+ROUND(IF($F69&lt;$E69,($F69*S69),IF($F69&lt;SUM($E69:$E70),(($E69*S69)+(($F69-$E69)*S70)),IF($F69&lt;SUM($E69:$E71),(($E69*S69)+($E70*S70)+(($F69-$E69-$E70)*S71)),IF($F69&lt;SUM($E69:$E72),(($E69*S69)+($E70*S70)+($E71*S71)+(($F69-SUM($E69:$E71))*S72)),IF($F69&lt;SUM($E69:$E73),(($E69*S69)+($E70*S70)+($E71*S71)+($E72*S72)+(($F69-SUM($E69:$E72))*S73)),(($E69*S69)+($E70*S70)+($E71*S71)+($E72*S71)+($E73*S73)+(($F69-SUM($E69:$E73))*S74))))))),2)</f>
        <v>8499.0299999999988</v>
      </c>
      <c r="U75" s="425">
        <f t="shared" si="12"/>
        <v>0</v>
      </c>
      <c r="V75" s="230"/>
      <c r="W75" s="609">
        <f>$G69+ROUND(IF($F69&lt;$E69,($F69*V69),IF($F69&lt;SUM($E69:$E70),(($E69*V69)+(($F69-$E69)*V70)),IF($F69&lt;SUM($E69:$E71),(($E69*V69)+($E70*V70)+(($F69-$E69-$E70)*V71)),IF($F69&lt;SUM($E69:$E72),(($E69*V69)+($E70*V70)+($E71*V71)+(($F69-SUM($E69:$E71))*V72)),IF($F69&lt;SUM($E69:$E73),(($E69*V69)+($E70*V70)+($E71*V71)+($E72*V72)+(($F69-SUM($E69:$E72))*V73)),(($E69*V69)+($E70*V70)+($E71*V71)+($E72*V71)+($E73*V73)+(($F69-SUM($E69:$E73))*V74))))))),2)</f>
        <v>8486.89</v>
      </c>
      <c r="X75" s="126">
        <f>ROUND((W75-I75)/I75,3)</f>
        <v>-1E-3</v>
      </c>
      <c r="Y75" s="549"/>
      <c r="AA75" s="549"/>
      <c r="AB75" s="549"/>
    </row>
    <row r="76" spans="1:28" x14ac:dyDescent="0.25">
      <c r="A76" s="43">
        <f t="shared" si="13"/>
        <v>70</v>
      </c>
      <c r="B76" s="74" t="s">
        <v>167</v>
      </c>
      <c r="C76" s="21"/>
      <c r="D76" s="133">
        <f>+'Washington volumes'!J65</f>
        <v>0</v>
      </c>
      <c r="E76" s="134" t="s">
        <v>70</v>
      </c>
      <c r="F76" s="135">
        <f>+'Washington volumes'!M65</f>
        <v>0</v>
      </c>
      <c r="G76" s="617">
        <v>38000</v>
      </c>
      <c r="H76" s="608">
        <f>+'Rates in summary'!D65</f>
        <v>4.9899999999999996E-3</v>
      </c>
      <c r="I76" s="371">
        <f>ROUND(+$G76+(H76*$F76),2)</f>
        <v>38000</v>
      </c>
      <c r="J76" s="611">
        <f>'Rates in summary'!D65+Temporaries!K65-Temporaries!AZ65</f>
        <v>4.9899999999999996E-3</v>
      </c>
      <c r="K76" s="371">
        <f>ROUND(+$G76+(J76*$F76),2)</f>
        <v>38000</v>
      </c>
      <c r="L76" s="570">
        <f>ROUND((K76-I76)/I76,3)</f>
        <v>0</v>
      </c>
      <c r="M76" s="611">
        <f>'Rates in summary'!D65+Temporaries!L65+Temporaries!V65-Temporaries!BA65</f>
        <v>4.9899999999999996E-3</v>
      </c>
      <c r="N76" s="371">
        <f>ROUND(+$G76+(M76*$F76),2)</f>
        <v>38000</v>
      </c>
      <c r="O76" s="570">
        <f>ROUND((N76-I76)/I76,3)</f>
        <v>0</v>
      </c>
      <c r="P76" s="660">
        <f>'Rates in summary'!D65+Temporaries!W65-Temporaries!BC65</f>
        <v>4.9800000000000001E-3</v>
      </c>
      <c r="Q76" s="371">
        <f>ROUND(+$G76+(P76*$F76),2)</f>
        <v>38000</v>
      </c>
      <c r="R76" s="570">
        <f t="shared" si="11"/>
        <v>0</v>
      </c>
      <c r="S76" s="660">
        <f>'Rates in summary'!G65+'Rates in summary'!P65+Temporaries!J65</f>
        <v>4.9899999999999996E-3</v>
      </c>
      <c r="T76" s="371">
        <f>ROUND(+$G76+(S76*$F76),2)</f>
        <v>38000</v>
      </c>
      <c r="U76" s="570">
        <f t="shared" si="12"/>
        <v>0</v>
      </c>
      <c r="V76" s="608">
        <f>+'Rates in summary'!Q65</f>
        <v>4.9800000000000001E-3</v>
      </c>
      <c r="W76" s="371">
        <f>ROUND(+$G76+(V76*$F76),2)</f>
        <v>38000</v>
      </c>
      <c r="X76" s="136" t="s">
        <v>70</v>
      </c>
    </row>
    <row r="77" spans="1:28" x14ac:dyDescent="0.25">
      <c r="A77" s="43">
        <f t="shared" si="13"/>
        <v>71</v>
      </c>
      <c r="B77" s="16" t="s">
        <v>168</v>
      </c>
      <c r="C77" s="13"/>
      <c r="D77" s="137">
        <f>+'Washington volumes'!J66</f>
        <v>0</v>
      </c>
      <c r="E77" s="134" t="s">
        <v>70</v>
      </c>
      <c r="F77" s="138">
        <f>+'Washington volumes'!M66</f>
        <v>0</v>
      </c>
      <c r="G77" s="617">
        <v>38000</v>
      </c>
      <c r="H77" s="580">
        <f>+'Rates in summary'!D66</f>
        <v>4.9899999999999996E-3</v>
      </c>
      <c r="I77" s="371">
        <f>ROUND(+$G77+(H77*$F77),2)</f>
        <v>38000</v>
      </c>
      <c r="J77" s="597">
        <f>'Rates in summary'!D66+Temporaries!K66-Temporaries!AZ66</f>
        <v>4.9899999999999996E-3</v>
      </c>
      <c r="K77" s="371">
        <f>ROUND(+$G77+(J77*$F77),2)</f>
        <v>38000</v>
      </c>
      <c r="L77" s="118">
        <f>ROUND((K77-I77)/I77,3)</f>
        <v>0</v>
      </c>
      <c r="M77" s="597">
        <f>'Rates in summary'!D66+Temporaries!L66+Temporaries!V66-Temporaries!BA66</f>
        <v>4.9899999999999996E-3</v>
      </c>
      <c r="N77" s="371">
        <f>ROUND(+$G77+(M77*$F77),2)</f>
        <v>38000</v>
      </c>
      <c r="O77" s="118">
        <f>ROUND((N77-I77)/I77,3)</f>
        <v>0</v>
      </c>
      <c r="P77" s="660">
        <f>'Rates in summary'!D66+Temporaries!W66-Temporaries!BC66</f>
        <v>4.9800000000000001E-3</v>
      </c>
      <c r="Q77" s="371">
        <f>ROUND(+$G77+(P77*$F77),2)</f>
        <v>38000</v>
      </c>
      <c r="R77" s="118">
        <f t="shared" si="11"/>
        <v>0</v>
      </c>
      <c r="S77" s="660">
        <f>'Rates in summary'!G66+'Rates in summary'!P66+Temporaries!J66</f>
        <v>4.9899999999999996E-3</v>
      </c>
      <c r="T77" s="371">
        <f>ROUND(+$G77+(S77*$F77),2)</f>
        <v>38000</v>
      </c>
      <c r="U77" s="118">
        <f t="shared" si="12"/>
        <v>0</v>
      </c>
      <c r="V77" s="608">
        <f>+'Rates in summary'!Q66</f>
        <v>4.9800000000000001E-3</v>
      </c>
      <c r="W77" s="371">
        <f>ROUND(+$G77+(V77*$F77),2)</f>
        <v>38000</v>
      </c>
      <c r="X77" s="136" t="s">
        <v>70</v>
      </c>
    </row>
    <row r="78" spans="1:28" ht="13.8" thickBot="1" x14ac:dyDescent="0.3">
      <c r="A78" s="43">
        <f t="shared" si="13"/>
        <v>72</v>
      </c>
      <c r="B78" s="15" t="s">
        <v>217</v>
      </c>
      <c r="C78" s="13"/>
      <c r="D78" s="139"/>
      <c r="E78" s="134"/>
      <c r="F78" s="140"/>
      <c r="G78" s="141"/>
      <c r="H78" s="25"/>
      <c r="I78" s="68"/>
      <c r="J78" s="68"/>
      <c r="K78" s="68"/>
      <c r="L78" s="571"/>
      <c r="M78" s="68"/>
      <c r="N78" s="68"/>
      <c r="O78" s="571"/>
      <c r="P78" s="694"/>
      <c r="Q78" s="68"/>
      <c r="R78" s="571"/>
      <c r="S78" s="661"/>
      <c r="T78" s="68"/>
      <c r="U78" s="571"/>
      <c r="V78" s="25"/>
      <c r="W78" s="68"/>
      <c r="X78" s="142"/>
    </row>
    <row r="79" spans="1:28" x14ac:dyDescent="0.25">
      <c r="A79" s="43">
        <f t="shared" si="13"/>
        <v>73</v>
      </c>
      <c r="B79" s="714" t="s">
        <v>240</v>
      </c>
      <c r="C79" s="713"/>
      <c r="D79" s="713"/>
      <c r="E79" s="713"/>
      <c r="F79" s="713"/>
      <c r="G79" s="713"/>
      <c r="H79" s="713"/>
      <c r="I79" s="713"/>
      <c r="J79" s="713"/>
      <c r="K79" s="713"/>
      <c r="L79" s="713"/>
    </row>
    <row r="80" spans="1:28" x14ac:dyDescent="0.25">
      <c r="A80" s="43">
        <f t="shared" si="13"/>
        <v>74</v>
      </c>
      <c r="B80" s="713"/>
      <c r="C80" s="713"/>
      <c r="D80" s="713"/>
      <c r="E80" s="713"/>
      <c r="F80" s="713"/>
      <c r="G80" s="713"/>
      <c r="H80" s="713"/>
      <c r="I80" s="713"/>
      <c r="J80" s="713"/>
      <c r="K80" s="713"/>
      <c r="L80" s="713"/>
    </row>
    <row r="81" spans="1:25" x14ac:dyDescent="0.25">
      <c r="A81" s="43">
        <f t="shared" si="13"/>
        <v>75</v>
      </c>
      <c r="B81" s="711" t="s">
        <v>612</v>
      </c>
      <c r="C81" s="712"/>
      <c r="D81" s="712"/>
      <c r="E81" s="712"/>
      <c r="F81" s="712"/>
      <c r="G81" s="712"/>
      <c r="H81" s="712"/>
      <c r="I81" s="712"/>
      <c r="J81" s="712"/>
      <c r="K81" s="712"/>
      <c r="L81" s="712"/>
      <c r="M81" s="79"/>
      <c r="N81" s="79"/>
      <c r="O81" s="79"/>
      <c r="P81" s="662"/>
      <c r="Q81" s="79"/>
      <c r="R81" s="79"/>
      <c r="S81" s="79"/>
      <c r="T81" s="79"/>
      <c r="U81" s="79"/>
      <c r="W81" s="79"/>
      <c r="X81" s="143"/>
    </row>
    <row r="82" spans="1:25" ht="13.8" thickBot="1" x14ac:dyDescent="0.3">
      <c r="A82" s="43">
        <f t="shared" si="13"/>
        <v>76</v>
      </c>
      <c r="B82" s="712"/>
      <c r="C82" s="712"/>
      <c r="D82" s="712"/>
      <c r="E82" s="712"/>
      <c r="F82" s="712"/>
      <c r="G82" s="712"/>
      <c r="H82" s="712"/>
      <c r="I82" s="712"/>
      <c r="J82" s="712"/>
      <c r="K82" s="712"/>
      <c r="L82" s="712"/>
      <c r="Y82" s="103"/>
    </row>
    <row r="83" spans="1:25" ht="19.5" customHeight="1" thickBot="1" x14ac:dyDescent="0.3">
      <c r="A83" s="43">
        <f t="shared" si="13"/>
        <v>77</v>
      </c>
      <c r="B83" s="713"/>
      <c r="C83" s="713"/>
      <c r="D83" s="713"/>
      <c r="E83" s="713"/>
      <c r="F83" s="713"/>
      <c r="G83" s="713"/>
      <c r="H83" s="713"/>
      <c r="I83" s="713"/>
      <c r="J83" s="713"/>
      <c r="K83" s="713"/>
      <c r="L83" s="713"/>
      <c r="Y83" s="104" t="s">
        <v>184</v>
      </c>
    </row>
    <row r="84" spans="1:25" ht="13.8" thickBot="1" x14ac:dyDescent="0.3">
      <c r="A84" s="43">
        <v>78</v>
      </c>
      <c r="B84" s="26" t="s">
        <v>171</v>
      </c>
      <c r="Y84" s="529" t="s">
        <v>106</v>
      </c>
    </row>
    <row r="85" spans="1:25" ht="13.8" thickBot="1" x14ac:dyDescent="0.3">
      <c r="A85" s="43">
        <f t="shared" si="13"/>
        <v>79</v>
      </c>
      <c r="B85" s="104" t="s">
        <v>172</v>
      </c>
      <c r="C85" s="28"/>
      <c r="D85" s="107"/>
      <c r="E85" s="30" t="s">
        <v>204</v>
      </c>
      <c r="F85" s="107"/>
      <c r="G85" s="30" t="s">
        <v>204</v>
      </c>
      <c r="H85" s="107"/>
      <c r="I85" s="108"/>
      <c r="J85" s="108"/>
      <c r="K85" s="108"/>
      <c r="L85" s="108"/>
      <c r="M85" s="108"/>
      <c r="N85" s="108"/>
      <c r="O85" s="108"/>
      <c r="P85" s="581"/>
      <c r="Q85" s="108"/>
      <c r="R85" s="108"/>
      <c r="S85" s="108"/>
      <c r="T85" s="108"/>
      <c r="U85" s="108"/>
      <c r="V85" s="108"/>
      <c r="W85" s="108"/>
      <c r="X85" s="108"/>
      <c r="Y85" s="528" t="s">
        <v>558</v>
      </c>
    </row>
    <row r="86" spans="1:25" ht="13.8" thickBot="1" x14ac:dyDescent="0.3">
      <c r="A86" s="43">
        <f t="shared" si="13"/>
        <v>80</v>
      </c>
      <c r="Y86" s="103"/>
    </row>
    <row r="87" spans="1:25" ht="13.8" thickBot="1" x14ac:dyDescent="0.3">
      <c r="A87" s="43">
        <f t="shared" si="13"/>
        <v>81</v>
      </c>
      <c r="B87" s="104" t="s">
        <v>184</v>
      </c>
      <c r="C87" s="28"/>
      <c r="D87" s="29"/>
      <c r="E87" s="83"/>
      <c r="F87" s="83"/>
      <c r="G87" s="29"/>
      <c r="H87" s="30" t="s">
        <v>69</v>
      </c>
      <c r="I87" s="29"/>
      <c r="J87" s="29"/>
      <c r="K87" s="29"/>
      <c r="L87" s="29"/>
      <c r="M87" s="29"/>
      <c r="N87" s="29"/>
      <c r="O87" s="29"/>
      <c r="P87" s="94"/>
      <c r="Q87" s="29"/>
      <c r="R87" s="29"/>
      <c r="S87" s="29"/>
      <c r="T87" s="29"/>
      <c r="U87" s="29"/>
      <c r="V87" s="29"/>
      <c r="W87" s="29"/>
      <c r="X87" s="29"/>
    </row>
    <row r="88" spans="1:25" x14ac:dyDescent="0.25">
      <c r="A88" s="43"/>
    </row>
    <row r="89" spans="1:25" x14ac:dyDescent="0.25">
      <c r="A89" s="43"/>
    </row>
    <row r="90" spans="1:25" x14ac:dyDescent="0.25">
      <c r="Y90" s="103"/>
    </row>
    <row r="91" spans="1:25" x14ac:dyDescent="0.25">
      <c r="Y91" s="103"/>
    </row>
    <row r="92" spans="1:25" x14ac:dyDescent="0.25">
      <c r="Y92" s="103"/>
    </row>
    <row r="93" spans="1:25" x14ac:dyDescent="0.25">
      <c r="Y93" s="103"/>
    </row>
    <row r="94" spans="1:25" x14ac:dyDescent="0.25">
      <c r="Y94" s="103"/>
    </row>
  </sheetData>
  <mergeCells count="2">
    <mergeCell ref="B81:L83"/>
    <mergeCell ref="B79:L80"/>
  </mergeCells>
  <phoneticPr fontId="2" type="noConversion"/>
  <printOptions horizontalCentered="1"/>
  <pageMargins left="0.5" right="0.5" top="0.5" bottom="0.5" header="0.25" footer="0.25"/>
  <pageSetup scale="29" orientation="landscape" r:id="rId1"/>
  <headerFooter alignWithMargins="0">
    <oddHeader xml:space="preserve">&amp;RUG-181053 NWN Compliance Filing
Advice 19-07 / Work Paper
</oddHeader>
    <oddFooter xml:space="preserve">&amp;C&amp;F &amp;D &amp;T
&amp;A  </oddFooter>
  </headerFooter>
  <colBreaks count="4" manualBreakCount="4">
    <brk id="12" max="1048575" man="1"/>
    <brk id="18" max="1048575" man="1"/>
    <brk id="21" max="86" man="1"/>
    <brk id="2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T75"/>
  <sheetViews>
    <sheetView showGridLines="0" zoomScaleNormal="100" zoomScaleSheetLayoutView="110" workbookViewId="0">
      <pane xSplit="3" ySplit="12" topLeftCell="D43" activePane="bottomRight" state="frozen"/>
      <selection activeCell="F18" sqref="F18"/>
      <selection pane="topRight" activeCell="F18" sqref="F18"/>
      <selection pane="bottomLeft" activeCell="F18" sqref="F18"/>
      <selection pane="bottomRight" activeCell="F18" sqref="F18"/>
    </sheetView>
  </sheetViews>
  <sheetFormatPr defaultColWidth="9.33203125" defaultRowHeight="13.2" outlineLevelCol="1" x14ac:dyDescent="0.25"/>
  <cols>
    <col min="1" max="1" width="6.88671875" style="3" customWidth="1"/>
    <col min="2" max="2" width="17.88671875" style="2" customWidth="1"/>
    <col min="3" max="3" width="9.33203125" style="2"/>
    <col min="4" max="4" width="12.88671875" style="2" customWidth="1"/>
    <col min="5" max="5" width="15.88671875" style="2" customWidth="1"/>
    <col min="6" max="6" width="17.33203125" style="2" customWidth="1"/>
    <col min="7" max="7" width="14.88671875" style="2" customWidth="1"/>
    <col min="8" max="8" width="15.6640625" style="2" customWidth="1"/>
    <col min="9" max="15" width="14.88671875" style="2" hidden="1" customWidth="1" outlineLevel="1"/>
    <col min="16" max="16" width="14.88671875" style="627" hidden="1" customWidth="1" outlineLevel="1"/>
    <col min="17" max="17" width="14.88671875" style="2" customWidth="1" collapsed="1"/>
    <col min="18" max="18" width="12.88671875" style="3" customWidth="1"/>
    <col min="19" max="19" width="14.88671875" style="2" hidden="1" customWidth="1"/>
    <col min="20" max="20" width="0" style="3" hidden="1" customWidth="1"/>
    <col min="21" max="16384" width="9.33203125" style="3"/>
  </cols>
  <sheetData>
    <row r="1" spans="1:20" ht="13.8" x14ac:dyDescent="0.25">
      <c r="A1" s="1" t="str">
        <f>+'Washington volumes'!A1</f>
        <v>NW Natural</v>
      </c>
    </row>
    <row r="2" spans="1:20" ht="13.8" x14ac:dyDescent="0.25">
      <c r="A2" s="1" t="str">
        <f>+'Washington volumes'!A2</f>
        <v>Rates &amp; Regulatory Affairs</v>
      </c>
    </row>
    <row r="3" spans="1:20" ht="13.8" x14ac:dyDescent="0.25">
      <c r="A3" s="1" t="str">
        <f>+'Washington volumes'!A3</f>
        <v>2018-2019 PGA Filing - Washington: September Filing</v>
      </c>
      <c r="H3" s="92"/>
      <c r="I3" s="92"/>
      <c r="J3" s="92"/>
      <c r="K3" s="92"/>
      <c r="L3" s="92"/>
      <c r="M3" s="92"/>
      <c r="N3" s="92"/>
      <c r="O3" s="92"/>
      <c r="P3" s="628"/>
    </row>
    <row r="4" spans="1:20" ht="13.8" x14ac:dyDescent="0.25">
      <c r="A4" s="1" t="s">
        <v>190</v>
      </c>
    </row>
    <row r="7" spans="1:20" x14ac:dyDescent="0.25">
      <c r="A7" s="43">
        <v>1</v>
      </c>
      <c r="F7" s="33"/>
      <c r="G7" s="33"/>
      <c r="H7" s="43"/>
      <c r="I7" s="43"/>
      <c r="J7" s="43"/>
      <c r="K7" s="43"/>
      <c r="L7" s="43"/>
      <c r="M7" s="43"/>
      <c r="N7" s="43"/>
      <c r="O7" s="43"/>
      <c r="P7" s="629"/>
      <c r="Q7" s="5" t="s">
        <v>37</v>
      </c>
      <c r="S7" s="5"/>
    </row>
    <row r="8" spans="1:20" x14ac:dyDescent="0.25">
      <c r="A8" s="43">
        <f t="shared" ref="A8:A54" si="0">+A7+1</f>
        <v>2</v>
      </c>
      <c r="D8" s="111">
        <f>+'Avg Bill by RS'!H8</f>
        <v>43040</v>
      </c>
      <c r="E8" s="33"/>
      <c r="F8" s="33"/>
      <c r="G8" s="33" t="s">
        <v>37</v>
      </c>
      <c r="H8" s="33" t="s">
        <v>97</v>
      </c>
      <c r="I8" s="207"/>
      <c r="J8" s="207"/>
      <c r="K8" s="207"/>
      <c r="L8" s="207"/>
      <c r="M8" s="207"/>
      <c r="N8" s="207"/>
      <c r="O8" s="207"/>
      <c r="P8" s="630" t="s">
        <v>615</v>
      </c>
      <c r="Q8" s="6">
        <f>+EFFDATE</f>
        <v>43405</v>
      </c>
      <c r="S8" s="6"/>
    </row>
    <row r="9" spans="1:20" x14ac:dyDescent="0.25">
      <c r="A9" s="43">
        <f t="shared" si="0"/>
        <v>3</v>
      </c>
      <c r="D9" s="33" t="s">
        <v>28</v>
      </c>
      <c r="E9" s="33" t="s">
        <v>97</v>
      </c>
      <c r="F9" s="33" t="s">
        <v>97</v>
      </c>
      <c r="G9" s="33" t="s">
        <v>29</v>
      </c>
      <c r="H9" s="33" t="s">
        <v>56</v>
      </c>
      <c r="I9" s="208" t="s">
        <v>274</v>
      </c>
      <c r="J9" s="208" t="s">
        <v>274</v>
      </c>
      <c r="K9" s="208" t="s">
        <v>274</v>
      </c>
      <c r="L9" s="208" t="s">
        <v>274</v>
      </c>
      <c r="M9" s="208" t="s">
        <v>274</v>
      </c>
      <c r="N9" s="208" t="s">
        <v>274</v>
      </c>
      <c r="O9" s="208" t="s">
        <v>274</v>
      </c>
      <c r="P9" s="630" t="s">
        <v>616</v>
      </c>
      <c r="Q9" s="5" t="s">
        <v>28</v>
      </c>
      <c r="S9" s="5"/>
    </row>
    <row r="10" spans="1:20" s="8" customFormat="1" ht="13.8" thickBot="1" x14ac:dyDescent="0.3">
      <c r="A10" s="43">
        <f t="shared" si="0"/>
        <v>4</v>
      </c>
      <c r="B10" s="2"/>
      <c r="C10" s="2"/>
      <c r="D10" s="52" t="s">
        <v>29</v>
      </c>
      <c r="E10" s="52" t="s">
        <v>32</v>
      </c>
      <c r="F10" s="52" t="s">
        <v>222</v>
      </c>
      <c r="G10" s="52" t="s">
        <v>221</v>
      </c>
      <c r="H10" s="52" t="s">
        <v>98</v>
      </c>
      <c r="I10" s="209" t="s">
        <v>275</v>
      </c>
      <c r="J10" s="209" t="s">
        <v>275</v>
      </c>
      <c r="K10" s="209" t="s">
        <v>275</v>
      </c>
      <c r="L10" s="209" t="s">
        <v>275</v>
      </c>
      <c r="M10" s="209" t="s">
        <v>275</v>
      </c>
      <c r="N10" s="209" t="s">
        <v>275</v>
      </c>
      <c r="O10" s="209" t="s">
        <v>275</v>
      </c>
      <c r="P10" s="631" t="s">
        <v>53</v>
      </c>
      <c r="Q10" s="101" t="s">
        <v>220</v>
      </c>
    </row>
    <row r="11" spans="1:20" s="8" customFormat="1" x14ac:dyDescent="0.25">
      <c r="A11" s="43">
        <f t="shared" si="0"/>
        <v>5</v>
      </c>
      <c r="B11" s="2"/>
      <c r="C11" s="2"/>
      <c r="D11" s="9"/>
      <c r="E11" s="9"/>
      <c r="F11" s="9"/>
      <c r="G11" s="5" t="s">
        <v>93</v>
      </c>
      <c r="H11" s="10"/>
      <c r="I11" s="10"/>
      <c r="J11" s="10"/>
      <c r="K11" s="10"/>
      <c r="L11" s="10"/>
      <c r="M11" s="10"/>
      <c r="N11" s="10"/>
      <c r="O11" s="10"/>
      <c r="P11" s="573"/>
      <c r="Q11" s="5" t="s">
        <v>589</v>
      </c>
      <c r="S11" s="5"/>
    </row>
    <row r="12" spans="1:20" s="8" customFormat="1" x14ac:dyDescent="0.25">
      <c r="A12" s="43">
        <f t="shared" si="0"/>
        <v>6</v>
      </c>
      <c r="B12" s="60" t="s">
        <v>2</v>
      </c>
      <c r="C12" s="11" t="s">
        <v>3</v>
      </c>
      <c r="D12" s="12" t="s">
        <v>77</v>
      </c>
      <c r="E12" s="12" t="s">
        <v>78</v>
      </c>
      <c r="F12" s="12" t="s">
        <v>16</v>
      </c>
      <c r="G12" s="12" t="s">
        <v>79</v>
      </c>
      <c r="H12" s="12" t="s">
        <v>80</v>
      </c>
      <c r="I12" s="12"/>
      <c r="J12" s="12"/>
      <c r="K12" s="12"/>
      <c r="L12" s="12"/>
      <c r="M12" s="12"/>
      <c r="N12" s="12"/>
      <c r="O12" s="12"/>
      <c r="P12" s="574" t="s">
        <v>81</v>
      </c>
      <c r="Q12" s="12" t="s">
        <v>82</v>
      </c>
      <c r="S12" s="12"/>
    </row>
    <row r="13" spans="1:20" x14ac:dyDescent="0.25">
      <c r="A13" s="43">
        <f t="shared" si="0"/>
        <v>7</v>
      </c>
      <c r="B13" s="16" t="s">
        <v>4</v>
      </c>
      <c r="C13" s="13"/>
      <c r="D13" s="14">
        <f>+'Rates in detail'!D13</f>
        <v>1.0934399999999997</v>
      </c>
      <c r="E13" s="14">
        <f>+'Rates in detail'!I13-'Rates in detail'!E13</f>
        <v>-4.6820000000000001E-2</v>
      </c>
      <c r="F13" s="14">
        <f>+'Rates in detail'!J13+'Rates in detail'!K13-'Rates in detail'!F13-'Rates in detail'!G13</f>
        <v>-1.0279999999999997E-2</v>
      </c>
      <c r="G13" s="14">
        <f>+D13+E13+F13</f>
        <v>1.0363399999999996</v>
      </c>
      <c r="H13" s="14">
        <f>+'Rates in detail'!N13-'Rates in detail'!M13</f>
        <v>-7.1600000000000066E-3</v>
      </c>
      <c r="I13" s="14"/>
      <c r="J13" s="14"/>
      <c r="K13" s="14"/>
      <c r="L13" s="14"/>
      <c r="M13" s="14"/>
      <c r="N13" s="14"/>
      <c r="O13" s="14"/>
      <c r="P13" s="575">
        <f>'Rates in detail'!U13</f>
        <v>0</v>
      </c>
      <c r="Q13" s="14">
        <f t="shared" ref="Q13:Q44" si="1">+G13+H13+P13</f>
        <v>1.0291799999999995</v>
      </c>
      <c r="R13" s="106"/>
      <c r="S13" s="370">
        <f>+Q13-D13</f>
        <v>-6.4260000000000206E-2</v>
      </c>
      <c r="T13" s="435">
        <f>ROUND(S13/D13,3)</f>
        <v>-5.8999999999999997E-2</v>
      </c>
    </row>
    <row r="14" spans="1:20" x14ac:dyDescent="0.25">
      <c r="A14" s="43">
        <f t="shared" si="0"/>
        <v>8</v>
      </c>
      <c r="B14" s="16" t="s">
        <v>5</v>
      </c>
      <c r="C14" s="13"/>
      <c r="D14" s="14">
        <f>+'Rates in detail'!D14</f>
        <v>1.0842299999999996</v>
      </c>
      <c r="E14" s="14">
        <f>+'Rates in detail'!I14-'Rates in detail'!E14</f>
        <v>-4.6820000000000001E-2</v>
      </c>
      <c r="F14" s="14">
        <f>+'Rates in detail'!J14+'Rates in detail'!K14-'Rates in detail'!F14-'Rates in detail'!G14</f>
        <v>-1.0279999999999997E-2</v>
      </c>
      <c r="G14" s="14">
        <f t="shared" ref="G14:G66" si="2">+D14+E14+F14</f>
        <v>1.0271299999999994</v>
      </c>
      <c r="H14" s="14">
        <f>+'Rates in detail'!N14-'Rates in detail'!M14</f>
        <v>-8.3999999999999908E-3</v>
      </c>
      <c r="I14" s="14"/>
      <c r="J14" s="14"/>
      <c r="K14" s="14"/>
      <c r="L14" s="14"/>
      <c r="M14" s="14"/>
      <c r="N14" s="14"/>
      <c r="O14" s="14"/>
      <c r="P14" s="575">
        <f>'Rates in detail'!U14</f>
        <v>0</v>
      </c>
      <c r="Q14" s="14">
        <f t="shared" si="1"/>
        <v>1.0187299999999995</v>
      </c>
      <c r="R14" s="106"/>
      <c r="S14" s="14">
        <f>+Q14-D14</f>
        <v>-6.5500000000000114E-2</v>
      </c>
      <c r="T14" s="435">
        <f>ROUND(S14/D14,3)</f>
        <v>-0.06</v>
      </c>
    </row>
    <row r="15" spans="1:20" x14ac:dyDescent="0.25">
      <c r="A15" s="43">
        <f t="shared" si="0"/>
        <v>9</v>
      </c>
      <c r="B15" s="16" t="s">
        <v>14</v>
      </c>
      <c r="C15" s="13"/>
      <c r="D15" s="14">
        <f>+'Rates in detail'!D15</f>
        <v>0.80223999999999973</v>
      </c>
      <c r="E15" s="14">
        <f>+'Rates in detail'!I15-'Rates in detail'!E15</f>
        <v>-4.6820000000000001E-2</v>
      </c>
      <c r="F15" s="14">
        <f>+'Rates in detail'!J15+'Rates in detail'!K15-'Rates in detail'!F15-'Rates in detail'!G15</f>
        <v>-1.0279999999999997E-2</v>
      </c>
      <c r="G15" s="14">
        <f t="shared" si="2"/>
        <v>0.7451399999999998</v>
      </c>
      <c r="H15" s="14">
        <f>+'Rates in detail'!N15-'Rates in detail'!M15</f>
        <v>-9.6799999999999942E-3</v>
      </c>
      <c r="I15" s="14"/>
      <c r="J15" s="14"/>
      <c r="K15" s="14"/>
      <c r="L15" s="14"/>
      <c r="M15" s="14"/>
      <c r="N15" s="14"/>
      <c r="O15" s="14"/>
      <c r="P15" s="575">
        <f>'Rates in detail'!U15</f>
        <v>0</v>
      </c>
      <c r="Q15" s="14">
        <f t="shared" si="1"/>
        <v>0.73545999999999978</v>
      </c>
      <c r="R15" s="106"/>
      <c r="S15" s="14">
        <f>+Q15-D15</f>
        <v>-6.6779999999999951E-2</v>
      </c>
      <c r="T15" s="435">
        <f>ROUND(S15/D15,3)</f>
        <v>-8.3000000000000004E-2</v>
      </c>
    </row>
    <row r="16" spans="1:20" x14ac:dyDescent="0.25">
      <c r="A16" s="43">
        <f t="shared" si="0"/>
        <v>10</v>
      </c>
      <c r="B16" s="16" t="s">
        <v>12</v>
      </c>
      <c r="C16" s="13"/>
      <c r="D16" s="14">
        <f>+'Rates in detail'!D16</f>
        <v>0.80187000000000019</v>
      </c>
      <c r="E16" s="14">
        <f>+'Rates in detail'!I16-'Rates in detail'!E16</f>
        <v>-4.6820000000000001E-2</v>
      </c>
      <c r="F16" s="14">
        <f>+'Rates in detail'!J16+'Rates in detail'!K16-'Rates in detail'!F16-'Rates in detail'!G16</f>
        <v>-1.0279999999999997E-2</v>
      </c>
      <c r="G16" s="14">
        <f t="shared" si="2"/>
        <v>0.74477000000000027</v>
      </c>
      <c r="H16" s="14">
        <f>+'Rates in detail'!N16-'Rates in detail'!M16</f>
        <v>-9.429999999999987E-3</v>
      </c>
      <c r="I16" s="14"/>
      <c r="J16" s="14"/>
      <c r="K16" s="14"/>
      <c r="L16" s="14"/>
      <c r="M16" s="14"/>
      <c r="N16" s="14"/>
      <c r="O16" s="14"/>
      <c r="P16" s="575">
        <f>'Rates in detail'!U16</f>
        <v>0</v>
      </c>
      <c r="Q16" s="14">
        <f t="shared" si="1"/>
        <v>0.73534000000000033</v>
      </c>
      <c r="R16" s="106"/>
      <c r="S16" s="14">
        <f>+Q16-D16</f>
        <v>-6.6529999999999867E-2</v>
      </c>
      <c r="T16" s="435">
        <f>ROUND(S16/D16,3)</f>
        <v>-8.3000000000000004E-2</v>
      </c>
    </row>
    <row r="17" spans="1:20" x14ac:dyDescent="0.25">
      <c r="A17" s="43">
        <f t="shared" si="0"/>
        <v>11</v>
      </c>
      <c r="B17" s="16" t="s">
        <v>13</v>
      </c>
      <c r="C17" s="13"/>
      <c r="D17" s="14">
        <f>+'Rates in detail'!D17</f>
        <v>0.77509999999999946</v>
      </c>
      <c r="E17" s="14">
        <f>+'Rates in detail'!I17-'Rates in detail'!E17</f>
        <v>-4.6820000000000001E-2</v>
      </c>
      <c r="F17" s="14">
        <f>+'Rates in detail'!J17+'Rates in detail'!K17-'Rates in detail'!F17-'Rates in detail'!G17</f>
        <v>-1.0279999999999997E-2</v>
      </c>
      <c r="G17" s="14">
        <f t="shared" si="2"/>
        <v>0.71799999999999953</v>
      </c>
      <c r="H17" s="14">
        <f>+'Rates in detail'!N17-'Rates in detail'!M17</f>
        <v>-1.3419999999999987E-2</v>
      </c>
      <c r="I17" s="14"/>
      <c r="J17" s="14"/>
      <c r="K17" s="14"/>
      <c r="L17" s="14"/>
      <c r="M17" s="14"/>
      <c r="N17" s="14"/>
      <c r="O17" s="14"/>
      <c r="P17" s="575">
        <f>'Rates in detail'!U17</f>
        <v>0</v>
      </c>
      <c r="Q17" s="14">
        <f t="shared" si="1"/>
        <v>0.70457999999999954</v>
      </c>
      <c r="R17" s="106"/>
      <c r="S17" s="14"/>
      <c r="T17" s="435"/>
    </row>
    <row r="18" spans="1:20" x14ac:dyDescent="0.25">
      <c r="A18" s="43">
        <f t="shared" si="0"/>
        <v>12</v>
      </c>
      <c r="B18" s="74">
        <v>27</v>
      </c>
      <c r="C18" s="21"/>
      <c r="D18" s="14">
        <f>+'Rates in detail'!D18</f>
        <v>0.63078999999999985</v>
      </c>
      <c r="E18" s="14">
        <f>+'Rates in detail'!I18-'Rates in detail'!E18</f>
        <v>-4.6820000000000001E-2</v>
      </c>
      <c r="F18" s="14">
        <f>+'Rates in detail'!J18+'Rates in detail'!K18-'Rates in detail'!F18-'Rates in detail'!G18</f>
        <v>-1.0279999999999997E-2</v>
      </c>
      <c r="G18" s="14">
        <f t="shared" si="2"/>
        <v>0.57368999999999992</v>
      </c>
      <c r="H18" s="14">
        <f>+'Rates in detail'!N18-'Rates in detail'!M18</f>
        <v>-1.1469999999999994E-2</v>
      </c>
      <c r="I18" s="14"/>
      <c r="J18" s="14"/>
      <c r="K18" s="14"/>
      <c r="L18" s="14"/>
      <c r="M18" s="14"/>
      <c r="N18" s="14"/>
      <c r="O18" s="14"/>
      <c r="P18" s="575">
        <f>'Rates in detail'!U18</f>
        <v>0</v>
      </c>
      <c r="Q18" s="14">
        <f t="shared" si="1"/>
        <v>0.56221999999999994</v>
      </c>
      <c r="R18" s="106"/>
      <c r="S18" s="14"/>
      <c r="T18" s="435"/>
    </row>
    <row r="19" spans="1:20" x14ac:dyDescent="0.25">
      <c r="A19" s="43">
        <f t="shared" si="0"/>
        <v>13</v>
      </c>
      <c r="B19" s="69" t="s">
        <v>365</v>
      </c>
      <c r="C19" s="18" t="s">
        <v>6</v>
      </c>
      <c r="D19" s="20">
        <f>+'Rates in detail'!D19</f>
        <v>0.55691000000000024</v>
      </c>
      <c r="E19" s="20">
        <f>+'Rates in detail'!I19-'Rates in detail'!E19</f>
        <v>-4.6820000000000001E-2</v>
      </c>
      <c r="F19" s="20">
        <f>+'Rates in detail'!J19+'Rates in detail'!K19-'Rates in detail'!F19-'Rates in detail'!G19</f>
        <v>0</v>
      </c>
      <c r="G19" s="20">
        <f t="shared" si="2"/>
        <v>0.51009000000000027</v>
      </c>
      <c r="H19" s="20">
        <f>+'Rates in detail'!N19-'Rates in detail'!M19</f>
        <v>-1.0829999999999992E-2</v>
      </c>
      <c r="I19" s="20"/>
      <c r="J19" s="20"/>
      <c r="K19" s="20"/>
      <c r="L19" s="20"/>
      <c r="M19" s="20"/>
      <c r="N19" s="20"/>
      <c r="O19" s="20"/>
      <c r="P19" s="564">
        <f>'Rates in detail'!U19</f>
        <v>0</v>
      </c>
      <c r="Q19" s="20">
        <f t="shared" si="1"/>
        <v>0.49926000000000026</v>
      </c>
      <c r="R19" s="106"/>
      <c r="S19" s="20"/>
      <c r="T19" s="435"/>
    </row>
    <row r="20" spans="1:20" x14ac:dyDescent="0.25">
      <c r="A20" s="43">
        <f t="shared" si="0"/>
        <v>14</v>
      </c>
      <c r="B20" s="74"/>
      <c r="C20" s="22" t="s">
        <v>7</v>
      </c>
      <c r="D20" s="14">
        <f>+'Rates in detail'!D20</f>
        <v>0.51810999999999996</v>
      </c>
      <c r="E20" s="14">
        <f>+'Rates in detail'!I20-'Rates in detail'!E20</f>
        <v>-4.6820000000000001E-2</v>
      </c>
      <c r="F20" s="14">
        <f>+'Rates in detail'!J20+'Rates in detail'!K20-'Rates in detail'!F20-'Rates in detail'!G20</f>
        <v>0</v>
      </c>
      <c r="G20" s="14">
        <f t="shared" si="2"/>
        <v>0.47128999999999999</v>
      </c>
      <c r="H20" s="14">
        <f>+'Rates in detail'!N20-'Rates in detail'!M20</f>
        <v>-1.1109999999999991E-2</v>
      </c>
      <c r="I20" s="14"/>
      <c r="J20" s="14"/>
      <c r="K20" s="14"/>
      <c r="L20" s="14"/>
      <c r="M20" s="14"/>
      <c r="N20" s="14"/>
      <c r="O20" s="14"/>
      <c r="P20" s="575">
        <f>'Rates in detail'!U20</f>
        <v>0</v>
      </c>
      <c r="Q20" s="14">
        <f t="shared" si="1"/>
        <v>0.46017999999999998</v>
      </c>
      <c r="R20" s="106"/>
      <c r="S20" s="14"/>
      <c r="T20" s="435"/>
    </row>
    <row r="21" spans="1:20" x14ac:dyDescent="0.25">
      <c r="A21" s="43">
        <f t="shared" si="0"/>
        <v>15</v>
      </c>
      <c r="B21" s="69" t="s">
        <v>366</v>
      </c>
      <c r="C21" s="18" t="s">
        <v>6</v>
      </c>
      <c r="D21" s="20">
        <f>+'Rates in detail'!D21</f>
        <v>0.57863999999999993</v>
      </c>
      <c r="E21" s="20">
        <f>+'Rates in detail'!I21-'Rates in detail'!E21</f>
        <v>-4.6820000000000001E-2</v>
      </c>
      <c r="F21" s="20">
        <f>+'Rates in detail'!J21+'Rates in detail'!K21-'Rates in detail'!F21-'Rates in detail'!G21</f>
        <v>0</v>
      </c>
      <c r="G21" s="20">
        <f>+D21+E21+F21</f>
        <v>0.53181999999999996</v>
      </c>
      <c r="H21" s="20">
        <f>+'Rates in detail'!N21-'Rates in detail'!M21</f>
        <v>-1.6629999999999999E-2</v>
      </c>
      <c r="I21" s="20"/>
      <c r="J21" s="20"/>
      <c r="K21" s="20"/>
      <c r="L21" s="20"/>
      <c r="M21" s="20"/>
      <c r="N21" s="20"/>
      <c r="O21" s="20"/>
      <c r="P21" s="564">
        <f>'Rates in detail'!U21</f>
        <v>0</v>
      </c>
      <c r="Q21" s="20">
        <f t="shared" si="1"/>
        <v>0.51518999999999993</v>
      </c>
      <c r="R21" s="106"/>
      <c r="S21" s="20"/>
      <c r="T21" s="435"/>
    </row>
    <row r="22" spans="1:20" x14ac:dyDescent="0.25">
      <c r="A22" s="43">
        <f t="shared" si="0"/>
        <v>16</v>
      </c>
      <c r="B22" s="74"/>
      <c r="C22" s="22" t="s">
        <v>7</v>
      </c>
      <c r="D22" s="14">
        <f>+'Rates in detail'!D22</f>
        <v>0.54000999999999988</v>
      </c>
      <c r="E22" s="14">
        <f>+'Rates in detail'!I22-'Rates in detail'!E22</f>
        <v>-4.6820000000000001E-2</v>
      </c>
      <c r="F22" s="14">
        <f>+'Rates in detail'!J22+'Rates in detail'!K22-'Rates in detail'!F22-'Rates in detail'!G22</f>
        <v>0</v>
      </c>
      <c r="G22" s="14">
        <f>+D22+E22+F22</f>
        <v>0.49318999999999991</v>
      </c>
      <c r="H22" s="14">
        <f>+'Rates in detail'!N22-'Rates in detail'!M22</f>
        <v>-1.6930000000000004E-2</v>
      </c>
      <c r="I22" s="14"/>
      <c r="J22" s="14"/>
      <c r="K22" s="14"/>
      <c r="L22" s="14"/>
      <c r="M22" s="14"/>
      <c r="N22" s="14"/>
      <c r="O22" s="14"/>
      <c r="P22" s="575">
        <f>'Rates in detail'!U22</f>
        <v>0</v>
      </c>
      <c r="Q22" s="14">
        <f t="shared" si="1"/>
        <v>0.47625999999999991</v>
      </c>
      <c r="R22" s="106"/>
      <c r="S22" s="14"/>
      <c r="T22" s="435"/>
    </row>
    <row r="23" spans="1:20" x14ac:dyDescent="0.25">
      <c r="A23" s="43">
        <f t="shared" si="0"/>
        <v>17</v>
      </c>
      <c r="B23" s="69" t="s">
        <v>161</v>
      </c>
      <c r="C23" s="18" t="s">
        <v>6</v>
      </c>
      <c r="D23" s="20">
        <f>+'Rates in detail'!D23</f>
        <v>0.30076999999999998</v>
      </c>
      <c r="E23" s="20">
        <f>+'Rates in detail'!I23-'Rates in detail'!E23</f>
        <v>0</v>
      </c>
      <c r="F23" s="20">
        <f>+'Rates in detail'!J23+'Rates in detail'!K23-'Rates in detail'!F23-'Rates in detail'!G23</f>
        <v>0</v>
      </c>
      <c r="G23" s="20">
        <f t="shared" si="2"/>
        <v>0.30076999999999998</v>
      </c>
      <c r="H23" s="20">
        <f>+'Rates in detail'!N23-'Rates in detail'!M23</f>
        <v>-5.8E-4</v>
      </c>
      <c r="I23" s="20"/>
      <c r="J23" s="20"/>
      <c r="K23" s="20"/>
      <c r="L23" s="20"/>
      <c r="M23" s="20"/>
      <c r="N23" s="20"/>
      <c r="O23" s="20"/>
      <c r="P23" s="564">
        <f>'Rates in detail'!U23</f>
        <v>0</v>
      </c>
      <c r="Q23" s="20">
        <f t="shared" si="1"/>
        <v>0.30018999999999996</v>
      </c>
      <c r="R23" s="106"/>
      <c r="S23" s="20"/>
      <c r="T23" s="435"/>
    </row>
    <row r="24" spans="1:20" x14ac:dyDescent="0.25">
      <c r="A24" s="43">
        <f t="shared" si="0"/>
        <v>18</v>
      </c>
      <c r="B24" s="74"/>
      <c r="C24" s="22" t="s">
        <v>7</v>
      </c>
      <c r="D24" s="14">
        <f>+'Rates in detail'!D24</f>
        <v>0.26500000000000001</v>
      </c>
      <c r="E24" s="14">
        <f>+'Rates in detail'!I24-'Rates in detail'!E24</f>
        <v>0</v>
      </c>
      <c r="F24" s="14">
        <f>+'Rates in detail'!J24+'Rates in detail'!K24-'Rates in detail'!F24-'Rates in detail'!G24</f>
        <v>0</v>
      </c>
      <c r="G24" s="14">
        <f t="shared" si="2"/>
        <v>0.26500000000000001</v>
      </c>
      <c r="H24" s="14">
        <f>+'Rates in detail'!N24-'Rates in detail'!M24</f>
        <v>-5.1000000000000004E-4</v>
      </c>
      <c r="I24" s="14"/>
      <c r="J24" s="14"/>
      <c r="K24" s="14"/>
      <c r="L24" s="14"/>
      <c r="M24" s="14"/>
      <c r="N24" s="14"/>
      <c r="O24" s="14"/>
      <c r="P24" s="575">
        <f>'Rates in detail'!U24</f>
        <v>0</v>
      </c>
      <c r="Q24" s="14">
        <f t="shared" si="1"/>
        <v>0.26449</v>
      </c>
      <c r="R24" s="106"/>
      <c r="S24" s="14"/>
      <c r="T24" s="435"/>
    </row>
    <row r="25" spans="1:20" x14ac:dyDescent="0.25">
      <c r="A25" s="43">
        <f t="shared" si="0"/>
        <v>19</v>
      </c>
      <c r="B25" s="69" t="s">
        <v>367</v>
      </c>
      <c r="C25" s="18" t="s">
        <v>6</v>
      </c>
      <c r="D25" s="20">
        <f>+'Rates in detail'!D25</f>
        <v>0.53626000000000018</v>
      </c>
      <c r="E25" s="20">
        <f>+'Rates in detail'!I25-'Rates in detail'!E25</f>
        <v>-4.6820000000000001E-2</v>
      </c>
      <c r="F25" s="20">
        <f>+'Rates in detail'!J25+'Rates in detail'!K25-'Rates in detail'!F25-'Rates in detail'!G25</f>
        <v>0</v>
      </c>
      <c r="G25" s="20">
        <f>+D25+E25+F25</f>
        <v>0.48944000000000021</v>
      </c>
      <c r="H25" s="20">
        <f>+'Rates in detail'!N25-'Rates in detail'!M25</f>
        <v>-1.351999999999999E-2</v>
      </c>
      <c r="I25" s="20"/>
      <c r="J25" s="20"/>
      <c r="K25" s="20"/>
      <c r="L25" s="20"/>
      <c r="M25" s="20"/>
      <c r="N25" s="20"/>
      <c r="O25" s="20"/>
      <c r="P25" s="564">
        <f>'Rates in detail'!U25</f>
        <v>0</v>
      </c>
      <c r="Q25" s="20">
        <f t="shared" si="1"/>
        <v>0.47592000000000023</v>
      </c>
      <c r="R25" s="106"/>
      <c r="S25" s="20"/>
      <c r="T25" s="435"/>
    </row>
    <row r="26" spans="1:20" x14ac:dyDescent="0.25">
      <c r="A26" s="43">
        <f t="shared" si="0"/>
        <v>20</v>
      </c>
      <c r="B26" s="74"/>
      <c r="C26" s="22" t="s">
        <v>7</v>
      </c>
      <c r="D26" s="14">
        <f>+'Rates in detail'!D26</f>
        <v>0.49990999999999991</v>
      </c>
      <c r="E26" s="14">
        <f>+'Rates in detail'!I26-'Rates in detail'!E26</f>
        <v>-4.6820000000000001E-2</v>
      </c>
      <c r="F26" s="14">
        <f>+'Rates in detail'!J26+'Rates in detail'!K26-'Rates in detail'!F26-'Rates in detail'!G26</f>
        <v>0</v>
      </c>
      <c r="G26" s="14">
        <f>+D26+E26+F26</f>
        <v>0.45308999999999988</v>
      </c>
      <c r="H26" s="14">
        <f>+'Rates in detail'!N26-'Rates in detail'!M26</f>
        <v>-1.3489999999999995E-2</v>
      </c>
      <c r="I26" s="14"/>
      <c r="J26" s="14"/>
      <c r="K26" s="14"/>
      <c r="L26" s="14"/>
      <c r="M26" s="14"/>
      <c r="N26" s="14"/>
      <c r="O26" s="14"/>
      <c r="P26" s="575">
        <f>'Rates in detail'!U26</f>
        <v>0</v>
      </c>
      <c r="Q26" s="14">
        <f t="shared" si="1"/>
        <v>0.43959999999999988</v>
      </c>
      <c r="R26" s="106"/>
      <c r="S26" s="14"/>
      <c r="T26" s="435"/>
    </row>
    <row r="27" spans="1:20" x14ac:dyDescent="0.25">
      <c r="A27" s="43">
        <f t="shared" si="0"/>
        <v>21</v>
      </c>
      <c r="B27" s="69" t="s">
        <v>368</v>
      </c>
      <c r="C27" s="18" t="s">
        <v>6</v>
      </c>
      <c r="D27" s="20">
        <f>+'Rates in detail'!D27</f>
        <v>0.55922000000000005</v>
      </c>
      <c r="E27" s="20">
        <f>+'Rates in detail'!I27-'Rates in detail'!E27</f>
        <v>-4.6820000000000001E-2</v>
      </c>
      <c r="F27" s="20">
        <f>+'Rates in detail'!J27+'Rates in detail'!K27-'Rates in detail'!F27-'Rates in detail'!G27</f>
        <v>0</v>
      </c>
      <c r="G27" s="20">
        <f t="shared" si="2"/>
        <v>0.51240000000000008</v>
      </c>
      <c r="H27" s="20">
        <f>+'Rates in detail'!N27-'Rates in detail'!M27</f>
        <v>-1.9400000000000001E-2</v>
      </c>
      <c r="I27" s="20"/>
      <c r="J27" s="20"/>
      <c r="K27" s="20"/>
      <c r="L27" s="20"/>
      <c r="M27" s="20"/>
      <c r="N27" s="20"/>
      <c r="O27" s="20"/>
      <c r="P27" s="564">
        <f>'Rates in detail'!U27</f>
        <v>0</v>
      </c>
      <c r="Q27" s="20">
        <f t="shared" si="1"/>
        <v>0.4930000000000001</v>
      </c>
      <c r="R27" s="106"/>
      <c r="S27" s="20"/>
      <c r="T27" s="435"/>
    </row>
    <row r="28" spans="1:20" x14ac:dyDescent="0.25">
      <c r="A28" s="43">
        <f t="shared" si="0"/>
        <v>22</v>
      </c>
      <c r="B28" s="74"/>
      <c r="C28" s="22" t="s">
        <v>7</v>
      </c>
      <c r="D28" s="14">
        <f>+'Rates in detail'!D28</f>
        <v>0.52289999999999992</v>
      </c>
      <c r="E28" s="14">
        <f>+'Rates in detail'!I28-'Rates in detail'!E28</f>
        <v>-4.6820000000000001E-2</v>
      </c>
      <c r="F28" s="14">
        <f>+'Rates in detail'!J28+'Rates in detail'!K28-'Rates in detail'!F28-'Rates in detail'!G28</f>
        <v>0</v>
      </c>
      <c r="G28" s="14">
        <f t="shared" si="2"/>
        <v>0.47607999999999995</v>
      </c>
      <c r="H28" s="14">
        <f>+'Rates in detail'!N28-'Rates in detail'!M28</f>
        <v>-1.9369999999999998E-2</v>
      </c>
      <c r="I28" s="14"/>
      <c r="J28" s="14"/>
      <c r="K28" s="14"/>
      <c r="L28" s="14"/>
      <c r="M28" s="14"/>
      <c r="N28" s="14"/>
      <c r="O28" s="14"/>
      <c r="P28" s="575">
        <f>'Rates in detail'!U28</f>
        <v>0</v>
      </c>
      <c r="Q28" s="14">
        <f t="shared" si="1"/>
        <v>0.45670999999999995</v>
      </c>
      <c r="R28" s="106"/>
      <c r="S28" s="14"/>
      <c r="T28" s="435"/>
    </row>
    <row r="29" spans="1:20" x14ac:dyDescent="0.25">
      <c r="A29" s="43">
        <f t="shared" si="0"/>
        <v>23</v>
      </c>
      <c r="B29" s="69" t="s">
        <v>163</v>
      </c>
      <c r="C29" s="18" t="s">
        <v>6</v>
      </c>
      <c r="D29" s="20">
        <f>+'Rates in detail'!D29</f>
        <v>0.36596999999999991</v>
      </c>
      <c r="E29" s="20">
        <f>+'Rates in detail'!I29-'Rates in detail'!E29</f>
        <v>-4.6820000000000001E-2</v>
      </c>
      <c r="F29" s="20">
        <f>+'Rates in detail'!J29+'Rates in detail'!K29-'Rates in detail'!F29-'Rates in detail'!G29</f>
        <v>0</v>
      </c>
      <c r="G29" s="20">
        <f t="shared" si="2"/>
        <v>0.31914999999999993</v>
      </c>
      <c r="H29" s="20">
        <f>+'Rates in detail'!N29-'Rates in detail'!M29</f>
        <v>-1.480999999999999E-2</v>
      </c>
      <c r="I29" s="20"/>
      <c r="J29" s="20"/>
      <c r="K29" s="20"/>
      <c r="L29" s="20"/>
      <c r="M29" s="20"/>
      <c r="N29" s="20"/>
      <c r="O29" s="20"/>
      <c r="P29" s="564">
        <f>'Rates in detail'!U29</f>
        <v>0</v>
      </c>
      <c r="Q29" s="20">
        <f t="shared" si="1"/>
        <v>0.30433999999999994</v>
      </c>
      <c r="R29" s="106"/>
      <c r="S29" s="20"/>
      <c r="T29" s="435"/>
    </row>
    <row r="30" spans="1:20" x14ac:dyDescent="0.25">
      <c r="A30" s="43">
        <f t="shared" si="0"/>
        <v>24</v>
      </c>
      <c r="B30" s="69"/>
      <c r="C30" s="18" t="s">
        <v>7</v>
      </c>
      <c r="D30" s="20">
        <f>+'Rates in detail'!D30</f>
        <v>0.3517599999999998</v>
      </c>
      <c r="E30" s="20">
        <f>+'Rates in detail'!I30-'Rates in detail'!E30</f>
        <v>-4.6820000000000001E-2</v>
      </c>
      <c r="F30" s="20">
        <f>+'Rates in detail'!J30+'Rates in detail'!K30-'Rates in detail'!F30-'Rates in detail'!G30</f>
        <v>0</v>
      </c>
      <c r="G30" s="20">
        <f t="shared" si="2"/>
        <v>0.30493999999999977</v>
      </c>
      <c r="H30" s="20">
        <f>+'Rates in detail'!N30-'Rates in detail'!M30</f>
        <v>-1.4639999999999993E-2</v>
      </c>
      <c r="I30" s="20"/>
      <c r="J30" s="20"/>
      <c r="K30" s="20"/>
      <c r="L30" s="20"/>
      <c r="M30" s="20"/>
      <c r="N30" s="20"/>
      <c r="O30" s="20"/>
      <c r="P30" s="564">
        <f>'Rates in detail'!U30</f>
        <v>0</v>
      </c>
      <c r="Q30" s="20">
        <f t="shared" si="1"/>
        <v>0.29029999999999978</v>
      </c>
      <c r="R30" s="106"/>
      <c r="S30" s="20"/>
      <c r="T30" s="435"/>
    </row>
    <row r="31" spans="1:20" x14ac:dyDescent="0.25">
      <c r="A31" s="43">
        <f t="shared" si="0"/>
        <v>25</v>
      </c>
      <c r="B31" s="69"/>
      <c r="C31" s="18" t="s">
        <v>8</v>
      </c>
      <c r="D31" s="20">
        <f>+'Rates in detail'!D31</f>
        <v>0.32346999999999992</v>
      </c>
      <c r="E31" s="20">
        <f>+'Rates in detail'!I31-'Rates in detail'!E31</f>
        <v>-4.6820000000000001E-2</v>
      </c>
      <c r="F31" s="20">
        <f>+'Rates in detail'!J31+'Rates in detail'!K31-'Rates in detail'!F31-'Rates in detail'!G31</f>
        <v>0</v>
      </c>
      <c r="G31" s="20">
        <f t="shared" si="2"/>
        <v>0.27664999999999995</v>
      </c>
      <c r="H31" s="20">
        <f>+'Rates in detail'!N31-'Rates in detail'!M31</f>
        <v>-1.4279999999999994E-2</v>
      </c>
      <c r="I31" s="20"/>
      <c r="J31" s="20"/>
      <c r="K31" s="20"/>
      <c r="L31" s="20"/>
      <c r="M31" s="20"/>
      <c r="N31" s="20"/>
      <c r="O31" s="20"/>
      <c r="P31" s="564">
        <f>'Rates in detail'!U31</f>
        <v>0</v>
      </c>
      <c r="Q31" s="20">
        <f t="shared" si="1"/>
        <v>0.26236999999999994</v>
      </c>
      <c r="R31" s="106"/>
      <c r="S31" s="20"/>
      <c r="T31" s="435"/>
    </row>
    <row r="32" spans="1:20" x14ac:dyDescent="0.25">
      <c r="A32" s="43">
        <f t="shared" si="0"/>
        <v>26</v>
      </c>
      <c r="B32" s="69"/>
      <c r="C32" s="18" t="s">
        <v>9</v>
      </c>
      <c r="D32" s="20">
        <f>+'Rates in detail'!D32</f>
        <v>0.30485000000000018</v>
      </c>
      <c r="E32" s="20">
        <f>+'Rates in detail'!I32-'Rates in detail'!E32</f>
        <v>-4.6820000000000001E-2</v>
      </c>
      <c r="F32" s="20">
        <f>+'Rates in detail'!J32+'Rates in detail'!K32-'Rates in detail'!F32-'Rates in detail'!G32</f>
        <v>0</v>
      </c>
      <c r="G32" s="20">
        <f t="shared" si="2"/>
        <v>0.2580300000000002</v>
      </c>
      <c r="H32" s="20">
        <f>+'Rates in detail'!N32-'Rates in detail'!M32</f>
        <v>-1.4049999999999993E-2</v>
      </c>
      <c r="I32" s="20"/>
      <c r="J32" s="20"/>
      <c r="K32" s="20"/>
      <c r="L32" s="20"/>
      <c r="M32" s="20"/>
      <c r="N32" s="20"/>
      <c r="O32" s="20"/>
      <c r="P32" s="564">
        <f>'Rates in detail'!U32</f>
        <v>0</v>
      </c>
      <c r="Q32" s="20">
        <f t="shared" si="1"/>
        <v>0.2439800000000002</v>
      </c>
      <c r="R32" s="106"/>
      <c r="S32" s="20"/>
      <c r="T32" s="435"/>
    </row>
    <row r="33" spans="1:20" x14ac:dyDescent="0.25">
      <c r="A33" s="43">
        <f t="shared" si="0"/>
        <v>27</v>
      </c>
      <c r="B33" s="69"/>
      <c r="C33" s="18" t="s">
        <v>10</v>
      </c>
      <c r="D33" s="20">
        <f>+'Rates in detail'!D33</f>
        <v>0.28002999999999995</v>
      </c>
      <c r="E33" s="20">
        <f>+'Rates in detail'!I33-'Rates in detail'!E33</f>
        <v>-4.6820000000000001E-2</v>
      </c>
      <c r="F33" s="20">
        <f>+'Rates in detail'!J33+'Rates in detail'!K33-'Rates in detail'!F33-'Rates in detail'!G33</f>
        <v>0</v>
      </c>
      <c r="G33" s="20">
        <f t="shared" si="2"/>
        <v>0.23320999999999995</v>
      </c>
      <c r="H33" s="20">
        <f>+'Rates in detail'!N33-'Rates in detail'!M33</f>
        <v>-1.3759999999999988E-2</v>
      </c>
      <c r="I33" s="20"/>
      <c r="J33" s="20"/>
      <c r="K33" s="20"/>
      <c r="L33" s="20"/>
      <c r="M33" s="20"/>
      <c r="N33" s="20"/>
      <c r="O33" s="20"/>
      <c r="P33" s="564">
        <f>'Rates in detail'!U33</f>
        <v>0</v>
      </c>
      <c r="Q33" s="20">
        <f t="shared" si="1"/>
        <v>0.21944999999999995</v>
      </c>
      <c r="R33" s="106"/>
      <c r="S33" s="20"/>
      <c r="T33" s="435"/>
    </row>
    <row r="34" spans="1:20" x14ac:dyDescent="0.25">
      <c r="A34" s="43">
        <f t="shared" si="0"/>
        <v>28</v>
      </c>
      <c r="B34" s="74"/>
      <c r="C34" s="22" t="s">
        <v>11</v>
      </c>
      <c r="D34" s="14">
        <f>+'Rates in detail'!D34</f>
        <v>0.24900000000000005</v>
      </c>
      <c r="E34" s="14">
        <f>+'Rates in detail'!I34-'Rates in detail'!E34</f>
        <v>-4.6820000000000001E-2</v>
      </c>
      <c r="F34" s="14">
        <f>+'Rates in detail'!J34+'Rates in detail'!K34-'Rates in detail'!F34-'Rates in detail'!G34</f>
        <v>0</v>
      </c>
      <c r="G34" s="14">
        <f t="shared" si="2"/>
        <v>0.20218000000000005</v>
      </c>
      <c r="H34" s="14">
        <f>+'Rates in detail'!N34-'Rates in detail'!M34</f>
        <v>-1.3369999999999993E-2</v>
      </c>
      <c r="I34" s="14"/>
      <c r="J34" s="14"/>
      <c r="K34" s="14"/>
      <c r="L34" s="14"/>
      <c r="M34" s="14"/>
      <c r="N34" s="14"/>
      <c r="O34" s="14"/>
      <c r="P34" s="575">
        <f>'Rates in detail'!U34</f>
        <v>0</v>
      </c>
      <c r="Q34" s="14">
        <f t="shared" si="1"/>
        <v>0.18881000000000006</v>
      </c>
      <c r="R34" s="106"/>
      <c r="S34" s="14"/>
      <c r="T34" s="435"/>
    </row>
    <row r="35" spans="1:20" x14ac:dyDescent="0.25">
      <c r="A35" s="43">
        <f t="shared" si="0"/>
        <v>29</v>
      </c>
      <c r="B35" s="69" t="s">
        <v>164</v>
      </c>
      <c r="C35" s="18" t="s">
        <v>6</v>
      </c>
      <c r="D35" s="20">
        <f>+'Rates in detail'!D35</f>
        <v>0.35160999999999998</v>
      </c>
      <c r="E35" s="20">
        <f>+'Rates in detail'!I35-'Rates in detail'!E35</f>
        <v>-4.6820000000000001E-2</v>
      </c>
      <c r="F35" s="20">
        <f>+'Rates in detail'!J35+'Rates in detail'!K35-'Rates in detail'!F35-'Rates in detail'!G35</f>
        <v>0</v>
      </c>
      <c r="G35" s="20">
        <f t="shared" si="2"/>
        <v>0.30479000000000001</v>
      </c>
      <c r="H35" s="20">
        <f>+'Rates in detail'!N35-'Rates in detail'!M35</f>
        <v>-1.3389999999999992E-2</v>
      </c>
      <c r="I35" s="20"/>
      <c r="J35" s="20"/>
      <c r="K35" s="20"/>
      <c r="L35" s="20"/>
      <c r="M35" s="20"/>
      <c r="N35" s="20"/>
      <c r="O35" s="20"/>
      <c r="P35" s="564">
        <f>'Rates in detail'!U35</f>
        <v>0</v>
      </c>
      <c r="Q35" s="20">
        <f t="shared" si="1"/>
        <v>0.29139999999999999</v>
      </c>
      <c r="R35" s="106"/>
      <c r="S35" s="20"/>
      <c r="T35" s="435"/>
    </row>
    <row r="36" spans="1:20" x14ac:dyDescent="0.25">
      <c r="A36" s="43">
        <f t="shared" si="0"/>
        <v>30</v>
      </c>
      <c r="B36" s="69"/>
      <c r="C36" s="18" t="s">
        <v>7</v>
      </c>
      <c r="D36" s="20">
        <f>+'Rates in detail'!D36</f>
        <v>0.33889000000000008</v>
      </c>
      <c r="E36" s="20">
        <f>+'Rates in detail'!I36-'Rates in detail'!E36</f>
        <v>-4.6820000000000001E-2</v>
      </c>
      <c r="F36" s="20">
        <f>+'Rates in detail'!J36+'Rates in detail'!K36-'Rates in detail'!F36-'Rates in detail'!G36</f>
        <v>0</v>
      </c>
      <c r="G36" s="20">
        <f t="shared" si="2"/>
        <v>0.29207000000000005</v>
      </c>
      <c r="H36" s="20">
        <f>+'Rates in detail'!N36-'Rates in detail'!M36</f>
        <v>-1.3349999999999994E-2</v>
      </c>
      <c r="I36" s="20"/>
      <c r="J36" s="20"/>
      <c r="K36" s="20"/>
      <c r="L36" s="20"/>
      <c r="M36" s="20"/>
      <c r="N36" s="20"/>
      <c r="O36" s="20"/>
      <c r="P36" s="564">
        <f>'Rates in detail'!U36</f>
        <v>0</v>
      </c>
      <c r="Q36" s="20">
        <f t="shared" si="1"/>
        <v>0.27872000000000008</v>
      </c>
      <c r="R36" s="106"/>
      <c r="S36" s="20"/>
      <c r="T36" s="435"/>
    </row>
    <row r="37" spans="1:20" x14ac:dyDescent="0.25">
      <c r="A37" s="43">
        <f t="shared" si="0"/>
        <v>31</v>
      </c>
      <c r="B37" s="69"/>
      <c r="C37" s="18" t="s">
        <v>8</v>
      </c>
      <c r="D37" s="20">
        <f>+'Rates in detail'!D37</f>
        <v>0.31359999999999988</v>
      </c>
      <c r="E37" s="20">
        <f>+'Rates in detail'!I37-'Rates in detail'!E37</f>
        <v>-4.6820000000000001E-2</v>
      </c>
      <c r="F37" s="20">
        <f>+'Rates in detail'!J37+'Rates in detail'!K37-'Rates in detail'!F37-'Rates in detail'!G37</f>
        <v>0</v>
      </c>
      <c r="G37" s="20">
        <f t="shared" si="2"/>
        <v>0.26677999999999991</v>
      </c>
      <c r="H37" s="20">
        <f>+'Rates in detail'!N37-'Rates in detail'!M37</f>
        <v>-1.3309999999999989E-2</v>
      </c>
      <c r="I37" s="20"/>
      <c r="J37" s="20"/>
      <c r="K37" s="20"/>
      <c r="L37" s="20"/>
      <c r="M37" s="20"/>
      <c r="N37" s="20"/>
      <c r="O37" s="20"/>
      <c r="P37" s="564">
        <f>'Rates in detail'!U37</f>
        <v>0</v>
      </c>
      <c r="Q37" s="20">
        <f t="shared" si="1"/>
        <v>0.25346999999999992</v>
      </c>
      <c r="R37" s="106"/>
      <c r="S37" s="20"/>
      <c r="T37" s="435"/>
    </row>
    <row r="38" spans="1:20" x14ac:dyDescent="0.25">
      <c r="A38" s="43">
        <f t="shared" si="0"/>
        <v>32</v>
      </c>
      <c r="B38" s="69"/>
      <c r="C38" s="18" t="s">
        <v>9</v>
      </c>
      <c r="D38" s="20">
        <f>+'Rates in detail'!D38</f>
        <v>0.29696000000000011</v>
      </c>
      <c r="E38" s="20">
        <f>+'Rates in detail'!I38-'Rates in detail'!E38</f>
        <v>-4.6820000000000001E-2</v>
      </c>
      <c r="F38" s="20">
        <f>+'Rates in detail'!J38+'Rates in detail'!K38-'Rates in detail'!F38-'Rates in detail'!G38</f>
        <v>0</v>
      </c>
      <c r="G38" s="20">
        <f t="shared" si="2"/>
        <v>0.25014000000000014</v>
      </c>
      <c r="H38" s="20">
        <f>+'Rates in detail'!N38-'Rates in detail'!M38</f>
        <v>-1.3279999999999993E-2</v>
      </c>
      <c r="I38" s="20"/>
      <c r="J38" s="20"/>
      <c r="K38" s="20"/>
      <c r="L38" s="20"/>
      <c r="M38" s="20"/>
      <c r="N38" s="20"/>
      <c r="O38" s="20"/>
      <c r="P38" s="564">
        <f>'Rates in detail'!U38</f>
        <v>0</v>
      </c>
      <c r="Q38" s="20">
        <f t="shared" si="1"/>
        <v>0.23686000000000015</v>
      </c>
      <c r="R38" s="106"/>
      <c r="S38" s="20"/>
      <c r="T38" s="435"/>
    </row>
    <row r="39" spans="1:20" x14ac:dyDescent="0.25">
      <c r="A39" s="43">
        <f t="shared" si="0"/>
        <v>33</v>
      </c>
      <c r="B39" s="69"/>
      <c r="C39" s="18" t="s">
        <v>10</v>
      </c>
      <c r="D39" s="20">
        <f>+'Rates in detail'!D39</f>
        <v>0.27478000000000019</v>
      </c>
      <c r="E39" s="20">
        <f>+'Rates in detail'!I39-'Rates in detail'!E39</f>
        <v>-4.6820000000000001E-2</v>
      </c>
      <c r="F39" s="20">
        <f>+'Rates in detail'!J39+'Rates in detail'!K39-'Rates in detail'!F39-'Rates in detail'!G39</f>
        <v>0</v>
      </c>
      <c r="G39" s="20">
        <f t="shared" si="2"/>
        <v>0.22796000000000019</v>
      </c>
      <c r="H39" s="20">
        <f>+'Rates in detail'!N39-'Rates in detail'!M39</f>
        <v>-1.3229999999999992E-2</v>
      </c>
      <c r="I39" s="20"/>
      <c r="J39" s="20"/>
      <c r="K39" s="20"/>
      <c r="L39" s="20"/>
      <c r="M39" s="20"/>
      <c r="N39" s="20"/>
      <c r="O39" s="20"/>
      <c r="P39" s="564">
        <f>'Rates in detail'!U39</f>
        <v>0</v>
      </c>
      <c r="Q39" s="20">
        <f t="shared" si="1"/>
        <v>0.2147300000000002</v>
      </c>
      <c r="R39" s="106"/>
      <c r="S39" s="20"/>
      <c r="T39" s="435"/>
    </row>
    <row r="40" spans="1:20" x14ac:dyDescent="0.25">
      <c r="A40" s="43">
        <f t="shared" si="0"/>
        <v>34</v>
      </c>
      <c r="B40" s="74"/>
      <c r="C40" s="22" t="s">
        <v>11</v>
      </c>
      <c r="D40" s="14">
        <f>+'Rates in detail'!D40</f>
        <v>0.24702999999999992</v>
      </c>
      <c r="E40" s="14">
        <f>+'Rates in detail'!I40-'Rates in detail'!E40</f>
        <v>-4.6820000000000001E-2</v>
      </c>
      <c r="F40" s="14">
        <f>+'Rates in detail'!J40+'Rates in detail'!K40-'Rates in detail'!F40-'Rates in detail'!G40</f>
        <v>0</v>
      </c>
      <c r="G40" s="14">
        <f t="shared" si="2"/>
        <v>0.20020999999999992</v>
      </c>
      <c r="H40" s="14">
        <f>+'Rates in detail'!N40-'Rates in detail'!M40</f>
        <v>-1.3169999999999994E-2</v>
      </c>
      <c r="I40" s="14"/>
      <c r="J40" s="14"/>
      <c r="K40" s="14"/>
      <c r="L40" s="14"/>
      <c r="M40" s="14"/>
      <c r="N40" s="14"/>
      <c r="O40" s="14"/>
      <c r="P40" s="575">
        <f>'Rates in detail'!U40</f>
        <v>0</v>
      </c>
      <c r="Q40" s="14">
        <f t="shared" si="1"/>
        <v>0.18703999999999993</v>
      </c>
      <c r="R40" s="106"/>
      <c r="S40" s="14"/>
      <c r="T40" s="435"/>
    </row>
    <row r="41" spans="1:20" x14ac:dyDescent="0.25">
      <c r="A41" s="43">
        <f t="shared" si="0"/>
        <v>35</v>
      </c>
      <c r="B41" s="69" t="s">
        <v>165</v>
      </c>
      <c r="C41" s="18" t="s">
        <v>6</v>
      </c>
      <c r="D41" s="20">
        <f>+'Rates in detail'!D41</f>
        <v>0.11817999999999999</v>
      </c>
      <c r="E41" s="20">
        <f>+'Rates in detail'!I41-'Rates in detail'!E41</f>
        <v>0</v>
      </c>
      <c r="F41" s="20">
        <f>+'Rates in detail'!J41+'Rates in detail'!K41-'Rates in detail'!F41-'Rates in detail'!G41</f>
        <v>0</v>
      </c>
      <c r="G41" s="20">
        <f t="shared" si="2"/>
        <v>0.11817999999999999</v>
      </c>
      <c r="H41" s="20">
        <f>+'Rates in detail'!N41-'Rates in detail'!M41</f>
        <v>-2.3000000000000001E-4</v>
      </c>
      <c r="I41" s="20"/>
      <c r="J41" s="20"/>
      <c r="K41" s="20"/>
      <c r="L41" s="20"/>
      <c r="M41" s="20"/>
      <c r="N41" s="20"/>
      <c r="O41" s="20"/>
      <c r="P41" s="564">
        <f>'Rates in detail'!U41</f>
        <v>0</v>
      </c>
      <c r="Q41" s="20">
        <f t="shared" si="1"/>
        <v>0.11795</v>
      </c>
      <c r="R41" s="106"/>
      <c r="S41" s="20"/>
      <c r="T41" s="435"/>
    </row>
    <row r="42" spans="1:20" x14ac:dyDescent="0.25">
      <c r="A42" s="43">
        <f t="shared" si="0"/>
        <v>36</v>
      </c>
      <c r="B42" s="69"/>
      <c r="C42" s="18" t="s">
        <v>7</v>
      </c>
      <c r="D42" s="20">
        <f>+'Rates in detail'!D42</f>
        <v>0.10579</v>
      </c>
      <c r="E42" s="20">
        <f>+'Rates in detail'!I42-'Rates in detail'!E42</f>
        <v>0</v>
      </c>
      <c r="F42" s="20">
        <f>+'Rates in detail'!J42+'Rates in detail'!K42-'Rates in detail'!F42-'Rates in detail'!G42</f>
        <v>0</v>
      </c>
      <c r="G42" s="20">
        <f t="shared" si="2"/>
        <v>0.10579</v>
      </c>
      <c r="H42" s="20">
        <f>+'Rates in detail'!N42-'Rates in detail'!M42</f>
        <v>-2.1000000000000001E-4</v>
      </c>
      <c r="I42" s="20"/>
      <c r="J42" s="20"/>
      <c r="K42" s="20"/>
      <c r="L42" s="20"/>
      <c r="M42" s="20"/>
      <c r="N42" s="20"/>
      <c r="O42" s="20"/>
      <c r="P42" s="564">
        <f>'Rates in detail'!U42</f>
        <v>0</v>
      </c>
      <c r="Q42" s="20">
        <f t="shared" si="1"/>
        <v>0.10557999999999999</v>
      </c>
      <c r="R42" s="106"/>
      <c r="S42" s="20"/>
      <c r="T42" s="435"/>
    </row>
    <row r="43" spans="1:20" x14ac:dyDescent="0.25">
      <c r="A43" s="43">
        <f t="shared" si="0"/>
        <v>37</v>
      </c>
      <c r="B43" s="69"/>
      <c r="C43" s="18" t="s">
        <v>8</v>
      </c>
      <c r="D43" s="20">
        <f>+'Rates in detail'!D43</f>
        <v>8.1119999999999998E-2</v>
      </c>
      <c r="E43" s="20">
        <f>+'Rates in detail'!I43-'Rates in detail'!E43</f>
        <v>0</v>
      </c>
      <c r="F43" s="20">
        <f>+'Rates in detail'!J43+'Rates in detail'!K43-'Rates in detail'!F43-'Rates in detail'!G43</f>
        <v>0</v>
      </c>
      <c r="G43" s="20">
        <f t="shared" si="2"/>
        <v>8.1119999999999998E-2</v>
      </c>
      <c r="H43" s="20">
        <f>+'Rates in detail'!N43-'Rates in detail'!M43</f>
        <v>-1.6000000000000001E-4</v>
      </c>
      <c r="I43" s="20"/>
      <c r="J43" s="20"/>
      <c r="K43" s="20"/>
      <c r="L43" s="20"/>
      <c r="M43" s="20"/>
      <c r="N43" s="20"/>
      <c r="O43" s="20"/>
      <c r="P43" s="564">
        <f>'Rates in detail'!U43</f>
        <v>0</v>
      </c>
      <c r="Q43" s="20">
        <f t="shared" si="1"/>
        <v>8.0960000000000004E-2</v>
      </c>
      <c r="R43" s="106"/>
      <c r="S43" s="20">
        <f t="shared" ref="S43:S66" si="3">+Q43-D43</f>
        <v>-1.5999999999999348E-4</v>
      </c>
      <c r="T43" s="435">
        <f t="shared" ref="T43:T66" si="4">ROUND(S43/D43,3)</f>
        <v>-2E-3</v>
      </c>
    </row>
    <row r="44" spans="1:20" x14ac:dyDescent="0.25">
      <c r="A44" s="43">
        <f t="shared" si="0"/>
        <v>38</v>
      </c>
      <c r="B44" s="69"/>
      <c r="C44" s="18" t="s">
        <v>9</v>
      </c>
      <c r="D44" s="20">
        <f>+'Rates in detail'!D44</f>
        <v>6.4899999999999999E-2</v>
      </c>
      <c r="E44" s="20">
        <f>+'Rates in detail'!I44-'Rates in detail'!E44</f>
        <v>0</v>
      </c>
      <c r="F44" s="20">
        <f>+'Rates in detail'!J44+'Rates in detail'!K44-'Rates in detail'!F44-'Rates in detail'!G44</f>
        <v>0</v>
      </c>
      <c r="G44" s="20">
        <f t="shared" si="2"/>
        <v>6.4899999999999999E-2</v>
      </c>
      <c r="H44" s="20">
        <f>+'Rates in detail'!N44-'Rates in detail'!M44</f>
        <v>-1.2999999999999999E-4</v>
      </c>
      <c r="I44" s="20"/>
      <c r="J44" s="20"/>
      <c r="K44" s="20"/>
      <c r="L44" s="20"/>
      <c r="M44" s="20"/>
      <c r="N44" s="20"/>
      <c r="O44" s="20"/>
      <c r="P44" s="564">
        <f>'Rates in detail'!U44</f>
        <v>0</v>
      </c>
      <c r="Q44" s="20">
        <f t="shared" si="1"/>
        <v>6.4769999999999994E-2</v>
      </c>
      <c r="R44" s="106"/>
      <c r="S44" s="20">
        <f t="shared" si="3"/>
        <v>-1.3000000000000511E-4</v>
      </c>
      <c r="T44" s="435">
        <f t="shared" si="4"/>
        <v>-2E-3</v>
      </c>
    </row>
    <row r="45" spans="1:20" x14ac:dyDescent="0.25">
      <c r="A45" s="43">
        <f t="shared" si="0"/>
        <v>39</v>
      </c>
      <c r="B45" s="69"/>
      <c r="C45" s="18" t="s">
        <v>10</v>
      </c>
      <c r="D45" s="20">
        <f>+'Rates in detail'!D45</f>
        <v>4.3270000000000003E-2</v>
      </c>
      <c r="E45" s="20">
        <f>+'Rates in detail'!I45-'Rates in detail'!E45</f>
        <v>0</v>
      </c>
      <c r="F45" s="20">
        <f>+'Rates in detail'!J45+'Rates in detail'!K45-'Rates in detail'!F45-'Rates in detail'!G45</f>
        <v>0</v>
      </c>
      <c r="G45" s="20">
        <f t="shared" si="2"/>
        <v>4.3270000000000003E-2</v>
      </c>
      <c r="H45" s="20">
        <f>+'Rates in detail'!N45-'Rates in detail'!M45</f>
        <v>-9.0000000000000006E-5</v>
      </c>
      <c r="I45" s="20"/>
      <c r="J45" s="20"/>
      <c r="K45" s="20"/>
      <c r="L45" s="20"/>
      <c r="M45" s="20"/>
      <c r="N45" s="20"/>
      <c r="O45" s="20"/>
      <c r="P45" s="564">
        <f>'Rates in detail'!U45</f>
        <v>0</v>
      </c>
      <c r="Q45" s="20">
        <f t="shared" ref="Q45:Q66" si="5">+G45+H45+P45</f>
        <v>4.3180000000000003E-2</v>
      </c>
      <c r="R45" s="106"/>
      <c r="S45" s="20">
        <f t="shared" si="3"/>
        <v>-8.9999999999999802E-5</v>
      </c>
      <c r="T45" s="435">
        <f t="shared" si="4"/>
        <v>-2E-3</v>
      </c>
    </row>
    <row r="46" spans="1:20" x14ac:dyDescent="0.25">
      <c r="A46" s="43">
        <f t="shared" si="0"/>
        <v>40</v>
      </c>
      <c r="B46" s="74"/>
      <c r="C46" s="22" t="s">
        <v>11</v>
      </c>
      <c r="D46" s="14">
        <f>+'Rates in detail'!D46</f>
        <v>1.6219999999999998E-2</v>
      </c>
      <c r="E46" s="14">
        <f>+'Rates in detail'!I46-'Rates in detail'!E46</f>
        <v>0</v>
      </c>
      <c r="F46" s="14">
        <f>+'Rates in detail'!J46+'Rates in detail'!K46-'Rates in detail'!F46-'Rates in detail'!G46</f>
        <v>0</v>
      </c>
      <c r="G46" s="14">
        <f t="shared" si="2"/>
        <v>1.6219999999999998E-2</v>
      </c>
      <c r="H46" s="14">
        <f>+'Rates in detail'!N46-'Rates in detail'!M46</f>
        <v>-3.0000000000000001E-5</v>
      </c>
      <c r="I46" s="14"/>
      <c r="J46" s="14"/>
      <c r="K46" s="14"/>
      <c r="L46" s="14"/>
      <c r="M46" s="14"/>
      <c r="N46" s="14"/>
      <c r="O46" s="14"/>
      <c r="P46" s="575">
        <f>'Rates in detail'!U46</f>
        <v>0</v>
      </c>
      <c r="Q46" s="14">
        <f t="shared" si="5"/>
        <v>1.619E-2</v>
      </c>
      <c r="R46" s="106"/>
      <c r="S46" s="14">
        <f t="shared" si="3"/>
        <v>-2.9999999999998778E-5</v>
      </c>
      <c r="T46" s="435">
        <f t="shared" si="4"/>
        <v>-2E-3</v>
      </c>
    </row>
    <row r="47" spans="1:20" x14ac:dyDescent="0.25">
      <c r="A47" s="43">
        <f t="shared" si="0"/>
        <v>41</v>
      </c>
      <c r="B47" s="69" t="s">
        <v>369</v>
      </c>
      <c r="C47" s="18" t="s">
        <v>6</v>
      </c>
      <c r="D47" s="20">
        <f>+'Rates in detail'!D47</f>
        <v>0.38132999999999995</v>
      </c>
      <c r="E47" s="20">
        <f>+'Rates in detail'!I47-'Rates in detail'!E47</f>
        <v>-4.6820000000000001E-2</v>
      </c>
      <c r="F47" s="20">
        <f>+'Rates in detail'!J47+'Rates in detail'!K47-'Rates in detail'!F47-'Rates in detail'!G47</f>
        <v>0</v>
      </c>
      <c r="G47" s="20">
        <f t="shared" ref="G47:G52" si="6">+D47+E47+F47</f>
        <v>0.33450999999999997</v>
      </c>
      <c r="H47" s="20">
        <f>+'Rates in detail'!N47-'Rates in detail'!M47</f>
        <v>-1.5529999999999999E-2</v>
      </c>
      <c r="I47" s="20"/>
      <c r="J47" s="20"/>
      <c r="K47" s="20"/>
      <c r="L47" s="20"/>
      <c r="M47" s="20"/>
      <c r="N47" s="20"/>
      <c r="O47" s="20"/>
      <c r="P47" s="564">
        <f>'Rates in detail'!U47</f>
        <v>0</v>
      </c>
      <c r="Q47" s="20">
        <f t="shared" si="5"/>
        <v>0.31897999999999999</v>
      </c>
      <c r="R47" s="106"/>
      <c r="S47" s="20">
        <f t="shared" si="3"/>
        <v>-6.2349999999999961E-2</v>
      </c>
      <c r="T47" s="435">
        <f t="shared" si="4"/>
        <v>-0.16400000000000001</v>
      </c>
    </row>
    <row r="48" spans="1:20" x14ac:dyDescent="0.25">
      <c r="A48" s="43">
        <f t="shared" si="0"/>
        <v>42</v>
      </c>
      <c r="B48" s="69"/>
      <c r="C48" s="18" t="s">
        <v>7</v>
      </c>
      <c r="D48" s="20">
        <f>+'Rates in detail'!D48</f>
        <v>0.3679599999999999</v>
      </c>
      <c r="E48" s="20">
        <f>+'Rates in detail'!I48-'Rates in detail'!E48</f>
        <v>-4.6820000000000001E-2</v>
      </c>
      <c r="F48" s="20">
        <f>+'Rates in detail'!J48+'Rates in detail'!K48-'Rates in detail'!F48-'Rates in detail'!G48</f>
        <v>0</v>
      </c>
      <c r="G48" s="20">
        <f t="shared" si="6"/>
        <v>0.32113999999999987</v>
      </c>
      <c r="H48" s="20">
        <f>+'Rates in detail'!N48-'Rates in detail'!M48</f>
        <v>-1.5910000000000001E-2</v>
      </c>
      <c r="I48" s="20"/>
      <c r="J48" s="20"/>
      <c r="K48" s="20"/>
      <c r="L48" s="20"/>
      <c r="M48" s="20"/>
      <c r="N48" s="20"/>
      <c r="O48" s="20"/>
      <c r="P48" s="564">
        <f>'Rates in detail'!U48</f>
        <v>0</v>
      </c>
      <c r="Q48" s="20">
        <f t="shared" si="5"/>
        <v>0.30522999999999989</v>
      </c>
      <c r="R48" s="106"/>
      <c r="S48" s="20">
        <f t="shared" si="3"/>
        <v>-6.2730000000000008E-2</v>
      </c>
      <c r="T48" s="435">
        <f t="shared" si="4"/>
        <v>-0.17</v>
      </c>
    </row>
    <row r="49" spans="1:20" x14ac:dyDescent="0.25">
      <c r="A49" s="43">
        <f t="shared" si="0"/>
        <v>43</v>
      </c>
      <c r="B49" s="69"/>
      <c r="C49" s="18" t="s">
        <v>8</v>
      </c>
      <c r="D49" s="20">
        <f>+'Rates in detail'!D49</f>
        <v>0.34134000000000014</v>
      </c>
      <c r="E49" s="20">
        <f>+'Rates in detail'!I49-'Rates in detail'!E49</f>
        <v>-4.6820000000000001E-2</v>
      </c>
      <c r="F49" s="20">
        <f>+'Rates in detail'!J49+'Rates in detail'!K49-'Rates in detail'!F49-'Rates in detail'!G49</f>
        <v>0</v>
      </c>
      <c r="G49" s="20">
        <f t="shared" si="6"/>
        <v>0.29452000000000012</v>
      </c>
      <c r="H49" s="20">
        <f>+'Rates in detail'!N49-'Rates in detail'!M49</f>
        <v>-1.6649999999999998E-2</v>
      </c>
      <c r="I49" s="20"/>
      <c r="J49" s="20"/>
      <c r="K49" s="20"/>
      <c r="L49" s="20"/>
      <c r="M49" s="20"/>
      <c r="N49" s="20"/>
      <c r="O49" s="20"/>
      <c r="P49" s="564">
        <f>'Rates in detail'!U49</f>
        <v>0</v>
      </c>
      <c r="Q49" s="20">
        <f t="shared" si="5"/>
        <v>0.27787000000000012</v>
      </c>
      <c r="R49" s="106"/>
      <c r="S49" s="20">
        <f t="shared" si="3"/>
        <v>-6.3470000000000026E-2</v>
      </c>
      <c r="T49" s="435">
        <f t="shared" si="4"/>
        <v>-0.186</v>
      </c>
    </row>
    <row r="50" spans="1:20" x14ac:dyDescent="0.25">
      <c r="A50" s="43">
        <f t="shared" si="0"/>
        <v>44</v>
      </c>
      <c r="B50" s="69"/>
      <c r="C50" s="18" t="s">
        <v>9</v>
      </c>
      <c r="D50" s="20">
        <f>+'Rates in detail'!D50</f>
        <v>0.32383999999999996</v>
      </c>
      <c r="E50" s="20">
        <f>+'Rates in detail'!I50-'Rates in detail'!E50</f>
        <v>-4.6820000000000001E-2</v>
      </c>
      <c r="F50" s="20">
        <f>+'Rates in detail'!J50+'Rates in detail'!K50-'Rates in detail'!F50-'Rates in detail'!G50</f>
        <v>0</v>
      </c>
      <c r="G50" s="20">
        <f t="shared" si="6"/>
        <v>0.27701999999999993</v>
      </c>
      <c r="H50" s="20">
        <f>+'Rates in detail'!N50-'Rates in detail'!M50</f>
        <v>-1.7139999999999999E-2</v>
      </c>
      <c r="I50" s="20"/>
      <c r="J50" s="20"/>
      <c r="K50" s="20"/>
      <c r="L50" s="20"/>
      <c r="M50" s="20"/>
      <c r="N50" s="20"/>
      <c r="O50" s="20"/>
      <c r="P50" s="564">
        <f>'Rates in detail'!U50</f>
        <v>0</v>
      </c>
      <c r="Q50" s="20">
        <f t="shared" si="5"/>
        <v>0.25987999999999994</v>
      </c>
      <c r="R50" s="106"/>
      <c r="S50" s="20">
        <f t="shared" si="3"/>
        <v>-6.3960000000000017E-2</v>
      </c>
      <c r="T50" s="435">
        <f t="shared" si="4"/>
        <v>-0.19800000000000001</v>
      </c>
    </row>
    <row r="51" spans="1:20" x14ac:dyDescent="0.25">
      <c r="A51" s="43">
        <f t="shared" si="0"/>
        <v>45</v>
      </c>
      <c r="B51" s="69"/>
      <c r="C51" s="18" t="s">
        <v>10</v>
      </c>
      <c r="D51" s="20">
        <f>+'Rates in detail'!D51</f>
        <v>0.30050000000000004</v>
      </c>
      <c r="E51" s="20">
        <f>+'Rates in detail'!I51-'Rates in detail'!E51</f>
        <v>-4.6820000000000001E-2</v>
      </c>
      <c r="F51" s="20">
        <f>+'Rates in detail'!J51+'Rates in detail'!K51-'Rates in detail'!F51-'Rates in detail'!G51</f>
        <v>0</v>
      </c>
      <c r="G51" s="20">
        <f t="shared" si="6"/>
        <v>0.25368000000000002</v>
      </c>
      <c r="H51" s="20">
        <f>+'Rates in detail'!N51-'Rates in detail'!M51</f>
        <v>-1.7799999999999996E-2</v>
      </c>
      <c r="I51" s="20"/>
      <c r="J51" s="20"/>
      <c r="K51" s="20"/>
      <c r="L51" s="20"/>
      <c r="M51" s="20"/>
      <c r="N51" s="20"/>
      <c r="O51" s="20"/>
      <c r="P51" s="564">
        <f>'Rates in detail'!U51</f>
        <v>0</v>
      </c>
      <c r="Q51" s="20">
        <f t="shared" si="5"/>
        <v>0.23588000000000003</v>
      </c>
      <c r="R51" s="106"/>
      <c r="S51" s="20">
        <f t="shared" si="3"/>
        <v>-6.4620000000000011E-2</v>
      </c>
      <c r="T51" s="435">
        <f t="shared" si="4"/>
        <v>-0.215</v>
      </c>
    </row>
    <row r="52" spans="1:20" x14ac:dyDescent="0.25">
      <c r="A52" s="43">
        <f t="shared" si="0"/>
        <v>46</v>
      </c>
      <c r="B52" s="74"/>
      <c r="C52" s="22" t="s">
        <v>11</v>
      </c>
      <c r="D52" s="14">
        <f>+'Rates in detail'!D52</f>
        <v>0.27133999999999991</v>
      </c>
      <c r="E52" s="14">
        <f>+'Rates in detail'!I52-'Rates in detail'!E52</f>
        <v>-4.6820000000000001E-2</v>
      </c>
      <c r="F52" s="14">
        <f>+'Rates in detail'!J52+'Rates in detail'!K52-'Rates in detail'!F52-'Rates in detail'!G52</f>
        <v>0</v>
      </c>
      <c r="G52" s="14">
        <f t="shared" si="6"/>
        <v>0.22451999999999991</v>
      </c>
      <c r="H52" s="14">
        <f>+'Rates in detail'!N52-'Rates in detail'!M52</f>
        <v>-1.8619999999999998E-2</v>
      </c>
      <c r="I52" s="14"/>
      <c r="J52" s="14"/>
      <c r="K52" s="14"/>
      <c r="L52" s="14"/>
      <c r="M52" s="14"/>
      <c r="N52" s="14"/>
      <c r="O52" s="14"/>
      <c r="P52" s="575">
        <f>'Rates in detail'!U52</f>
        <v>0</v>
      </c>
      <c r="Q52" s="14">
        <f t="shared" si="5"/>
        <v>0.20589999999999992</v>
      </c>
      <c r="R52" s="106"/>
      <c r="S52" s="14">
        <f t="shared" si="3"/>
        <v>-6.5439999999999998E-2</v>
      </c>
      <c r="T52" s="435">
        <f t="shared" si="4"/>
        <v>-0.24099999999999999</v>
      </c>
    </row>
    <row r="53" spans="1:20" x14ac:dyDescent="0.25">
      <c r="A53" s="43">
        <f t="shared" si="0"/>
        <v>47</v>
      </c>
      <c r="B53" s="69" t="s">
        <v>370</v>
      </c>
      <c r="C53" s="18" t="s">
        <v>6</v>
      </c>
      <c r="D53" s="20">
        <f>+'Rates in detail'!D53</f>
        <v>0.37669999999999992</v>
      </c>
      <c r="E53" s="20">
        <f>+'Rates in detail'!I53-'Rates in detail'!E53</f>
        <v>-4.6820000000000001E-2</v>
      </c>
      <c r="F53" s="20">
        <f>+'Rates in detail'!J53+'Rates in detail'!K53-'Rates in detail'!F53-'Rates in detail'!G53</f>
        <v>0</v>
      </c>
      <c r="G53" s="20">
        <f t="shared" si="2"/>
        <v>0.32987999999999995</v>
      </c>
      <c r="H53" s="20">
        <f>+'Rates in detail'!N53-'Rates in detail'!M53</f>
        <v>-2.1009999999999997E-2</v>
      </c>
      <c r="I53" s="20"/>
      <c r="J53" s="20"/>
      <c r="K53" s="20"/>
      <c r="L53" s="20"/>
      <c r="M53" s="20"/>
      <c r="N53" s="20"/>
      <c r="O53" s="20"/>
      <c r="P53" s="564">
        <f>'Rates in detail'!U53</f>
        <v>0</v>
      </c>
      <c r="Q53" s="20">
        <f t="shared" si="5"/>
        <v>0.30886999999999998</v>
      </c>
      <c r="R53" s="106"/>
      <c r="S53" s="20">
        <f t="shared" si="3"/>
        <v>-6.7829999999999946E-2</v>
      </c>
      <c r="T53" s="435">
        <f t="shared" si="4"/>
        <v>-0.18</v>
      </c>
    </row>
    <row r="54" spans="1:20" x14ac:dyDescent="0.25">
      <c r="A54" s="43">
        <f t="shared" si="0"/>
        <v>48</v>
      </c>
      <c r="B54" s="69"/>
      <c r="C54" s="18" t="s">
        <v>7</v>
      </c>
      <c r="D54" s="20">
        <f>+'Rates in detail'!D54</f>
        <v>0.36380999999999991</v>
      </c>
      <c r="E54" s="20">
        <f>+'Rates in detail'!I54-'Rates in detail'!E54</f>
        <v>-4.6820000000000001E-2</v>
      </c>
      <c r="F54" s="20">
        <f>+'Rates in detail'!J54+'Rates in detail'!K54-'Rates in detail'!F54-'Rates in detail'!G54</f>
        <v>0</v>
      </c>
      <c r="G54" s="20">
        <f t="shared" si="2"/>
        <v>0.31698999999999988</v>
      </c>
      <c r="H54" s="20">
        <f>+'Rates in detail'!N54-'Rates in detail'!M54</f>
        <v>-2.0810000000000002E-2</v>
      </c>
      <c r="I54" s="20"/>
      <c r="J54" s="20"/>
      <c r="K54" s="20"/>
      <c r="L54" s="20"/>
      <c r="M54" s="20"/>
      <c r="N54" s="20"/>
      <c r="O54" s="20"/>
      <c r="P54" s="564">
        <f>'Rates in detail'!U54</f>
        <v>0</v>
      </c>
      <c r="Q54" s="20">
        <f t="shared" si="5"/>
        <v>0.29617999999999989</v>
      </c>
      <c r="R54" s="106"/>
      <c r="S54" s="20">
        <f t="shared" si="3"/>
        <v>-6.7630000000000023E-2</v>
      </c>
      <c r="T54" s="435">
        <f t="shared" si="4"/>
        <v>-0.186</v>
      </c>
    </row>
    <row r="55" spans="1:20" x14ac:dyDescent="0.25">
      <c r="A55" s="43">
        <f t="shared" ref="A55:A74" si="7">+A54+1</f>
        <v>49</v>
      </c>
      <c r="B55" s="69"/>
      <c r="C55" s="18" t="s">
        <v>8</v>
      </c>
      <c r="D55" s="20">
        <f>+'Rates in detail'!D55</f>
        <v>0.33817000000000014</v>
      </c>
      <c r="E55" s="20">
        <f>+'Rates in detail'!I55-'Rates in detail'!E55</f>
        <v>-4.6820000000000001E-2</v>
      </c>
      <c r="F55" s="20">
        <f>+'Rates in detail'!J55+'Rates in detail'!K55-'Rates in detail'!F55-'Rates in detail'!G55</f>
        <v>0</v>
      </c>
      <c r="G55" s="20">
        <f t="shared" si="2"/>
        <v>0.29135000000000011</v>
      </c>
      <c r="H55" s="20">
        <f>+'Rates in detail'!N55-'Rates in detail'!M55</f>
        <v>-2.0409999999999998E-2</v>
      </c>
      <c r="I55" s="20"/>
      <c r="J55" s="20"/>
      <c r="K55" s="20"/>
      <c r="L55" s="20"/>
      <c r="M55" s="20"/>
      <c r="N55" s="20"/>
      <c r="O55" s="20"/>
      <c r="P55" s="564">
        <f>'Rates in detail'!U55</f>
        <v>0</v>
      </c>
      <c r="Q55" s="20">
        <f t="shared" si="5"/>
        <v>0.27094000000000013</v>
      </c>
      <c r="R55" s="106"/>
      <c r="S55" s="20">
        <f t="shared" si="3"/>
        <v>-6.7230000000000012E-2</v>
      </c>
      <c r="T55" s="435">
        <f t="shared" si="4"/>
        <v>-0.19900000000000001</v>
      </c>
    </row>
    <row r="56" spans="1:20" x14ac:dyDescent="0.25">
      <c r="A56" s="43">
        <f t="shared" si="7"/>
        <v>50</v>
      </c>
      <c r="B56" s="69"/>
      <c r="C56" s="18" t="s">
        <v>9</v>
      </c>
      <c r="D56" s="20">
        <f>+'Rates in detail'!D56</f>
        <v>0.32129999999999981</v>
      </c>
      <c r="E56" s="20">
        <f>+'Rates in detail'!I56-'Rates in detail'!E56</f>
        <v>-4.6820000000000001E-2</v>
      </c>
      <c r="F56" s="20">
        <f>+'Rates in detail'!J56+'Rates in detail'!K56-'Rates in detail'!F56-'Rates in detail'!G56</f>
        <v>0</v>
      </c>
      <c r="G56" s="20">
        <f t="shared" si="2"/>
        <v>0.27447999999999984</v>
      </c>
      <c r="H56" s="20">
        <f>+'Rates in detail'!N56-'Rates in detail'!M56</f>
        <v>-2.0149999999999998E-2</v>
      </c>
      <c r="I56" s="20"/>
      <c r="J56" s="20"/>
      <c r="K56" s="20"/>
      <c r="L56" s="20"/>
      <c r="M56" s="20"/>
      <c r="N56" s="20"/>
      <c r="O56" s="20"/>
      <c r="P56" s="564">
        <f>'Rates in detail'!U56</f>
        <v>0</v>
      </c>
      <c r="Q56" s="20">
        <f t="shared" si="5"/>
        <v>0.25432999999999983</v>
      </c>
      <c r="R56" s="106"/>
      <c r="S56" s="20">
        <f t="shared" si="3"/>
        <v>-6.6969999999999974E-2</v>
      </c>
      <c r="T56" s="435">
        <f t="shared" si="4"/>
        <v>-0.20799999999999999</v>
      </c>
    </row>
    <row r="57" spans="1:20" x14ac:dyDescent="0.25">
      <c r="A57" s="43">
        <f t="shared" si="7"/>
        <v>51</v>
      </c>
      <c r="B57" s="69"/>
      <c r="C57" s="18" t="s">
        <v>10</v>
      </c>
      <c r="D57" s="20">
        <f>+'Rates in detail'!D57</f>
        <v>0.29879</v>
      </c>
      <c r="E57" s="20">
        <f>+'Rates in detail'!I57-'Rates in detail'!E57</f>
        <v>-4.6820000000000001E-2</v>
      </c>
      <c r="F57" s="20">
        <f>+'Rates in detail'!J57+'Rates in detail'!K57-'Rates in detail'!F57-'Rates in detail'!G57</f>
        <v>0</v>
      </c>
      <c r="G57" s="20">
        <f t="shared" si="2"/>
        <v>0.25197000000000003</v>
      </c>
      <c r="H57" s="20">
        <f>+'Rates in detail'!N57-'Rates in detail'!M57</f>
        <v>-1.9790000000000002E-2</v>
      </c>
      <c r="I57" s="20"/>
      <c r="J57" s="20"/>
      <c r="K57" s="20"/>
      <c r="L57" s="20"/>
      <c r="M57" s="20"/>
      <c r="N57" s="20"/>
      <c r="O57" s="20"/>
      <c r="P57" s="564">
        <f>'Rates in detail'!U57</f>
        <v>0</v>
      </c>
      <c r="Q57" s="20">
        <f t="shared" si="5"/>
        <v>0.23218000000000003</v>
      </c>
      <c r="R57" s="106"/>
      <c r="S57" s="20">
        <f t="shared" si="3"/>
        <v>-6.6609999999999975E-2</v>
      </c>
      <c r="T57" s="435">
        <f t="shared" si="4"/>
        <v>-0.223</v>
      </c>
    </row>
    <row r="58" spans="1:20" x14ac:dyDescent="0.25">
      <c r="A58" s="43">
        <f t="shared" si="7"/>
        <v>52</v>
      </c>
      <c r="B58" s="74"/>
      <c r="C58" s="22" t="s">
        <v>11</v>
      </c>
      <c r="D58" s="14">
        <f>+'Rates in detail'!D58</f>
        <v>0.27068999999999993</v>
      </c>
      <c r="E58" s="14">
        <f>+'Rates in detail'!I58-'Rates in detail'!E58</f>
        <v>-4.6820000000000001E-2</v>
      </c>
      <c r="F58" s="14">
        <f>+'Rates in detail'!J58+'Rates in detail'!K58-'Rates in detail'!F58-'Rates in detail'!G58</f>
        <v>0</v>
      </c>
      <c r="G58" s="14">
        <f t="shared" si="2"/>
        <v>0.22386999999999993</v>
      </c>
      <c r="H58" s="14">
        <f>+'Rates in detail'!N58-'Rates in detail'!M58</f>
        <v>-1.9349999999999999E-2</v>
      </c>
      <c r="I58" s="14"/>
      <c r="J58" s="14"/>
      <c r="K58" s="14"/>
      <c r="L58" s="14"/>
      <c r="M58" s="14"/>
      <c r="N58" s="14"/>
      <c r="O58" s="14"/>
      <c r="P58" s="575">
        <f>'Rates in detail'!U58</f>
        <v>0</v>
      </c>
      <c r="Q58" s="14">
        <f t="shared" si="5"/>
        <v>0.20451999999999992</v>
      </c>
      <c r="R58" s="106"/>
      <c r="S58" s="14">
        <f t="shared" si="3"/>
        <v>-6.6170000000000007E-2</v>
      </c>
      <c r="T58" s="435">
        <f t="shared" si="4"/>
        <v>-0.24399999999999999</v>
      </c>
    </row>
    <row r="59" spans="1:20" x14ac:dyDescent="0.25">
      <c r="A59" s="43">
        <f t="shared" si="7"/>
        <v>53</v>
      </c>
      <c r="B59" s="69" t="s">
        <v>166</v>
      </c>
      <c r="C59" s="18" t="s">
        <v>6</v>
      </c>
      <c r="D59" s="75">
        <f>+'Rates in detail'!D59</f>
        <v>0.11817999999999999</v>
      </c>
      <c r="E59" s="75">
        <f>+'Rates in detail'!I59-'Rates in detail'!E59</f>
        <v>0</v>
      </c>
      <c r="F59" s="75">
        <f>+'Rates in detail'!J59+'Rates in detail'!K59-'Rates in detail'!F59-'Rates in detail'!G59</f>
        <v>0</v>
      </c>
      <c r="G59" s="75">
        <f t="shared" si="2"/>
        <v>0.11817999999999999</v>
      </c>
      <c r="H59" s="75">
        <f>+'Rates in detail'!N59-'Rates in detail'!M59</f>
        <v>-2.1000000000000001E-4</v>
      </c>
      <c r="I59" s="75"/>
      <c r="J59" s="75"/>
      <c r="K59" s="75"/>
      <c r="L59" s="75"/>
      <c r="M59" s="75"/>
      <c r="N59" s="75"/>
      <c r="O59" s="75"/>
      <c r="P59" s="632">
        <f>'Rates in detail'!U59</f>
        <v>0</v>
      </c>
      <c r="Q59" s="75">
        <f t="shared" si="5"/>
        <v>0.11796999999999999</v>
      </c>
      <c r="R59" s="106"/>
      <c r="S59" s="75">
        <f t="shared" si="3"/>
        <v>-2.1000000000000185E-4</v>
      </c>
      <c r="T59" s="435">
        <f t="shared" si="4"/>
        <v>-2E-3</v>
      </c>
    </row>
    <row r="60" spans="1:20" x14ac:dyDescent="0.25">
      <c r="A60" s="43">
        <f t="shared" si="7"/>
        <v>54</v>
      </c>
      <c r="B60" s="69"/>
      <c r="C60" s="18" t="s">
        <v>7</v>
      </c>
      <c r="D60" s="77">
        <f>+'Rates in detail'!D60</f>
        <v>0.10579</v>
      </c>
      <c r="E60" s="77">
        <f>+'Rates in detail'!I60-'Rates in detail'!E60</f>
        <v>0</v>
      </c>
      <c r="F60" s="77">
        <f>+'Rates in detail'!J60+'Rates in detail'!K60-'Rates in detail'!F60-'Rates in detail'!G60</f>
        <v>0</v>
      </c>
      <c r="G60" s="77">
        <f t="shared" si="2"/>
        <v>0.10579</v>
      </c>
      <c r="H60" s="77">
        <f>+'Rates in detail'!N60-'Rates in detail'!M60</f>
        <v>-1.9000000000000001E-4</v>
      </c>
      <c r="I60" s="77"/>
      <c r="J60" s="77"/>
      <c r="K60" s="77"/>
      <c r="L60" s="77"/>
      <c r="M60" s="77"/>
      <c r="N60" s="77"/>
      <c r="O60" s="77"/>
      <c r="P60" s="632">
        <f>'Rates in detail'!U60</f>
        <v>0</v>
      </c>
      <c r="Q60" s="77">
        <f t="shared" si="5"/>
        <v>0.1056</v>
      </c>
      <c r="R60" s="106"/>
      <c r="S60" s="77">
        <f t="shared" si="3"/>
        <v>-1.8999999999999573E-4</v>
      </c>
      <c r="T60" s="435">
        <f t="shared" si="4"/>
        <v>-2E-3</v>
      </c>
    </row>
    <row r="61" spans="1:20" x14ac:dyDescent="0.25">
      <c r="A61" s="43">
        <f t="shared" si="7"/>
        <v>55</v>
      </c>
      <c r="B61" s="69"/>
      <c r="C61" s="18" t="s">
        <v>8</v>
      </c>
      <c r="D61" s="77">
        <f>+'Rates in detail'!D61</f>
        <v>8.1119999999999998E-2</v>
      </c>
      <c r="E61" s="77">
        <f>+'Rates in detail'!I61-'Rates in detail'!E61</f>
        <v>0</v>
      </c>
      <c r="F61" s="77">
        <f>+'Rates in detail'!J61+'Rates in detail'!K61-'Rates in detail'!F61-'Rates in detail'!G61</f>
        <v>0</v>
      </c>
      <c r="G61" s="77">
        <f t="shared" si="2"/>
        <v>8.1119999999999998E-2</v>
      </c>
      <c r="H61" s="77">
        <f>+'Rates in detail'!N61-'Rates in detail'!M61</f>
        <v>-1.3999999999999999E-4</v>
      </c>
      <c r="I61" s="77"/>
      <c r="J61" s="77"/>
      <c r="K61" s="77"/>
      <c r="L61" s="77"/>
      <c r="M61" s="77"/>
      <c r="N61" s="77"/>
      <c r="O61" s="77"/>
      <c r="P61" s="632">
        <f>'Rates in detail'!U61</f>
        <v>0</v>
      </c>
      <c r="Q61" s="77">
        <f t="shared" si="5"/>
        <v>8.0979999999999996E-2</v>
      </c>
      <c r="R61" s="106"/>
      <c r="S61" s="77">
        <f t="shared" si="3"/>
        <v>-1.4000000000000123E-4</v>
      </c>
      <c r="T61" s="435">
        <f t="shared" si="4"/>
        <v>-2E-3</v>
      </c>
    </row>
    <row r="62" spans="1:20" x14ac:dyDescent="0.25">
      <c r="A62" s="43">
        <f t="shared" si="7"/>
        <v>56</v>
      </c>
      <c r="B62" s="69"/>
      <c r="C62" s="18" t="s">
        <v>9</v>
      </c>
      <c r="D62" s="77">
        <f>+'Rates in detail'!D62</f>
        <v>6.4899999999999999E-2</v>
      </c>
      <c r="E62" s="77">
        <f>+'Rates in detail'!I62-'Rates in detail'!E62</f>
        <v>0</v>
      </c>
      <c r="F62" s="77">
        <f>+'Rates in detail'!J62+'Rates in detail'!K62-'Rates in detail'!F62-'Rates in detail'!G62</f>
        <v>0</v>
      </c>
      <c r="G62" s="77">
        <f t="shared" si="2"/>
        <v>6.4899999999999999E-2</v>
      </c>
      <c r="H62" s="77">
        <f>+'Rates in detail'!N62-'Rates in detail'!M62</f>
        <v>-1.1E-4</v>
      </c>
      <c r="I62" s="77"/>
      <c r="J62" s="77"/>
      <c r="K62" s="77"/>
      <c r="L62" s="77"/>
      <c r="M62" s="77"/>
      <c r="N62" s="77"/>
      <c r="O62" s="77"/>
      <c r="P62" s="632">
        <f>'Rates in detail'!U62</f>
        <v>0</v>
      </c>
      <c r="Q62" s="77">
        <f t="shared" si="5"/>
        <v>6.479E-2</v>
      </c>
      <c r="R62" s="106"/>
      <c r="S62" s="77">
        <f t="shared" si="3"/>
        <v>-1.0999999999999899E-4</v>
      </c>
      <c r="T62" s="435">
        <f t="shared" si="4"/>
        <v>-2E-3</v>
      </c>
    </row>
    <row r="63" spans="1:20" x14ac:dyDescent="0.25">
      <c r="A63" s="43">
        <f t="shared" si="7"/>
        <v>57</v>
      </c>
      <c r="B63" s="69"/>
      <c r="C63" s="18" t="s">
        <v>10</v>
      </c>
      <c r="D63" s="77">
        <f>+'Rates in detail'!D63</f>
        <v>4.3270000000000003E-2</v>
      </c>
      <c r="E63" s="77">
        <f>+'Rates in detail'!I63-'Rates in detail'!E63</f>
        <v>0</v>
      </c>
      <c r="F63" s="77">
        <f>+'Rates in detail'!J63+'Rates in detail'!K63-'Rates in detail'!F63-'Rates in detail'!G63</f>
        <v>0</v>
      </c>
      <c r="G63" s="77">
        <f t="shared" si="2"/>
        <v>4.3270000000000003E-2</v>
      </c>
      <c r="H63" s="77">
        <f>+'Rates in detail'!N63-'Rates in detail'!M63</f>
        <v>-8.0000000000000007E-5</v>
      </c>
      <c r="I63" s="77"/>
      <c r="J63" s="77"/>
      <c r="K63" s="77"/>
      <c r="L63" s="77"/>
      <c r="M63" s="77"/>
      <c r="N63" s="77"/>
      <c r="O63" s="77"/>
      <c r="P63" s="632">
        <f>'Rates in detail'!U63</f>
        <v>0</v>
      </c>
      <c r="Q63" s="77">
        <f t="shared" si="5"/>
        <v>4.3190000000000006E-2</v>
      </c>
      <c r="R63" s="106"/>
      <c r="S63" s="77">
        <f t="shared" si="3"/>
        <v>-7.999999999999674E-5</v>
      </c>
      <c r="T63" s="435">
        <f t="shared" si="4"/>
        <v>-2E-3</v>
      </c>
    </row>
    <row r="64" spans="1:20" x14ac:dyDescent="0.25">
      <c r="A64" s="43">
        <f t="shared" si="7"/>
        <v>58</v>
      </c>
      <c r="B64" s="74"/>
      <c r="C64" s="22" t="s">
        <v>11</v>
      </c>
      <c r="D64" s="24">
        <f>+'Rates in detail'!D64</f>
        <v>1.6219999999999998E-2</v>
      </c>
      <c r="E64" s="24">
        <f>+'Rates in detail'!I64-'Rates in detail'!E64</f>
        <v>0</v>
      </c>
      <c r="F64" s="24">
        <f>+'Rates in detail'!J64+'Rates in detail'!K64-'Rates in detail'!F64-'Rates in detail'!G64</f>
        <v>0</v>
      </c>
      <c r="G64" s="24">
        <f t="shared" si="2"/>
        <v>1.6219999999999998E-2</v>
      </c>
      <c r="H64" s="24">
        <f>+'Rates in detail'!N64-'Rates in detail'!M64</f>
        <v>-3.0000000000000001E-5</v>
      </c>
      <c r="I64" s="24"/>
      <c r="J64" s="24"/>
      <c r="K64" s="24"/>
      <c r="L64" s="24"/>
      <c r="M64" s="24"/>
      <c r="N64" s="24"/>
      <c r="O64" s="24"/>
      <c r="P64" s="577">
        <f>'Rates in detail'!U64</f>
        <v>0</v>
      </c>
      <c r="Q64" s="24">
        <f t="shared" si="5"/>
        <v>1.619E-2</v>
      </c>
      <c r="R64" s="106"/>
      <c r="S64" s="24">
        <f t="shared" si="3"/>
        <v>-2.9999999999998778E-5</v>
      </c>
      <c r="T64" s="435">
        <f t="shared" si="4"/>
        <v>-2E-3</v>
      </c>
    </row>
    <row r="65" spans="1:20" x14ac:dyDescent="0.25">
      <c r="A65" s="43">
        <f t="shared" si="7"/>
        <v>59</v>
      </c>
      <c r="B65" s="74" t="s">
        <v>167</v>
      </c>
      <c r="C65" s="21"/>
      <c r="D65" s="23">
        <f>+'Rates in detail'!D65</f>
        <v>4.9899999999999996E-3</v>
      </c>
      <c r="E65" s="23">
        <f>+'Rates in detail'!I65-'Rates in detail'!E65</f>
        <v>0</v>
      </c>
      <c r="F65" s="23">
        <f>+'Rates in detail'!J65+'Rates in detail'!K65-'Rates in detail'!F65-'Rates in detail'!G65</f>
        <v>0</v>
      </c>
      <c r="G65" s="23">
        <f t="shared" si="2"/>
        <v>4.9899999999999996E-3</v>
      </c>
      <c r="H65" s="23">
        <f>+'Rates in detail'!N65-'Rates in detail'!M65</f>
        <v>-1.0000000000000001E-5</v>
      </c>
      <c r="I65" s="23"/>
      <c r="J65" s="23"/>
      <c r="K65" s="23"/>
      <c r="L65" s="23"/>
      <c r="M65" s="23"/>
      <c r="N65" s="23"/>
      <c r="O65" s="23"/>
      <c r="P65" s="576">
        <f>'Rates in detail'!U65</f>
        <v>0</v>
      </c>
      <c r="Q65" s="23">
        <f t="shared" si="5"/>
        <v>4.9800000000000001E-3</v>
      </c>
      <c r="R65" s="106"/>
      <c r="S65" s="23">
        <f t="shared" si="3"/>
        <v>-9.9999999999995925E-6</v>
      </c>
      <c r="T65" s="435">
        <f t="shared" si="4"/>
        <v>-2E-3</v>
      </c>
    </row>
    <row r="66" spans="1:20" x14ac:dyDescent="0.25">
      <c r="A66" s="43">
        <f t="shared" si="7"/>
        <v>60</v>
      </c>
      <c r="B66" s="16" t="s">
        <v>168</v>
      </c>
      <c r="C66" s="13"/>
      <c r="D66" s="24">
        <f>+'Rates in detail'!D66</f>
        <v>4.9899999999999996E-3</v>
      </c>
      <c r="E66" s="24">
        <f>+'Rates in detail'!I66-'Rates in detail'!E66</f>
        <v>0</v>
      </c>
      <c r="F66" s="24">
        <f>+'Rates in detail'!J66+'Rates in detail'!K66-'Rates in detail'!F66-'Rates in detail'!G66</f>
        <v>0</v>
      </c>
      <c r="G66" s="24">
        <f t="shared" si="2"/>
        <v>4.9899999999999996E-3</v>
      </c>
      <c r="H66" s="24">
        <f>+'Rates in detail'!N66-'Rates in detail'!M66</f>
        <v>-1.0000000000000001E-5</v>
      </c>
      <c r="I66" s="24"/>
      <c r="J66" s="24"/>
      <c r="K66" s="24"/>
      <c r="L66" s="24"/>
      <c r="M66" s="24"/>
      <c r="N66" s="24"/>
      <c r="O66" s="24"/>
      <c r="P66" s="577">
        <f>'Rates in detail'!U66</f>
        <v>0</v>
      </c>
      <c r="Q66" s="24">
        <f t="shared" si="5"/>
        <v>4.9800000000000001E-3</v>
      </c>
      <c r="R66" s="106"/>
      <c r="S66" s="24">
        <f t="shared" si="3"/>
        <v>-9.9999999999995925E-6</v>
      </c>
      <c r="T66" s="435">
        <f t="shared" si="4"/>
        <v>-2E-3</v>
      </c>
    </row>
    <row r="67" spans="1:20" x14ac:dyDescent="0.25">
      <c r="A67" s="43">
        <f t="shared" si="7"/>
        <v>61</v>
      </c>
      <c r="B67" s="15" t="s">
        <v>217</v>
      </c>
      <c r="C67" s="13"/>
      <c r="D67" s="25"/>
      <c r="E67" s="25"/>
      <c r="F67" s="25"/>
      <c r="G67" s="25"/>
      <c r="H67" s="25"/>
      <c r="I67" s="25"/>
      <c r="J67" s="25"/>
      <c r="K67" s="25"/>
      <c r="L67" s="25"/>
      <c r="M67" s="25"/>
      <c r="N67" s="25"/>
      <c r="O67" s="25"/>
      <c r="P67" s="577"/>
      <c r="Q67" s="25"/>
      <c r="R67" s="106"/>
      <c r="S67" s="25"/>
      <c r="T67" s="435"/>
    </row>
    <row r="68" spans="1:20" x14ac:dyDescent="0.25">
      <c r="A68" s="43">
        <f t="shared" si="7"/>
        <v>62</v>
      </c>
    </row>
    <row r="69" spans="1:20" ht="13.8" thickBot="1" x14ac:dyDescent="0.3">
      <c r="A69" s="43">
        <f t="shared" si="7"/>
        <v>63</v>
      </c>
      <c r="B69" s="26" t="s">
        <v>171</v>
      </c>
      <c r="S69" s="3"/>
    </row>
    <row r="70" spans="1:20" ht="13.8" thickBot="1" x14ac:dyDescent="0.3">
      <c r="A70" s="43">
        <f t="shared" si="7"/>
        <v>64</v>
      </c>
      <c r="B70" s="104" t="s">
        <v>172</v>
      </c>
      <c r="C70" s="28"/>
      <c r="D70" s="100" t="s">
        <v>641</v>
      </c>
      <c r="E70" s="107"/>
      <c r="F70" s="107"/>
      <c r="G70" s="108"/>
      <c r="H70" s="108"/>
      <c r="I70" s="108"/>
      <c r="J70" s="108"/>
      <c r="K70" s="108"/>
      <c r="L70" s="108"/>
      <c r="M70" s="108"/>
      <c r="N70" s="108"/>
      <c r="O70" s="108"/>
      <c r="P70" s="633"/>
      <c r="Q70" s="108"/>
      <c r="S70" s="3"/>
    </row>
    <row r="71" spans="1:20" ht="13.8" thickBot="1" x14ac:dyDescent="0.3">
      <c r="A71" s="43">
        <f t="shared" si="7"/>
        <v>65</v>
      </c>
      <c r="S71" s="3"/>
    </row>
    <row r="72" spans="1:20" ht="13.8" thickBot="1" x14ac:dyDescent="0.3">
      <c r="A72" s="43">
        <f t="shared" si="7"/>
        <v>66</v>
      </c>
      <c r="B72" s="104" t="s">
        <v>183</v>
      </c>
      <c r="C72" s="28"/>
      <c r="D72" s="29"/>
      <c r="E72" s="30" t="s">
        <v>358</v>
      </c>
      <c r="F72" s="412" t="s">
        <v>359</v>
      </c>
      <c r="G72" s="29"/>
      <c r="H72" s="30" t="s">
        <v>360</v>
      </c>
      <c r="I72" s="30"/>
      <c r="J72" s="30"/>
      <c r="K72" s="30"/>
      <c r="L72" s="30"/>
      <c r="M72" s="30"/>
      <c r="N72" s="30"/>
      <c r="O72" s="30"/>
      <c r="P72" s="634"/>
      <c r="Q72" s="30" t="s">
        <v>580</v>
      </c>
      <c r="S72" s="3"/>
    </row>
    <row r="73" spans="1:20" x14ac:dyDescent="0.25">
      <c r="A73" s="43">
        <f t="shared" si="7"/>
        <v>67</v>
      </c>
      <c r="S73" s="3"/>
    </row>
    <row r="74" spans="1:20" x14ac:dyDescent="0.25">
      <c r="A74" s="43">
        <f t="shared" si="7"/>
        <v>68</v>
      </c>
      <c r="B74" s="582" t="s">
        <v>607</v>
      </c>
      <c r="C74" s="583"/>
      <c r="D74" s="583"/>
      <c r="E74" s="583"/>
      <c r="F74" s="583"/>
      <c r="G74" s="583"/>
      <c r="H74" s="583"/>
      <c r="I74" s="583"/>
      <c r="J74" s="583"/>
      <c r="K74" s="583"/>
      <c r="L74" s="583"/>
      <c r="M74" s="583"/>
      <c r="N74" s="583"/>
      <c r="O74" s="583"/>
      <c r="P74" s="635"/>
      <c r="Q74" s="583"/>
      <c r="S74" s="3"/>
    </row>
    <row r="75" spans="1:20" x14ac:dyDescent="0.25">
      <c r="A75" s="43"/>
      <c r="B75" s="583"/>
      <c r="C75" s="583"/>
      <c r="D75" s="583"/>
      <c r="E75" s="583"/>
      <c r="F75" s="583"/>
      <c r="G75" s="583"/>
      <c r="H75" s="583"/>
      <c r="I75" s="583"/>
      <c r="J75" s="583"/>
      <c r="K75" s="583"/>
      <c r="L75" s="583"/>
      <c r="M75" s="583"/>
      <c r="N75" s="583"/>
      <c r="O75" s="583"/>
      <c r="P75" s="635"/>
      <c r="Q75" s="583"/>
      <c r="S75" s="3"/>
    </row>
  </sheetData>
  <phoneticPr fontId="2" type="noConversion"/>
  <printOptions horizontalCentered="1"/>
  <pageMargins left="0.5" right="0.5" top="0.5" bottom="0.5" header="0.25" footer="0.25"/>
  <pageSetup scale="57" orientation="landscape" r:id="rId1"/>
  <headerFooter alignWithMargins="0">
    <oddHeader xml:space="preserve">&amp;RUG-181053 NWN Compliance Filing
Advice 19-07 / Work Paper
</oddHeader>
    <oddFooter xml:space="preserve">&amp;C&amp;F &amp;D &amp;T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Q84"/>
  <sheetViews>
    <sheetView showGridLines="0" zoomScaleNormal="100" workbookViewId="0">
      <pane xSplit="3" ySplit="12" topLeftCell="D28" activePane="bottomRight" state="frozen"/>
      <selection activeCell="F18" sqref="F18"/>
      <selection pane="topRight" activeCell="F18" sqref="F18"/>
      <selection pane="bottomLeft" activeCell="F18" sqref="F18"/>
      <selection pane="bottomRight" activeCell="F18" sqref="F18"/>
    </sheetView>
  </sheetViews>
  <sheetFormatPr defaultColWidth="9.33203125" defaultRowHeight="13.2" outlineLevelCol="1" x14ac:dyDescent="0.25"/>
  <cols>
    <col min="1" max="1" width="6.88671875" style="3" customWidth="1"/>
    <col min="2" max="2" width="19" style="2" customWidth="1"/>
    <col min="3" max="3" width="10.33203125" style="2" customWidth="1"/>
    <col min="4" max="8" width="14.88671875" style="2" customWidth="1"/>
    <col min="9" max="10" width="14.88671875" style="212" customWidth="1"/>
    <col min="11" max="12" width="14.88671875" style="2" customWidth="1"/>
    <col min="13" max="13" width="17.109375" style="2" customWidth="1"/>
    <col min="14" max="14" width="17.6640625" style="2" customWidth="1"/>
    <col min="15" max="20" width="14.88671875" style="2" hidden="1" customWidth="1" outlineLevel="1"/>
    <col min="21" max="21" width="17.109375" style="627" hidden="1" customWidth="1" outlineLevel="1"/>
    <col min="22" max="22" width="15.88671875" style="2" customWidth="1" collapsed="1"/>
    <col min="23" max="24" width="15.88671875" style="192" customWidth="1"/>
    <col min="25" max="26" width="0" style="3" hidden="1" customWidth="1" outlineLevel="1"/>
    <col min="27" max="27" width="16.44140625" style="3" hidden="1" customWidth="1" outlineLevel="1"/>
    <col min="28" max="28" width="0" style="3" hidden="1" customWidth="1" outlineLevel="1"/>
    <col min="29" max="29" width="16.88671875" style="213" hidden="1" customWidth="1" outlineLevel="1"/>
    <col min="30" max="32" width="16.88671875" style="3" hidden="1" customWidth="1" outlineLevel="1"/>
    <col min="33" max="33" width="17.33203125" style="214" hidden="1" customWidth="1" outlineLevel="1"/>
    <col min="34" max="34" width="12.44140625" style="214" hidden="1" customWidth="1" outlineLevel="1"/>
    <col min="35" max="35" width="17.88671875" style="3" hidden="1" customWidth="1" outlineLevel="1"/>
    <col min="36" max="36" width="5.88671875" style="3" hidden="1" customWidth="1" outlineLevel="1"/>
    <col min="37" max="37" width="15.44140625" style="3" hidden="1" customWidth="1" outlineLevel="1"/>
    <col min="38" max="38" width="0" style="3" hidden="1" customWidth="1" outlineLevel="1"/>
    <col min="39" max="39" width="13.6640625" style="3" hidden="1" customWidth="1" outlineLevel="1"/>
    <col min="40" max="40" width="9.33203125" style="3" collapsed="1"/>
    <col min="41" max="41" width="12.6640625" style="3" customWidth="1"/>
    <col min="42" max="16384" width="9.33203125" style="3"/>
  </cols>
  <sheetData>
    <row r="1" spans="1:43" x14ac:dyDescent="0.25">
      <c r="A1" s="211" t="str">
        <f>+'Washington volumes'!A1</f>
        <v>NW Natural</v>
      </c>
      <c r="AA1" s="406" t="s">
        <v>355</v>
      </c>
      <c r="AB1" s="403"/>
      <c r="AC1" s="404"/>
      <c r="AD1" s="403"/>
      <c r="AE1" s="403"/>
      <c r="AF1" s="403"/>
      <c r="AG1" s="405"/>
      <c r="AH1" s="405"/>
      <c r="AI1" s="403"/>
      <c r="AJ1" s="403"/>
      <c r="AK1" s="403"/>
      <c r="AL1" s="403"/>
      <c r="AM1" s="403"/>
    </row>
    <row r="2" spans="1:43" ht="13.8" thickBot="1" x14ac:dyDescent="0.3">
      <c r="A2" s="211" t="str">
        <f>+'Washington volumes'!A2</f>
        <v>Rates &amp; Regulatory Affairs</v>
      </c>
      <c r="G2" s="92"/>
      <c r="H2" s="92"/>
      <c r="I2" s="215"/>
    </row>
    <row r="3" spans="1:43" ht="13.8" thickBot="1" x14ac:dyDescent="0.3">
      <c r="A3" s="211" t="str">
        <f>+'Washington volumes'!A3</f>
        <v>2018-2019 PGA Filing - Washington: September Filing</v>
      </c>
      <c r="I3" s="216"/>
      <c r="N3" s="92"/>
      <c r="AC3" s="397" t="s">
        <v>352</v>
      </c>
      <c r="AD3" s="398"/>
      <c r="AE3" s="398"/>
      <c r="AF3" s="398"/>
      <c r="AG3" s="399"/>
      <c r="AI3" s="389" t="s">
        <v>350</v>
      </c>
      <c r="AJ3" s="389"/>
      <c r="AK3" s="389"/>
    </row>
    <row r="4" spans="1:43" x14ac:dyDescent="0.25">
      <c r="A4" s="211" t="s">
        <v>191</v>
      </c>
      <c r="H4" s="92"/>
      <c r="I4" s="215"/>
      <c r="L4" s="92"/>
      <c r="N4" s="92"/>
    </row>
    <row r="5" spans="1:43" x14ac:dyDescent="0.25">
      <c r="H5" s="92"/>
      <c r="I5" s="547"/>
      <c r="L5" s="550"/>
      <c r="M5" s="92"/>
      <c r="AI5" s="217" t="s">
        <v>276</v>
      </c>
      <c r="AK5" s="217" t="s">
        <v>277</v>
      </c>
    </row>
    <row r="6" spans="1:43" x14ac:dyDescent="0.25">
      <c r="H6" s="92"/>
      <c r="AI6" s="217" t="s">
        <v>279</v>
      </c>
      <c r="AK6" s="217" t="s">
        <v>278</v>
      </c>
    </row>
    <row r="7" spans="1:43" x14ac:dyDescent="0.25">
      <c r="A7" s="43">
        <v>1</v>
      </c>
      <c r="E7" s="35"/>
      <c r="F7" s="5" t="s">
        <v>30</v>
      </c>
      <c r="G7" s="5" t="s">
        <v>30</v>
      </c>
      <c r="H7" s="10"/>
      <c r="I7" s="157"/>
      <c r="J7" s="218" t="s">
        <v>36</v>
      </c>
      <c r="K7" s="5" t="s">
        <v>36</v>
      </c>
      <c r="L7" s="5"/>
      <c r="M7" s="5" t="s">
        <v>30</v>
      </c>
      <c r="N7" s="5" t="s">
        <v>36</v>
      </c>
      <c r="O7" s="5"/>
      <c r="P7" s="5"/>
      <c r="Q7" s="5"/>
      <c r="R7" s="5"/>
      <c r="S7" s="5"/>
      <c r="T7" s="5"/>
      <c r="U7" s="636" t="s">
        <v>36</v>
      </c>
      <c r="V7" s="6">
        <f>+EFFDATE</f>
        <v>43405</v>
      </c>
      <c r="W7" s="401"/>
      <c r="X7" s="401"/>
      <c r="AI7" s="217" t="s">
        <v>280</v>
      </c>
    </row>
    <row r="8" spans="1:43" x14ac:dyDescent="0.25">
      <c r="A8" s="43">
        <f>+A7+1</f>
        <v>2</v>
      </c>
      <c r="D8" s="6">
        <f>+'Avg Bill by RS'!H8</f>
        <v>43040</v>
      </c>
      <c r="E8" s="5" t="s">
        <v>30</v>
      </c>
      <c r="F8" s="5" t="s">
        <v>31</v>
      </c>
      <c r="G8" s="5" t="s">
        <v>31</v>
      </c>
      <c r="H8" s="35"/>
      <c r="I8" s="218" t="s">
        <v>36</v>
      </c>
      <c r="J8" s="219" t="s">
        <v>37</v>
      </c>
      <c r="K8" s="6" t="s">
        <v>37</v>
      </c>
      <c r="L8" s="5"/>
      <c r="M8" s="5" t="s">
        <v>31</v>
      </c>
      <c r="N8" s="6" t="s">
        <v>37</v>
      </c>
      <c r="O8" s="207"/>
      <c r="P8" s="207"/>
      <c r="Q8" s="207"/>
      <c r="R8" s="207"/>
      <c r="S8" s="207"/>
      <c r="T8" s="207"/>
      <c r="U8" s="637" t="s">
        <v>617</v>
      </c>
      <c r="V8" s="5" t="s">
        <v>37</v>
      </c>
      <c r="W8" s="193"/>
      <c r="X8" s="193"/>
      <c r="AD8" s="220"/>
      <c r="AE8" s="220"/>
      <c r="AF8" s="220"/>
      <c r="AG8" s="221"/>
      <c r="AH8" s="221"/>
      <c r="AI8" s="220"/>
      <c r="AJ8" s="220"/>
      <c r="AK8" s="220"/>
      <c r="AM8" s="222"/>
      <c r="AO8" s="556"/>
      <c r="AP8" s="557"/>
      <c r="AQ8" s="557"/>
    </row>
    <row r="9" spans="1:43" x14ac:dyDescent="0.25">
      <c r="A9" s="43">
        <f t="shared" ref="A9:A57" si="0">+A8+1</f>
        <v>3</v>
      </c>
      <c r="D9" s="193" t="s">
        <v>28</v>
      </c>
      <c r="E9" s="5" t="s">
        <v>31</v>
      </c>
      <c r="F9" s="5" t="s">
        <v>33</v>
      </c>
      <c r="G9" s="5" t="s">
        <v>35</v>
      </c>
      <c r="H9" s="5"/>
      <c r="I9" s="219" t="s">
        <v>37</v>
      </c>
      <c r="J9" s="218" t="s">
        <v>33</v>
      </c>
      <c r="K9" s="5" t="s">
        <v>35</v>
      </c>
      <c r="L9" s="5"/>
      <c r="M9" s="5" t="s">
        <v>56</v>
      </c>
      <c r="N9" s="5" t="s">
        <v>56</v>
      </c>
      <c r="O9" s="208" t="s">
        <v>274</v>
      </c>
      <c r="P9" s="208" t="s">
        <v>274</v>
      </c>
      <c r="Q9" s="208" t="s">
        <v>274</v>
      </c>
      <c r="R9" s="208" t="s">
        <v>274</v>
      </c>
      <c r="S9" s="208" t="s">
        <v>274</v>
      </c>
      <c r="T9" s="208" t="s">
        <v>274</v>
      </c>
      <c r="U9" s="636" t="s">
        <v>616</v>
      </c>
      <c r="V9" s="5" t="s">
        <v>219</v>
      </c>
      <c r="W9" s="193"/>
      <c r="X9" s="193"/>
      <c r="AC9" s="394"/>
      <c r="AD9" s="395" t="s">
        <v>353</v>
      </c>
      <c r="AE9" s="10"/>
      <c r="AF9" s="395" t="s">
        <v>56</v>
      </c>
      <c r="AG9" s="395" t="s">
        <v>28</v>
      </c>
      <c r="AH9" s="395"/>
      <c r="AI9" s="10"/>
      <c r="AJ9" s="8"/>
      <c r="AK9" s="10"/>
      <c r="AM9" s="222"/>
    </row>
    <row r="10" spans="1:43" s="8" customFormat="1" ht="13.8" thickBot="1" x14ac:dyDescent="0.3">
      <c r="A10" s="43">
        <f t="shared" si="0"/>
        <v>4</v>
      </c>
      <c r="B10" s="365"/>
      <c r="C10" s="365"/>
      <c r="D10" s="101" t="s">
        <v>29</v>
      </c>
      <c r="E10" s="101" t="s">
        <v>32</v>
      </c>
      <c r="F10" s="101" t="s">
        <v>34</v>
      </c>
      <c r="G10" s="101" t="s">
        <v>34</v>
      </c>
      <c r="H10" s="101" t="s">
        <v>218</v>
      </c>
      <c r="I10" s="223" t="s">
        <v>32</v>
      </c>
      <c r="J10" s="223" t="s">
        <v>34</v>
      </c>
      <c r="K10" s="101" t="s">
        <v>34</v>
      </c>
      <c r="L10" s="101" t="s">
        <v>218</v>
      </c>
      <c r="M10" s="101" t="s">
        <v>62</v>
      </c>
      <c r="N10" s="101" t="s">
        <v>62</v>
      </c>
      <c r="O10" s="366" t="s">
        <v>275</v>
      </c>
      <c r="P10" s="366" t="s">
        <v>275</v>
      </c>
      <c r="Q10" s="366" t="s">
        <v>275</v>
      </c>
      <c r="R10" s="366" t="s">
        <v>275</v>
      </c>
      <c r="S10" s="366" t="s">
        <v>275</v>
      </c>
      <c r="T10" s="366" t="s">
        <v>275</v>
      </c>
      <c r="U10" s="638" t="s">
        <v>29</v>
      </c>
      <c r="V10" s="101" t="s">
        <v>220</v>
      </c>
      <c r="W10" s="162"/>
      <c r="X10" s="162"/>
      <c r="AC10" s="394" t="s">
        <v>285</v>
      </c>
      <c r="AD10" s="395" t="s">
        <v>354</v>
      </c>
      <c r="AE10" s="395" t="s">
        <v>288</v>
      </c>
      <c r="AF10" s="395" t="s">
        <v>230</v>
      </c>
      <c r="AG10" s="395" t="s">
        <v>53</v>
      </c>
      <c r="AH10" s="395"/>
      <c r="AI10" s="10" t="s">
        <v>228</v>
      </c>
      <c r="AK10" s="10" t="s">
        <v>351</v>
      </c>
      <c r="AM10" s="222"/>
      <c r="AO10" s="10"/>
    </row>
    <row r="11" spans="1:43" s="8" customFormat="1" ht="13.8" thickBot="1" x14ac:dyDescent="0.3">
      <c r="A11" s="43">
        <f t="shared" si="0"/>
        <v>5</v>
      </c>
      <c r="B11" s="2"/>
      <c r="C11" s="2"/>
      <c r="D11" s="9"/>
      <c r="E11" s="9"/>
      <c r="F11" s="9"/>
      <c r="G11" s="9"/>
      <c r="H11" s="10" t="s">
        <v>91</v>
      </c>
      <c r="I11" s="218"/>
      <c r="J11" s="218"/>
      <c r="K11" s="5"/>
      <c r="L11" s="5" t="s">
        <v>92</v>
      </c>
      <c r="M11" s="5"/>
      <c r="N11" s="5"/>
      <c r="O11" s="5"/>
      <c r="P11" s="5"/>
      <c r="Q11" s="5"/>
      <c r="R11" s="5"/>
      <c r="S11" s="5"/>
      <c r="T11" s="5"/>
      <c r="U11" s="636"/>
      <c r="V11" s="5" t="s">
        <v>618</v>
      </c>
      <c r="W11" s="193"/>
      <c r="X11" s="193"/>
      <c r="AC11" s="223"/>
      <c r="AD11" s="396" t="s">
        <v>53</v>
      </c>
      <c r="AE11" s="396" t="s">
        <v>53</v>
      </c>
      <c r="AF11" s="396"/>
      <c r="AG11" s="221"/>
      <c r="AH11" s="221"/>
      <c r="AI11" s="12" t="s">
        <v>29</v>
      </c>
      <c r="AJ11" s="12"/>
      <c r="AK11" s="12" t="s">
        <v>237</v>
      </c>
      <c r="AO11" s="556"/>
    </row>
    <row r="12" spans="1:43" s="8" customFormat="1" x14ac:dyDescent="0.25">
      <c r="A12" s="43">
        <f t="shared" si="0"/>
        <v>6</v>
      </c>
      <c r="B12" s="60" t="s">
        <v>2</v>
      </c>
      <c r="C12" s="60" t="s">
        <v>3</v>
      </c>
      <c r="D12" s="12" t="s">
        <v>77</v>
      </c>
      <c r="E12" s="12" t="s">
        <v>78</v>
      </c>
      <c r="F12" s="12" t="s">
        <v>16</v>
      </c>
      <c r="G12" s="12" t="s">
        <v>79</v>
      </c>
      <c r="H12" s="12" t="s">
        <v>80</v>
      </c>
      <c r="I12" s="224" t="s">
        <v>81</v>
      </c>
      <c r="J12" s="224" t="s">
        <v>82</v>
      </c>
      <c r="K12" s="12" t="s">
        <v>83</v>
      </c>
      <c r="L12" s="12" t="s">
        <v>84</v>
      </c>
      <c r="M12" s="12" t="s">
        <v>85</v>
      </c>
      <c r="N12" s="12" t="s">
        <v>86</v>
      </c>
      <c r="O12" s="12"/>
      <c r="P12" s="12"/>
      <c r="Q12" s="12"/>
      <c r="R12" s="12"/>
      <c r="S12" s="12"/>
      <c r="T12" s="12"/>
      <c r="U12" s="574" t="s">
        <v>87</v>
      </c>
      <c r="V12" s="12" t="s">
        <v>87</v>
      </c>
      <c r="W12" s="162"/>
      <c r="X12" s="162"/>
      <c r="AA12" s="60" t="s">
        <v>2</v>
      </c>
      <c r="AB12" s="60" t="s">
        <v>3</v>
      </c>
      <c r="AC12" s="225"/>
      <c r="AD12" s="226"/>
      <c r="AE12" s="226"/>
      <c r="AF12" s="226"/>
      <c r="AG12" s="227"/>
      <c r="AH12" s="400" t="s">
        <v>345</v>
      </c>
      <c r="AI12" s="8" t="s">
        <v>609</v>
      </c>
      <c r="AK12" s="10" t="s">
        <v>238</v>
      </c>
      <c r="AO12" s="556"/>
    </row>
    <row r="13" spans="1:43" x14ac:dyDescent="0.25">
      <c r="A13" s="43">
        <f t="shared" si="0"/>
        <v>7</v>
      </c>
      <c r="B13" s="16" t="s">
        <v>4</v>
      </c>
      <c r="C13" s="13"/>
      <c r="D13" s="647">
        <v>1.0934399999999997</v>
      </c>
      <c r="E13" s="653">
        <v>0.27038000000000001</v>
      </c>
      <c r="F13" s="653">
        <v>0.12157999999999999</v>
      </c>
      <c r="G13" s="654">
        <v>0</v>
      </c>
      <c r="H13" s="14">
        <f>+D13-SUM(E13:G13)</f>
        <v>0.70147999999999977</v>
      </c>
      <c r="I13" s="228">
        <f>+Inputs!B16</f>
        <v>0.22356000000000001</v>
      </c>
      <c r="J13" s="228">
        <f>+Inputs!B18</f>
        <v>0.1113</v>
      </c>
      <c r="K13" s="14">
        <v>0</v>
      </c>
      <c r="L13" s="14">
        <f>SUM(H13:K13)</f>
        <v>1.0363399999999998</v>
      </c>
      <c r="M13" s="14">
        <f>+Temporaries!D13</f>
        <v>1.6999999999999994E-2</v>
      </c>
      <c r="N13" s="14">
        <f>+Temporaries!AD13</f>
        <v>9.8399999999999876E-3</v>
      </c>
      <c r="O13" s="14"/>
      <c r="P13" s="14"/>
      <c r="Q13" s="14"/>
      <c r="R13" s="14"/>
      <c r="S13" s="14"/>
      <c r="T13" s="14"/>
      <c r="U13" s="575">
        <f>'Allocation = % of margin'!AB13</f>
        <v>0</v>
      </c>
      <c r="V13" s="14">
        <f>+L13-M13+N13+U13</f>
        <v>1.02918</v>
      </c>
      <c r="W13" s="402"/>
      <c r="X13" s="402"/>
      <c r="AA13" s="16" t="s">
        <v>4</v>
      </c>
      <c r="AB13" s="16"/>
      <c r="AC13" s="407">
        <f>+V13-I13-J13-K13-N13</f>
        <v>0.68448000000000009</v>
      </c>
      <c r="AD13" s="408">
        <f t="shared" ref="AD13:AD60" si="1">+J13</f>
        <v>0.1113</v>
      </c>
      <c r="AE13" s="408">
        <f t="shared" ref="AE13:AE60" si="2">+I13</f>
        <v>0.22356000000000001</v>
      </c>
      <c r="AF13" s="408">
        <f>+N13</f>
        <v>9.8399999999999876E-3</v>
      </c>
      <c r="AG13" s="409">
        <f>+SUM(AC13:AF13)</f>
        <v>1.0291800000000002</v>
      </c>
      <c r="AH13" s="229">
        <f>+AG13-V13</f>
        <v>0</v>
      </c>
      <c r="AI13" s="92">
        <f>+V13-N13</f>
        <v>1.0193399999999999</v>
      </c>
      <c r="AK13" s="230">
        <f t="shared" ref="AK13:AK44" si="3">AI13-I13</f>
        <v>0.79577999999999993</v>
      </c>
      <c r="AM13" s="584"/>
      <c r="AO13" s="556"/>
    </row>
    <row r="14" spans="1:43" x14ac:dyDescent="0.25">
      <c r="A14" s="43">
        <f t="shared" si="0"/>
        <v>8</v>
      </c>
      <c r="B14" s="16" t="s">
        <v>5</v>
      </c>
      <c r="C14" s="13"/>
      <c r="D14" s="647">
        <v>1.0842299999999996</v>
      </c>
      <c r="E14" s="380">
        <f>+$E$13</f>
        <v>0.27038000000000001</v>
      </c>
      <c r="F14" s="380">
        <f>+$F$13</f>
        <v>0.12157999999999999</v>
      </c>
      <c r="G14" s="654">
        <v>0</v>
      </c>
      <c r="H14" s="14">
        <f t="shared" ref="H14:H66" si="4">+D14-SUM(E14:G14)</f>
        <v>0.69226999999999961</v>
      </c>
      <c r="I14" s="228">
        <f t="shared" ref="I14:I20" si="5">+$I$13</f>
        <v>0.22356000000000001</v>
      </c>
      <c r="J14" s="228">
        <f>+$J$13</f>
        <v>0.1113</v>
      </c>
      <c r="K14" s="14">
        <v>0</v>
      </c>
      <c r="L14" s="14">
        <f t="shared" ref="L14:L66" si="6">SUM(H14:K14)</f>
        <v>1.0271299999999997</v>
      </c>
      <c r="M14" s="14">
        <f>+Temporaries!D14</f>
        <v>8.199999999999992E-3</v>
      </c>
      <c r="N14" s="14">
        <f>+Temporaries!AD14</f>
        <v>-1.9999999999999879E-4</v>
      </c>
      <c r="O14" s="14"/>
      <c r="P14" s="14"/>
      <c r="Q14" s="14"/>
      <c r="R14" s="14"/>
      <c r="S14" s="14"/>
      <c r="T14" s="14"/>
      <c r="U14" s="575">
        <f>'Allocation = % of margin'!AB14</f>
        <v>0</v>
      </c>
      <c r="V14" s="14">
        <f t="shared" ref="V14:V66" si="7">+L14-M14+N14+U14</f>
        <v>1.0187299999999997</v>
      </c>
      <c r="W14" s="402"/>
      <c r="X14" s="402"/>
      <c r="AA14" s="16" t="s">
        <v>5</v>
      </c>
      <c r="AB14" s="16"/>
      <c r="AC14" s="407">
        <f t="shared" ref="AC14:AC67" si="8">+V14-I14-J14-K14-N14</f>
        <v>0.68406999999999973</v>
      </c>
      <c r="AD14" s="408">
        <f t="shared" si="1"/>
        <v>0.1113</v>
      </c>
      <c r="AE14" s="408">
        <f t="shared" si="2"/>
        <v>0.22356000000000001</v>
      </c>
      <c r="AF14" s="408">
        <f t="shared" ref="AF14:AF67" si="9">+N14</f>
        <v>-1.9999999999999879E-4</v>
      </c>
      <c r="AG14" s="409">
        <f t="shared" ref="AG14:AG67" si="10">+SUM(AC14:AF14)</f>
        <v>1.0187299999999997</v>
      </c>
      <c r="AH14" s="229">
        <f t="shared" ref="AH14:AH67" si="11">+AG14-V14</f>
        <v>0</v>
      </c>
      <c r="AI14" s="92">
        <f t="shared" ref="AI14:AI67" si="12">+V14-N14</f>
        <v>1.0189299999999997</v>
      </c>
      <c r="AK14" s="230">
        <f t="shared" si="3"/>
        <v>0.79536999999999969</v>
      </c>
      <c r="AM14" s="8"/>
      <c r="AO14" s="556"/>
    </row>
    <row r="15" spans="1:43" x14ac:dyDescent="0.25">
      <c r="A15" s="43">
        <f t="shared" si="0"/>
        <v>9</v>
      </c>
      <c r="B15" s="16" t="s">
        <v>14</v>
      </c>
      <c r="C15" s="13"/>
      <c r="D15" s="647">
        <v>0.80223999999999973</v>
      </c>
      <c r="E15" s="380">
        <f t="shared" ref="E15:E22" si="13">+$E$13</f>
        <v>0.27038000000000001</v>
      </c>
      <c r="F15" s="380">
        <f>+$F$13</f>
        <v>0.12157999999999999</v>
      </c>
      <c r="G15" s="654">
        <v>0</v>
      </c>
      <c r="H15" s="14">
        <f t="shared" si="4"/>
        <v>0.41027999999999976</v>
      </c>
      <c r="I15" s="228">
        <f t="shared" si="5"/>
        <v>0.22356000000000001</v>
      </c>
      <c r="J15" s="228">
        <f>+$J$13</f>
        <v>0.1113</v>
      </c>
      <c r="K15" s="14">
        <v>0</v>
      </c>
      <c r="L15" s="14">
        <f t="shared" si="6"/>
        <v>0.74513999999999969</v>
      </c>
      <c r="M15" s="14">
        <f>+Temporaries!D15</f>
        <v>-4.2599999999999999E-3</v>
      </c>
      <c r="N15" s="14">
        <f>+Temporaries!AD15</f>
        <v>-1.3939999999999994E-2</v>
      </c>
      <c r="O15" s="14"/>
      <c r="P15" s="14"/>
      <c r="Q15" s="14"/>
      <c r="R15" s="14"/>
      <c r="S15" s="14"/>
      <c r="T15" s="14"/>
      <c r="U15" s="575">
        <f>'Allocation = % of margin'!AB15</f>
        <v>0</v>
      </c>
      <c r="V15" s="14">
        <f t="shared" si="7"/>
        <v>0.73545999999999978</v>
      </c>
      <c r="W15" s="402"/>
      <c r="X15" s="413"/>
      <c r="AA15" s="16" t="s">
        <v>14</v>
      </c>
      <c r="AB15" s="16"/>
      <c r="AC15" s="407">
        <f t="shared" si="8"/>
        <v>0.4145399999999998</v>
      </c>
      <c r="AD15" s="408">
        <f t="shared" si="1"/>
        <v>0.1113</v>
      </c>
      <c r="AE15" s="408">
        <f t="shared" si="2"/>
        <v>0.22356000000000001</v>
      </c>
      <c r="AF15" s="408">
        <f t="shared" si="9"/>
        <v>-1.3939999999999994E-2</v>
      </c>
      <c r="AG15" s="409">
        <f t="shared" si="10"/>
        <v>0.73545999999999978</v>
      </c>
      <c r="AH15" s="229">
        <f t="shared" si="11"/>
        <v>0</v>
      </c>
      <c r="AI15" s="92">
        <f t="shared" si="12"/>
        <v>0.74939999999999973</v>
      </c>
      <c r="AK15" s="230">
        <f t="shared" si="3"/>
        <v>0.52583999999999975</v>
      </c>
      <c r="AM15" s="8"/>
      <c r="AO15" s="556"/>
    </row>
    <row r="16" spans="1:43" x14ac:dyDescent="0.25">
      <c r="A16" s="43">
        <f t="shared" si="0"/>
        <v>10</v>
      </c>
      <c r="B16" s="16" t="s">
        <v>12</v>
      </c>
      <c r="C16" s="13"/>
      <c r="D16" s="647">
        <v>0.80187000000000019</v>
      </c>
      <c r="E16" s="380">
        <f t="shared" si="13"/>
        <v>0.27038000000000001</v>
      </c>
      <c r="F16" s="380">
        <f>+$F$13</f>
        <v>0.12157999999999999</v>
      </c>
      <c r="G16" s="654">
        <v>0</v>
      </c>
      <c r="H16" s="14">
        <f t="shared" si="4"/>
        <v>0.40991000000000022</v>
      </c>
      <c r="I16" s="228">
        <f t="shared" si="5"/>
        <v>0.22356000000000001</v>
      </c>
      <c r="J16" s="228">
        <f>+$J$13</f>
        <v>0.1113</v>
      </c>
      <c r="K16" s="14">
        <v>0</v>
      </c>
      <c r="L16" s="14">
        <f t="shared" si="6"/>
        <v>0.74477000000000015</v>
      </c>
      <c r="M16" s="14">
        <f>+Temporaries!D16</f>
        <v>-8.6700000000000041E-3</v>
      </c>
      <c r="N16" s="14">
        <f>+Temporaries!AD16</f>
        <v>-1.8099999999999991E-2</v>
      </c>
      <c r="O16" s="14"/>
      <c r="P16" s="14"/>
      <c r="Q16" s="14"/>
      <c r="R16" s="14"/>
      <c r="S16" s="14"/>
      <c r="T16" s="14"/>
      <c r="U16" s="575">
        <f>'Allocation = % of margin'!AB16</f>
        <v>0</v>
      </c>
      <c r="V16" s="14">
        <f t="shared" si="7"/>
        <v>0.7353400000000001</v>
      </c>
      <c r="W16" s="402"/>
      <c r="X16" s="402"/>
      <c r="AA16" s="16" t="s">
        <v>12</v>
      </c>
      <c r="AB16" s="16"/>
      <c r="AC16" s="407">
        <f t="shared" si="8"/>
        <v>0.41858000000000012</v>
      </c>
      <c r="AD16" s="408">
        <f t="shared" si="1"/>
        <v>0.1113</v>
      </c>
      <c r="AE16" s="408">
        <f t="shared" si="2"/>
        <v>0.22356000000000001</v>
      </c>
      <c r="AF16" s="408">
        <f t="shared" si="9"/>
        <v>-1.8099999999999991E-2</v>
      </c>
      <c r="AG16" s="409">
        <f t="shared" si="10"/>
        <v>0.7353400000000001</v>
      </c>
      <c r="AH16" s="229">
        <f t="shared" si="11"/>
        <v>0</v>
      </c>
      <c r="AI16" s="92">
        <f t="shared" si="12"/>
        <v>0.75344000000000011</v>
      </c>
      <c r="AK16" s="230">
        <f t="shared" si="3"/>
        <v>0.52988000000000013</v>
      </c>
      <c r="AM16" s="8"/>
      <c r="AO16" s="556"/>
    </row>
    <row r="17" spans="1:41" x14ac:dyDescent="0.25">
      <c r="A17" s="43">
        <f t="shared" si="0"/>
        <v>11</v>
      </c>
      <c r="B17" s="16" t="s">
        <v>13</v>
      </c>
      <c r="C17" s="13"/>
      <c r="D17" s="647">
        <v>0.77509999999999946</v>
      </c>
      <c r="E17" s="380">
        <f t="shared" si="13"/>
        <v>0.27038000000000001</v>
      </c>
      <c r="F17" s="380">
        <f>+$F$13</f>
        <v>0.12157999999999999</v>
      </c>
      <c r="G17" s="419"/>
      <c r="H17" s="14">
        <f t="shared" si="4"/>
        <v>0.38313999999999948</v>
      </c>
      <c r="I17" s="228">
        <f t="shared" si="5"/>
        <v>0.22356000000000001</v>
      </c>
      <c r="J17" s="228">
        <f>+$J$13</f>
        <v>0.1113</v>
      </c>
      <c r="K17" s="14">
        <v>0</v>
      </c>
      <c r="L17" s="14">
        <f t="shared" si="6"/>
        <v>0.71799999999999942</v>
      </c>
      <c r="M17" s="14">
        <f>+Temporaries!D17</f>
        <v>-3.5310000000000008E-2</v>
      </c>
      <c r="N17" s="14">
        <f>+Temporaries!AD17</f>
        <v>-4.8729999999999996E-2</v>
      </c>
      <c r="O17" s="14"/>
      <c r="P17" s="14"/>
      <c r="Q17" s="14"/>
      <c r="R17" s="14"/>
      <c r="S17" s="14"/>
      <c r="T17" s="14"/>
      <c r="U17" s="575">
        <f>'Allocation = % of margin'!AB17</f>
        <v>0</v>
      </c>
      <c r="V17" s="14">
        <f t="shared" si="7"/>
        <v>0.70457999999999954</v>
      </c>
      <c r="W17" s="402"/>
      <c r="X17" s="402"/>
      <c r="AA17" s="16" t="s">
        <v>13</v>
      </c>
      <c r="AB17" s="16"/>
      <c r="AC17" s="407">
        <f t="shared" si="8"/>
        <v>0.41844999999999954</v>
      </c>
      <c r="AD17" s="408">
        <f t="shared" si="1"/>
        <v>0.1113</v>
      </c>
      <c r="AE17" s="408">
        <f t="shared" si="2"/>
        <v>0.22356000000000001</v>
      </c>
      <c r="AF17" s="408">
        <f t="shared" si="9"/>
        <v>-4.8729999999999996E-2</v>
      </c>
      <c r="AG17" s="409">
        <f t="shared" si="10"/>
        <v>0.70457999999999954</v>
      </c>
      <c r="AH17" s="229">
        <f t="shared" si="11"/>
        <v>0</v>
      </c>
      <c r="AI17" s="92">
        <f t="shared" si="12"/>
        <v>0.75330999999999948</v>
      </c>
      <c r="AK17" s="230">
        <f t="shared" si="3"/>
        <v>0.5297499999999995</v>
      </c>
      <c r="AM17" s="8"/>
      <c r="AO17" s="556"/>
    </row>
    <row r="18" spans="1:41" x14ac:dyDescent="0.25">
      <c r="A18" s="43">
        <f t="shared" si="0"/>
        <v>12</v>
      </c>
      <c r="B18" s="74">
        <v>27</v>
      </c>
      <c r="C18" s="21"/>
      <c r="D18" s="647">
        <v>0.63078999999999985</v>
      </c>
      <c r="E18" s="380">
        <f t="shared" si="13"/>
        <v>0.27038000000000001</v>
      </c>
      <c r="F18" s="380">
        <f>+$F$13</f>
        <v>0.12157999999999999</v>
      </c>
      <c r="G18" s="419"/>
      <c r="H18" s="14">
        <f t="shared" si="4"/>
        <v>0.23882999999999988</v>
      </c>
      <c r="I18" s="228">
        <f t="shared" si="5"/>
        <v>0.22356000000000001</v>
      </c>
      <c r="J18" s="228">
        <f>+$J$13</f>
        <v>0.1113</v>
      </c>
      <c r="K18" s="14">
        <v>0</v>
      </c>
      <c r="L18" s="14">
        <f t="shared" si="6"/>
        <v>0.57368999999999981</v>
      </c>
      <c r="M18" s="14">
        <f>+Temporaries!D18</f>
        <v>-1.5370000000000005E-2</v>
      </c>
      <c r="N18" s="14">
        <f>+Temporaries!AD18</f>
        <v>-2.6839999999999999E-2</v>
      </c>
      <c r="O18" s="14"/>
      <c r="P18" s="14"/>
      <c r="Q18" s="14"/>
      <c r="R18" s="14"/>
      <c r="S18" s="14"/>
      <c r="T18" s="14"/>
      <c r="U18" s="575">
        <f>'Allocation = % of margin'!AB18</f>
        <v>0</v>
      </c>
      <c r="V18" s="14">
        <f t="shared" si="7"/>
        <v>0.56221999999999983</v>
      </c>
      <c r="W18" s="402"/>
      <c r="X18" s="402"/>
      <c r="AA18" s="74">
        <v>27</v>
      </c>
      <c r="AB18" s="74"/>
      <c r="AC18" s="407">
        <f t="shared" si="8"/>
        <v>0.25419999999999981</v>
      </c>
      <c r="AD18" s="408">
        <f t="shared" si="1"/>
        <v>0.1113</v>
      </c>
      <c r="AE18" s="408">
        <f t="shared" si="2"/>
        <v>0.22356000000000001</v>
      </c>
      <c r="AF18" s="408">
        <f t="shared" si="9"/>
        <v>-2.6839999999999999E-2</v>
      </c>
      <c r="AG18" s="409">
        <f t="shared" si="10"/>
        <v>0.56221999999999983</v>
      </c>
      <c r="AH18" s="229">
        <f t="shared" si="11"/>
        <v>0</v>
      </c>
      <c r="AI18" s="92">
        <f t="shared" si="12"/>
        <v>0.58905999999999981</v>
      </c>
      <c r="AK18" s="230">
        <f t="shared" si="3"/>
        <v>0.36549999999999983</v>
      </c>
      <c r="AM18" s="8"/>
      <c r="AO18" s="556"/>
    </row>
    <row r="19" spans="1:41" x14ac:dyDescent="0.25">
      <c r="A19" s="43">
        <f t="shared" si="0"/>
        <v>13</v>
      </c>
      <c r="B19" s="69" t="s">
        <v>365</v>
      </c>
      <c r="C19" s="18" t="s">
        <v>6</v>
      </c>
      <c r="D19" s="649">
        <v>0.55691000000000024</v>
      </c>
      <c r="E19" s="402">
        <f t="shared" si="13"/>
        <v>0.27038000000000001</v>
      </c>
      <c r="F19" s="650"/>
      <c r="G19" s="420"/>
      <c r="H19" s="20">
        <f t="shared" si="4"/>
        <v>0.28653000000000023</v>
      </c>
      <c r="I19" s="233">
        <f t="shared" si="5"/>
        <v>0.22356000000000001</v>
      </c>
      <c r="J19" s="233"/>
      <c r="K19" s="20"/>
      <c r="L19" s="20">
        <f t="shared" si="6"/>
        <v>0.51009000000000027</v>
      </c>
      <c r="M19" s="20">
        <f>+Temporaries!D19</f>
        <v>-1.5110000000000005E-2</v>
      </c>
      <c r="N19" s="20">
        <f>+Temporaries!AD19</f>
        <v>-2.5939999999999998E-2</v>
      </c>
      <c r="O19" s="20"/>
      <c r="P19" s="20"/>
      <c r="Q19" s="20"/>
      <c r="R19" s="20"/>
      <c r="S19" s="20"/>
      <c r="T19" s="20"/>
      <c r="U19" s="564">
        <f>'Allocation = % of margin'!AB19</f>
        <v>0</v>
      </c>
      <c r="V19" s="20">
        <f t="shared" si="7"/>
        <v>0.4992600000000002</v>
      </c>
      <c r="W19" s="402"/>
      <c r="X19" s="402"/>
      <c r="AA19" s="69" t="s">
        <v>160</v>
      </c>
      <c r="AB19" s="232" t="s">
        <v>6</v>
      </c>
      <c r="AC19" s="407">
        <f t="shared" si="8"/>
        <v>0.30164000000000019</v>
      </c>
      <c r="AD19" s="408">
        <f t="shared" si="1"/>
        <v>0</v>
      </c>
      <c r="AE19" s="408">
        <f t="shared" si="2"/>
        <v>0.22356000000000001</v>
      </c>
      <c r="AF19" s="408">
        <f t="shared" si="9"/>
        <v>-2.5939999999999998E-2</v>
      </c>
      <c r="AG19" s="409">
        <f t="shared" si="10"/>
        <v>0.4992600000000002</v>
      </c>
      <c r="AH19" s="229">
        <f t="shared" si="11"/>
        <v>0</v>
      </c>
      <c r="AI19" s="92">
        <f t="shared" si="12"/>
        <v>0.52520000000000022</v>
      </c>
      <c r="AK19" s="230">
        <f t="shared" si="3"/>
        <v>0.30164000000000024</v>
      </c>
      <c r="AM19" s="8"/>
      <c r="AO19" s="556"/>
    </row>
    <row r="20" spans="1:41" x14ac:dyDescent="0.25">
      <c r="A20" s="43">
        <f t="shared" si="0"/>
        <v>14</v>
      </c>
      <c r="B20" s="74"/>
      <c r="C20" s="22" t="s">
        <v>7</v>
      </c>
      <c r="D20" s="647">
        <v>0.51810999999999996</v>
      </c>
      <c r="E20" s="380">
        <f t="shared" si="13"/>
        <v>0.27038000000000001</v>
      </c>
      <c r="F20" s="648"/>
      <c r="G20" s="419"/>
      <c r="H20" s="14">
        <f t="shared" si="4"/>
        <v>0.24772999999999995</v>
      </c>
      <c r="I20" s="228">
        <f t="shared" si="5"/>
        <v>0.22356000000000001</v>
      </c>
      <c r="J20" s="228"/>
      <c r="K20" s="14"/>
      <c r="L20" s="14">
        <f t="shared" si="6"/>
        <v>0.47128999999999999</v>
      </c>
      <c r="M20" s="14">
        <f>+Temporaries!D20</f>
        <v>-1.8060000000000003E-2</v>
      </c>
      <c r="N20" s="14">
        <f>+Temporaries!AD20</f>
        <v>-2.9169999999999995E-2</v>
      </c>
      <c r="O20" s="14"/>
      <c r="P20" s="14"/>
      <c r="Q20" s="14"/>
      <c r="R20" s="14"/>
      <c r="S20" s="14"/>
      <c r="T20" s="14"/>
      <c r="U20" s="575">
        <f>'Allocation = % of margin'!AB20</f>
        <v>0</v>
      </c>
      <c r="V20" s="14">
        <f t="shared" si="7"/>
        <v>0.46018000000000003</v>
      </c>
      <c r="W20" s="402"/>
      <c r="X20" s="402"/>
      <c r="AA20" s="74"/>
      <c r="AB20" s="234" t="s">
        <v>7</v>
      </c>
      <c r="AC20" s="407">
        <f t="shared" si="8"/>
        <v>0.26579000000000003</v>
      </c>
      <c r="AD20" s="408">
        <f t="shared" si="1"/>
        <v>0</v>
      </c>
      <c r="AE20" s="408">
        <f t="shared" si="2"/>
        <v>0.22356000000000001</v>
      </c>
      <c r="AF20" s="408">
        <f t="shared" si="9"/>
        <v>-2.9169999999999995E-2</v>
      </c>
      <c r="AG20" s="409">
        <f t="shared" si="10"/>
        <v>0.46018000000000009</v>
      </c>
      <c r="AH20" s="229">
        <f t="shared" si="11"/>
        <v>0</v>
      </c>
      <c r="AI20" s="92">
        <f t="shared" si="12"/>
        <v>0.48935000000000001</v>
      </c>
      <c r="AK20" s="230">
        <f t="shared" si="3"/>
        <v>0.26578999999999997</v>
      </c>
      <c r="AM20" s="8"/>
      <c r="AO20" s="556"/>
    </row>
    <row r="21" spans="1:41" x14ac:dyDescent="0.25">
      <c r="A21" s="43">
        <f t="shared" si="0"/>
        <v>15</v>
      </c>
      <c r="B21" s="69" t="s">
        <v>366</v>
      </c>
      <c r="C21" s="18" t="s">
        <v>6</v>
      </c>
      <c r="D21" s="649">
        <v>0.57863999999999993</v>
      </c>
      <c r="E21" s="402">
        <f t="shared" si="13"/>
        <v>0.27038000000000001</v>
      </c>
      <c r="F21" s="650"/>
      <c r="G21" s="420"/>
      <c r="H21" s="20">
        <f>+D21-SUM(E21:G21)</f>
        <v>0.30825999999999992</v>
      </c>
      <c r="I21" s="233">
        <f>+$I$13</f>
        <v>0.22356000000000001</v>
      </c>
      <c r="J21" s="233"/>
      <c r="K21" s="97"/>
      <c r="L21" s="20">
        <f>SUM(H21:K21)</f>
        <v>0.53181999999999996</v>
      </c>
      <c r="M21" s="20">
        <f>+Temporaries!D21</f>
        <v>6.8500000000000019E-3</v>
      </c>
      <c r="N21" s="20">
        <f>+Temporaries!AD21</f>
        <v>-9.779999999999997E-3</v>
      </c>
      <c r="O21" s="20"/>
      <c r="P21" s="20"/>
      <c r="Q21" s="20"/>
      <c r="R21" s="20"/>
      <c r="S21" s="20"/>
      <c r="T21" s="20"/>
      <c r="U21" s="564">
        <f>'Allocation = % of margin'!AB21</f>
        <v>0</v>
      </c>
      <c r="V21" s="20">
        <f t="shared" si="7"/>
        <v>0.51518999999999993</v>
      </c>
      <c r="W21" s="402"/>
      <c r="X21" s="402"/>
      <c r="AA21" s="69" t="s">
        <v>366</v>
      </c>
      <c r="AB21" s="18" t="s">
        <v>6</v>
      </c>
      <c r="AC21" s="407">
        <f t="shared" si="8"/>
        <v>0.30140999999999996</v>
      </c>
      <c r="AD21" s="408">
        <f t="shared" si="1"/>
        <v>0</v>
      </c>
      <c r="AE21" s="408">
        <f t="shared" si="2"/>
        <v>0.22356000000000001</v>
      </c>
      <c r="AF21" s="408">
        <f t="shared" si="9"/>
        <v>-9.779999999999997E-3</v>
      </c>
      <c r="AG21" s="409">
        <f t="shared" si="10"/>
        <v>0.51518999999999993</v>
      </c>
      <c r="AH21" s="229">
        <f t="shared" si="11"/>
        <v>0</v>
      </c>
      <c r="AI21" s="92">
        <f t="shared" si="12"/>
        <v>0.52496999999999994</v>
      </c>
      <c r="AK21" s="230">
        <f t="shared" si="3"/>
        <v>0.30140999999999996</v>
      </c>
      <c r="AM21" s="8"/>
      <c r="AO21" s="556"/>
    </row>
    <row r="22" spans="1:41" x14ac:dyDescent="0.25">
      <c r="A22" s="43">
        <f t="shared" si="0"/>
        <v>16</v>
      </c>
      <c r="B22" s="74"/>
      <c r="C22" s="22" t="s">
        <v>7</v>
      </c>
      <c r="D22" s="647">
        <v>0.54000999999999988</v>
      </c>
      <c r="E22" s="380">
        <f t="shared" si="13"/>
        <v>0.27038000000000001</v>
      </c>
      <c r="F22" s="648"/>
      <c r="G22" s="419"/>
      <c r="H22" s="14">
        <f>+D22-SUM(E22:G22)</f>
        <v>0.26962999999999987</v>
      </c>
      <c r="I22" s="228">
        <f>+$I$13</f>
        <v>0.22356000000000001</v>
      </c>
      <c r="J22" s="228"/>
      <c r="K22" s="14"/>
      <c r="L22" s="14">
        <f>SUM(H22:K22)</f>
        <v>0.49318999999999991</v>
      </c>
      <c r="M22" s="14">
        <f>+Temporaries!D22</f>
        <v>4.0700000000000042E-3</v>
      </c>
      <c r="N22" s="14">
        <f>+Temporaries!AD22</f>
        <v>-1.286E-2</v>
      </c>
      <c r="O22" s="14"/>
      <c r="P22" s="14"/>
      <c r="Q22" s="14"/>
      <c r="R22" s="14"/>
      <c r="S22" s="14"/>
      <c r="T22" s="14"/>
      <c r="U22" s="575">
        <f>'Allocation = % of margin'!AB22</f>
        <v>0</v>
      </c>
      <c r="V22" s="14">
        <f t="shared" si="7"/>
        <v>0.47625999999999991</v>
      </c>
      <c r="W22" s="402"/>
      <c r="X22" s="402"/>
      <c r="AA22" s="74"/>
      <c r="AB22" s="22" t="s">
        <v>7</v>
      </c>
      <c r="AC22" s="407">
        <f t="shared" si="8"/>
        <v>0.26555999999999991</v>
      </c>
      <c r="AD22" s="408">
        <f t="shared" si="1"/>
        <v>0</v>
      </c>
      <c r="AE22" s="408">
        <f t="shared" si="2"/>
        <v>0.22356000000000001</v>
      </c>
      <c r="AF22" s="408">
        <f t="shared" si="9"/>
        <v>-1.286E-2</v>
      </c>
      <c r="AG22" s="409">
        <f t="shared" si="10"/>
        <v>0.47625999999999991</v>
      </c>
      <c r="AH22" s="229">
        <f t="shared" si="11"/>
        <v>0</v>
      </c>
      <c r="AI22" s="92">
        <f t="shared" si="12"/>
        <v>0.48911999999999989</v>
      </c>
      <c r="AK22" s="230">
        <f t="shared" si="3"/>
        <v>0.26555999999999991</v>
      </c>
      <c r="AM22" s="8"/>
      <c r="AO22" s="556"/>
    </row>
    <row r="23" spans="1:41" x14ac:dyDescent="0.25">
      <c r="A23" s="43">
        <f t="shared" si="0"/>
        <v>17</v>
      </c>
      <c r="B23" s="69" t="s">
        <v>161</v>
      </c>
      <c r="C23" s="18" t="s">
        <v>6</v>
      </c>
      <c r="D23" s="649">
        <v>0.30076999999999998</v>
      </c>
      <c r="E23" s="402">
        <v>0</v>
      </c>
      <c r="F23" s="650"/>
      <c r="G23" s="420"/>
      <c r="H23" s="20">
        <f t="shared" si="4"/>
        <v>0.30076999999999998</v>
      </c>
      <c r="I23" s="233">
        <v>0</v>
      </c>
      <c r="J23" s="233"/>
      <c r="K23" s="20"/>
      <c r="L23" s="20">
        <f t="shared" si="6"/>
        <v>0.30076999999999998</v>
      </c>
      <c r="M23" s="20">
        <f>+Temporaries!D23</f>
        <v>0</v>
      </c>
      <c r="N23" s="20">
        <f>+Temporaries!AD23</f>
        <v>-5.8E-4</v>
      </c>
      <c r="O23" s="20"/>
      <c r="P23" s="20"/>
      <c r="Q23" s="20"/>
      <c r="R23" s="20"/>
      <c r="S23" s="20"/>
      <c r="T23" s="20"/>
      <c r="U23" s="564">
        <f>'Allocation = % of margin'!AB23</f>
        <v>0</v>
      </c>
      <c r="V23" s="20">
        <f t="shared" si="7"/>
        <v>0.30018999999999996</v>
      </c>
      <c r="W23" s="402"/>
      <c r="X23" s="402"/>
      <c r="AA23" s="69" t="s">
        <v>161</v>
      </c>
      <c r="AB23" s="232" t="s">
        <v>6</v>
      </c>
      <c r="AC23" s="407">
        <f t="shared" si="8"/>
        <v>0.30076999999999998</v>
      </c>
      <c r="AD23" s="408">
        <f t="shared" si="1"/>
        <v>0</v>
      </c>
      <c r="AE23" s="408">
        <f t="shared" si="2"/>
        <v>0</v>
      </c>
      <c r="AF23" s="408">
        <f t="shared" si="9"/>
        <v>-5.8E-4</v>
      </c>
      <c r="AG23" s="409">
        <f t="shared" si="10"/>
        <v>0.30018999999999996</v>
      </c>
      <c r="AH23" s="229">
        <f t="shared" si="11"/>
        <v>0</v>
      </c>
      <c r="AI23" s="92">
        <f t="shared" si="12"/>
        <v>0.30076999999999998</v>
      </c>
      <c r="AK23" s="230">
        <f t="shared" si="3"/>
        <v>0.30076999999999998</v>
      </c>
      <c r="AM23" s="8"/>
      <c r="AO23" s="556"/>
    </row>
    <row r="24" spans="1:41" x14ac:dyDescent="0.25">
      <c r="A24" s="43">
        <f t="shared" si="0"/>
        <v>18</v>
      </c>
      <c r="B24" s="74"/>
      <c r="C24" s="22" t="s">
        <v>7</v>
      </c>
      <c r="D24" s="647">
        <v>0.26500000000000001</v>
      </c>
      <c r="E24" s="380">
        <v>0</v>
      </c>
      <c r="F24" s="648"/>
      <c r="G24" s="419"/>
      <c r="H24" s="14">
        <f t="shared" si="4"/>
        <v>0.26500000000000001</v>
      </c>
      <c r="I24" s="228">
        <v>0</v>
      </c>
      <c r="J24" s="228"/>
      <c r="K24" s="14"/>
      <c r="L24" s="14">
        <f t="shared" si="6"/>
        <v>0.26500000000000001</v>
      </c>
      <c r="M24" s="14">
        <f>+Temporaries!D24</f>
        <v>0</v>
      </c>
      <c r="N24" s="14">
        <f>+Temporaries!AD24</f>
        <v>-5.1000000000000004E-4</v>
      </c>
      <c r="O24" s="14"/>
      <c r="P24" s="14"/>
      <c r="Q24" s="14"/>
      <c r="R24" s="14"/>
      <c r="S24" s="14"/>
      <c r="T24" s="14"/>
      <c r="U24" s="575">
        <f>'Allocation = % of margin'!AB24</f>
        <v>0</v>
      </c>
      <c r="V24" s="14">
        <f t="shared" si="7"/>
        <v>0.26449</v>
      </c>
      <c r="W24" s="402"/>
      <c r="X24" s="402"/>
      <c r="AA24" s="74"/>
      <c r="AB24" s="234" t="s">
        <v>7</v>
      </c>
      <c r="AC24" s="407">
        <f t="shared" si="8"/>
        <v>0.26500000000000001</v>
      </c>
      <c r="AD24" s="408">
        <f t="shared" si="1"/>
        <v>0</v>
      </c>
      <c r="AE24" s="408">
        <f t="shared" si="2"/>
        <v>0</v>
      </c>
      <c r="AF24" s="408">
        <f t="shared" si="9"/>
        <v>-5.1000000000000004E-4</v>
      </c>
      <c r="AG24" s="409">
        <f t="shared" si="10"/>
        <v>0.26449</v>
      </c>
      <c r="AH24" s="229">
        <f t="shared" si="11"/>
        <v>0</v>
      </c>
      <c r="AI24" s="92">
        <f t="shared" si="12"/>
        <v>0.26500000000000001</v>
      </c>
      <c r="AK24" s="230">
        <f t="shared" si="3"/>
        <v>0.26500000000000001</v>
      </c>
      <c r="AM24" s="8"/>
      <c r="AO24" s="556"/>
    </row>
    <row r="25" spans="1:41" x14ac:dyDescent="0.25">
      <c r="A25" s="43">
        <f t="shared" si="0"/>
        <v>19</v>
      </c>
      <c r="B25" s="69" t="s">
        <v>367</v>
      </c>
      <c r="C25" s="18" t="s">
        <v>6</v>
      </c>
      <c r="D25" s="649">
        <v>0.53626000000000018</v>
      </c>
      <c r="E25" s="402">
        <f>+$E$13</f>
        <v>0.27038000000000001</v>
      </c>
      <c r="F25" s="650"/>
      <c r="G25" s="420"/>
      <c r="H25" s="20">
        <f>+D25-SUM(E25:G25)</f>
        <v>0.26588000000000017</v>
      </c>
      <c r="I25" s="233">
        <f>+$I$13</f>
        <v>0.22356000000000001</v>
      </c>
      <c r="J25" s="233"/>
      <c r="K25" s="20"/>
      <c r="L25" s="20">
        <f>SUM(H25:K25)</f>
        <v>0.48944000000000021</v>
      </c>
      <c r="M25" s="20">
        <f>+Temporaries!D25</f>
        <v>-3.5800000000000005E-2</v>
      </c>
      <c r="N25" s="20">
        <f>+Temporaries!AD25</f>
        <v>-4.9319999999999996E-2</v>
      </c>
      <c r="O25" s="20"/>
      <c r="P25" s="20"/>
      <c r="Q25" s="20"/>
      <c r="R25" s="20"/>
      <c r="S25" s="20"/>
      <c r="T25" s="20"/>
      <c r="U25" s="564">
        <f>'Allocation = % of margin'!AB25</f>
        <v>0</v>
      </c>
      <c r="V25" s="20">
        <f t="shared" si="7"/>
        <v>0.47592000000000029</v>
      </c>
      <c r="W25" s="402"/>
      <c r="X25" s="402"/>
      <c r="AA25" s="69" t="s">
        <v>367</v>
      </c>
      <c r="AB25" s="232" t="s">
        <v>6</v>
      </c>
      <c r="AC25" s="407">
        <f t="shared" si="8"/>
        <v>0.30168000000000023</v>
      </c>
      <c r="AD25" s="408">
        <f t="shared" si="1"/>
        <v>0</v>
      </c>
      <c r="AE25" s="408">
        <f t="shared" si="2"/>
        <v>0.22356000000000001</v>
      </c>
      <c r="AF25" s="408">
        <f t="shared" si="9"/>
        <v>-4.9319999999999996E-2</v>
      </c>
      <c r="AG25" s="409">
        <f t="shared" si="10"/>
        <v>0.47592000000000029</v>
      </c>
      <c r="AH25" s="229">
        <f t="shared" si="11"/>
        <v>0</v>
      </c>
      <c r="AI25" s="92">
        <f t="shared" si="12"/>
        <v>0.52524000000000026</v>
      </c>
      <c r="AK25" s="230">
        <f t="shared" si="3"/>
        <v>0.30168000000000028</v>
      </c>
      <c r="AM25" s="8"/>
      <c r="AO25" s="556"/>
    </row>
    <row r="26" spans="1:41" x14ac:dyDescent="0.25">
      <c r="A26" s="43">
        <f t="shared" si="0"/>
        <v>20</v>
      </c>
      <c r="B26" s="74"/>
      <c r="C26" s="22" t="s">
        <v>7</v>
      </c>
      <c r="D26" s="647">
        <v>0.49990999999999991</v>
      </c>
      <c r="E26" s="380">
        <f>+$E$13</f>
        <v>0.27038000000000001</v>
      </c>
      <c r="F26" s="648"/>
      <c r="G26" s="419"/>
      <c r="H26" s="14">
        <f>+D26-SUM(E26:G26)</f>
        <v>0.2295299999999999</v>
      </c>
      <c r="I26" s="228">
        <f>+$I$13</f>
        <v>0.22356000000000001</v>
      </c>
      <c r="J26" s="228"/>
      <c r="K26" s="14"/>
      <c r="L26" s="14">
        <f>SUM(H26:K26)</f>
        <v>0.45308999999999988</v>
      </c>
      <c r="M26" s="14">
        <f>+Temporaries!D26</f>
        <v>-3.6290000000000003E-2</v>
      </c>
      <c r="N26" s="14">
        <f>+Temporaries!AD26</f>
        <v>-4.9779999999999998E-2</v>
      </c>
      <c r="O26" s="14"/>
      <c r="P26" s="14"/>
      <c r="Q26" s="14"/>
      <c r="R26" s="14"/>
      <c r="S26" s="14"/>
      <c r="T26" s="14"/>
      <c r="U26" s="575">
        <f>'Allocation = % of margin'!AB26</f>
        <v>0</v>
      </c>
      <c r="V26" s="14">
        <f t="shared" si="7"/>
        <v>0.43959999999999988</v>
      </c>
      <c r="W26" s="402"/>
      <c r="X26" s="402"/>
      <c r="AA26" s="74"/>
      <c r="AB26" s="710" t="s">
        <v>7</v>
      </c>
      <c r="AC26" s="407">
        <f t="shared" si="8"/>
        <v>0.26581999999999989</v>
      </c>
      <c r="AD26" s="408">
        <f t="shared" si="1"/>
        <v>0</v>
      </c>
      <c r="AE26" s="408">
        <f t="shared" si="2"/>
        <v>0.22356000000000001</v>
      </c>
      <c r="AF26" s="408">
        <f t="shared" si="9"/>
        <v>-4.9779999999999998E-2</v>
      </c>
      <c r="AG26" s="409">
        <f t="shared" si="10"/>
        <v>0.43959999999999994</v>
      </c>
      <c r="AH26" s="229">
        <f t="shared" si="11"/>
        <v>0</v>
      </c>
      <c r="AI26" s="92">
        <f t="shared" si="12"/>
        <v>0.48937999999999987</v>
      </c>
      <c r="AK26" s="230">
        <f t="shared" si="3"/>
        <v>0.26581999999999983</v>
      </c>
      <c r="AM26" s="8"/>
      <c r="AO26" s="556"/>
    </row>
    <row r="27" spans="1:41" x14ac:dyDescent="0.25">
      <c r="A27" s="43">
        <f t="shared" si="0"/>
        <v>21</v>
      </c>
      <c r="B27" s="69" t="s">
        <v>368</v>
      </c>
      <c r="C27" s="18" t="s">
        <v>6</v>
      </c>
      <c r="D27" s="649">
        <v>0.55922000000000005</v>
      </c>
      <c r="E27" s="402">
        <f>+$E$13</f>
        <v>0.27038000000000001</v>
      </c>
      <c r="F27" s="650"/>
      <c r="G27" s="420"/>
      <c r="H27" s="20">
        <f t="shared" si="4"/>
        <v>0.28884000000000004</v>
      </c>
      <c r="I27" s="233">
        <f t="shared" ref="I27:I40" si="14">+$I$13</f>
        <v>0.22356000000000001</v>
      </c>
      <c r="J27" s="233"/>
      <c r="K27" s="97"/>
      <c r="L27" s="20">
        <f t="shared" si="6"/>
        <v>0.51240000000000008</v>
      </c>
      <c r="M27" s="20">
        <f>+Temporaries!D27</f>
        <v>-1.2569999999999998E-2</v>
      </c>
      <c r="N27" s="20">
        <f>+Temporaries!AD27</f>
        <v>-3.1969999999999998E-2</v>
      </c>
      <c r="O27" s="20"/>
      <c r="P27" s="20"/>
      <c r="Q27" s="20"/>
      <c r="R27" s="20"/>
      <c r="S27" s="20"/>
      <c r="T27" s="20"/>
      <c r="U27" s="564">
        <f>'Allocation = % of margin'!AB27</f>
        <v>0</v>
      </c>
      <c r="V27" s="20">
        <f t="shared" si="7"/>
        <v>0.49300000000000005</v>
      </c>
      <c r="W27" s="402"/>
      <c r="X27" s="402"/>
      <c r="AA27" s="69" t="s">
        <v>162</v>
      </c>
      <c r="AB27" s="232" t="s">
        <v>6</v>
      </c>
      <c r="AC27" s="407">
        <f t="shared" si="8"/>
        <v>0.30141000000000001</v>
      </c>
      <c r="AD27" s="408">
        <f t="shared" si="1"/>
        <v>0</v>
      </c>
      <c r="AE27" s="408">
        <f t="shared" si="2"/>
        <v>0.22356000000000001</v>
      </c>
      <c r="AF27" s="408">
        <f t="shared" si="9"/>
        <v>-3.1969999999999998E-2</v>
      </c>
      <c r="AG27" s="409">
        <f t="shared" si="10"/>
        <v>0.49300000000000005</v>
      </c>
      <c r="AH27" s="229">
        <f t="shared" si="11"/>
        <v>0</v>
      </c>
      <c r="AI27" s="92">
        <f t="shared" si="12"/>
        <v>0.52497000000000005</v>
      </c>
      <c r="AK27" s="230">
        <f t="shared" si="3"/>
        <v>0.30141000000000007</v>
      </c>
      <c r="AM27" s="8"/>
      <c r="AO27" s="556"/>
    </row>
    <row r="28" spans="1:41" x14ac:dyDescent="0.25">
      <c r="A28" s="43">
        <f t="shared" si="0"/>
        <v>22</v>
      </c>
      <c r="B28" s="74"/>
      <c r="C28" s="22" t="s">
        <v>7</v>
      </c>
      <c r="D28" s="647">
        <v>0.52289999999999992</v>
      </c>
      <c r="E28" s="380">
        <f>+$E$13</f>
        <v>0.27038000000000001</v>
      </c>
      <c r="F28" s="648"/>
      <c r="G28" s="419"/>
      <c r="H28" s="14">
        <f t="shared" si="4"/>
        <v>0.25251999999999991</v>
      </c>
      <c r="I28" s="228">
        <f t="shared" si="14"/>
        <v>0.22356000000000001</v>
      </c>
      <c r="J28" s="228"/>
      <c r="K28" s="14"/>
      <c r="L28" s="14">
        <f t="shared" si="6"/>
        <v>0.47607999999999995</v>
      </c>
      <c r="M28" s="14">
        <f>+Temporaries!D28</f>
        <v>-1.3039999999999998E-2</v>
      </c>
      <c r="N28" s="14">
        <f>+Temporaries!AD28</f>
        <v>-3.2409999999999994E-2</v>
      </c>
      <c r="O28" s="14"/>
      <c r="P28" s="14"/>
      <c r="Q28" s="14"/>
      <c r="R28" s="14"/>
      <c r="S28" s="14"/>
      <c r="T28" s="14"/>
      <c r="U28" s="575">
        <f>'Allocation = % of margin'!AB28</f>
        <v>0</v>
      </c>
      <c r="V28" s="14">
        <f t="shared" si="7"/>
        <v>0.45670999999999995</v>
      </c>
      <c r="W28" s="402"/>
      <c r="X28" s="402"/>
      <c r="AA28" s="74"/>
      <c r="AB28" s="234" t="s">
        <v>7</v>
      </c>
      <c r="AC28" s="407">
        <f t="shared" si="8"/>
        <v>0.26555999999999991</v>
      </c>
      <c r="AD28" s="408">
        <f t="shared" si="1"/>
        <v>0</v>
      </c>
      <c r="AE28" s="408">
        <f t="shared" si="2"/>
        <v>0.22356000000000001</v>
      </c>
      <c r="AF28" s="408">
        <f t="shared" si="9"/>
        <v>-3.2409999999999994E-2</v>
      </c>
      <c r="AG28" s="409">
        <f t="shared" si="10"/>
        <v>0.45670999999999989</v>
      </c>
      <c r="AH28" s="229">
        <f t="shared" si="11"/>
        <v>0</v>
      </c>
      <c r="AI28" s="92">
        <f t="shared" si="12"/>
        <v>0.48911999999999994</v>
      </c>
      <c r="AK28" s="230">
        <f t="shared" si="3"/>
        <v>0.26555999999999991</v>
      </c>
      <c r="AM28" s="8"/>
      <c r="AO28" s="556"/>
    </row>
    <row r="29" spans="1:41" x14ac:dyDescent="0.25">
      <c r="A29" s="43">
        <f t="shared" si="0"/>
        <v>23</v>
      </c>
      <c r="B29" s="69" t="s">
        <v>163</v>
      </c>
      <c r="C29" s="18" t="s">
        <v>6</v>
      </c>
      <c r="D29" s="649">
        <v>0.36596999999999991</v>
      </c>
      <c r="E29" s="402">
        <f t="shared" ref="E29:E40" si="15">+$E$13</f>
        <v>0.27038000000000001</v>
      </c>
      <c r="F29" s="650"/>
      <c r="G29" s="420"/>
      <c r="H29" s="20">
        <f t="shared" si="4"/>
        <v>9.5589999999999897E-2</v>
      </c>
      <c r="I29" s="233">
        <f t="shared" si="14"/>
        <v>0.22356000000000001</v>
      </c>
      <c r="J29" s="233"/>
      <c r="K29" s="20"/>
      <c r="L29" s="20">
        <f t="shared" si="6"/>
        <v>0.31914999999999993</v>
      </c>
      <c r="M29" s="20">
        <f>+Temporaries!D29</f>
        <v>-2.3180000000000006E-2</v>
      </c>
      <c r="N29" s="20">
        <f>+Temporaries!AD29</f>
        <v>-3.7989999999999996E-2</v>
      </c>
      <c r="O29" s="20"/>
      <c r="P29" s="20"/>
      <c r="Q29" s="20"/>
      <c r="R29" s="20"/>
      <c r="S29" s="20"/>
      <c r="T29" s="20"/>
      <c r="U29" s="564">
        <f>'Allocation = % of margin'!AB29</f>
        <v>0</v>
      </c>
      <c r="V29" s="20">
        <f t="shared" si="7"/>
        <v>0.30433999999999994</v>
      </c>
      <c r="W29" s="402"/>
      <c r="X29" s="402"/>
      <c r="AA29" s="69" t="s">
        <v>163</v>
      </c>
      <c r="AB29" s="232" t="s">
        <v>6</v>
      </c>
      <c r="AC29" s="407">
        <f t="shared" si="8"/>
        <v>0.11876999999999993</v>
      </c>
      <c r="AD29" s="408">
        <f t="shared" si="1"/>
        <v>0</v>
      </c>
      <c r="AE29" s="408">
        <f t="shared" si="2"/>
        <v>0.22356000000000001</v>
      </c>
      <c r="AF29" s="408">
        <f t="shared" si="9"/>
        <v>-3.7989999999999996E-2</v>
      </c>
      <c r="AG29" s="409">
        <f t="shared" si="10"/>
        <v>0.30433999999999994</v>
      </c>
      <c r="AH29" s="229">
        <f t="shared" si="11"/>
        <v>0</v>
      </c>
      <c r="AI29" s="92">
        <f t="shared" si="12"/>
        <v>0.34232999999999991</v>
      </c>
      <c r="AK29" s="230">
        <f t="shared" si="3"/>
        <v>0.1187699999999999</v>
      </c>
      <c r="AM29" s="8"/>
      <c r="AO29" s="556"/>
    </row>
    <row r="30" spans="1:41" x14ac:dyDescent="0.25">
      <c r="A30" s="43">
        <f t="shared" si="0"/>
        <v>24</v>
      </c>
      <c r="B30" s="69"/>
      <c r="C30" s="18" t="s">
        <v>7</v>
      </c>
      <c r="D30" s="649">
        <v>0.3517599999999998</v>
      </c>
      <c r="E30" s="402">
        <f t="shared" si="15"/>
        <v>0.27038000000000001</v>
      </c>
      <c r="F30" s="650"/>
      <c r="G30" s="420"/>
      <c r="H30" s="20">
        <f t="shared" si="4"/>
        <v>8.1379999999999786E-2</v>
      </c>
      <c r="I30" s="233">
        <f t="shared" si="14"/>
        <v>0.22356000000000001</v>
      </c>
      <c r="J30" s="233"/>
      <c r="K30" s="20"/>
      <c r="L30" s="20">
        <f t="shared" si="6"/>
        <v>0.30493999999999977</v>
      </c>
      <c r="M30" s="20">
        <f>+Temporaries!D30</f>
        <v>-2.4940000000000004E-2</v>
      </c>
      <c r="N30" s="20">
        <f>+Temporaries!AD30</f>
        <v>-3.9579999999999997E-2</v>
      </c>
      <c r="O30" s="20"/>
      <c r="P30" s="20"/>
      <c r="Q30" s="20"/>
      <c r="R30" s="20"/>
      <c r="S30" s="20"/>
      <c r="T30" s="20"/>
      <c r="U30" s="564">
        <f>'Allocation = % of margin'!AB30</f>
        <v>0</v>
      </c>
      <c r="V30" s="20">
        <f t="shared" si="7"/>
        <v>0.29029999999999978</v>
      </c>
      <c r="W30" s="402"/>
      <c r="X30" s="402"/>
      <c r="AA30" s="69"/>
      <c r="AB30" s="232" t="s">
        <v>7</v>
      </c>
      <c r="AC30" s="407">
        <f t="shared" si="8"/>
        <v>0.10631999999999978</v>
      </c>
      <c r="AD30" s="408">
        <f t="shared" si="1"/>
        <v>0</v>
      </c>
      <c r="AE30" s="408">
        <f t="shared" si="2"/>
        <v>0.22356000000000001</v>
      </c>
      <c r="AF30" s="408">
        <f t="shared" si="9"/>
        <v>-3.9579999999999997E-2</v>
      </c>
      <c r="AG30" s="409">
        <f t="shared" si="10"/>
        <v>0.29029999999999978</v>
      </c>
      <c r="AH30" s="229">
        <f t="shared" si="11"/>
        <v>0</v>
      </c>
      <c r="AI30" s="92">
        <f t="shared" si="12"/>
        <v>0.32987999999999978</v>
      </c>
      <c r="AK30" s="230">
        <f t="shared" si="3"/>
        <v>0.10631999999999978</v>
      </c>
      <c r="AM30" s="8"/>
      <c r="AO30" s="556"/>
    </row>
    <row r="31" spans="1:41" x14ac:dyDescent="0.25">
      <c r="A31" s="43">
        <f t="shared" si="0"/>
        <v>25</v>
      </c>
      <c r="B31" s="69"/>
      <c r="C31" s="18" t="s">
        <v>8</v>
      </c>
      <c r="D31" s="649">
        <v>0.32346999999999992</v>
      </c>
      <c r="E31" s="402">
        <f t="shared" si="15"/>
        <v>0.27038000000000001</v>
      </c>
      <c r="F31" s="650"/>
      <c r="G31" s="420"/>
      <c r="H31" s="20">
        <f t="shared" si="4"/>
        <v>5.3089999999999915E-2</v>
      </c>
      <c r="I31" s="233">
        <f t="shared" si="14"/>
        <v>0.22356000000000001</v>
      </c>
      <c r="J31" s="233"/>
      <c r="K31" s="20"/>
      <c r="L31" s="20">
        <f t="shared" si="6"/>
        <v>0.27664999999999995</v>
      </c>
      <c r="M31" s="20">
        <f>+Temporaries!D31</f>
        <v>-2.8450000000000003E-2</v>
      </c>
      <c r="N31" s="20">
        <f>+Temporaries!AD31</f>
        <v>-4.2729999999999997E-2</v>
      </c>
      <c r="O31" s="20"/>
      <c r="P31" s="20"/>
      <c r="Q31" s="20"/>
      <c r="R31" s="20"/>
      <c r="S31" s="20"/>
      <c r="T31" s="20"/>
      <c r="U31" s="564">
        <f>'Allocation = % of margin'!AB31</f>
        <v>0</v>
      </c>
      <c r="V31" s="20">
        <f t="shared" si="7"/>
        <v>0.26236999999999994</v>
      </c>
      <c r="W31" s="402"/>
      <c r="X31" s="402"/>
      <c r="AA31" s="69"/>
      <c r="AB31" s="232" t="s">
        <v>8</v>
      </c>
      <c r="AC31" s="407">
        <f t="shared" si="8"/>
        <v>8.1539999999999918E-2</v>
      </c>
      <c r="AD31" s="408">
        <f t="shared" si="1"/>
        <v>0</v>
      </c>
      <c r="AE31" s="408">
        <f t="shared" si="2"/>
        <v>0.22356000000000001</v>
      </c>
      <c r="AF31" s="408">
        <f t="shared" si="9"/>
        <v>-4.2729999999999997E-2</v>
      </c>
      <c r="AG31" s="409">
        <f t="shared" si="10"/>
        <v>0.26236999999999994</v>
      </c>
      <c r="AH31" s="229">
        <f t="shared" si="11"/>
        <v>0</v>
      </c>
      <c r="AI31" s="92">
        <f t="shared" si="12"/>
        <v>0.30509999999999993</v>
      </c>
      <c r="AK31" s="230">
        <f t="shared" si="3"/>
        <v>8.1539999999999918E-2</v>
      </c>
      <c r="AM31" s="8"/>
      <c r="AO31" s="556"/>
    </row>
    <row r="32" spans="1:41" x14ac:dyDescent="0.25">
      <c r="A32" s="43">
        <f t="shared" si="0"/>
        <v>26</v>
      </c>
      <c r="B32" s="69"/>
      <c r="C32" s="18" t="s">
        <v>9</v>
      </c>
      <c r="D32" s="649">
        <v>0.30485000000000018</v>
      </c>
      <c r="E32" s="402">
        <f t="shared" si="15"/>
        <v>0.27038000000000001</v>
      </c>
      <c r="F32" s="650"/>
      <c r="G32" s="420"/>
      <c r="H32" s="20">
        <f t="shared" si="4"/>
        <v>3.4470000000000167E-2</v>
      </c>
      <c r="I32" s="233">
        <f t="shared" si="14"/>
        <v>0.22356000000000001</v>
      </c>
      <c r="J32" s="233"/>
      <c r="K32" s="20"/>
      <c r="L32" s="20">
        <f t="shared" si="6"/>
        <v>0.2580300000000002</v>
      </c>
      <c r="M32" s="20">
        <f>+Temporaries!D32</f>
        <v>-3.0760000000000003E-2</v>
      </c>
      <c r="N32" s="20">
        <f>+Temporaries!AD32</f>
        <v>-4.4809999999999996E-2</v>
      </c>
      <c r="O32" s="20"/>
      <c r="P32" s="20"/>
      <c r="Q32" s="20"/>
      <c r="R32" s="20"/>
      <c r="S32" s="20"/>
      <c r="T32" s="20"/>
      <c r="U32" s="564">
        <f>'Allocation = % of margin'!AB32</f>
        <v>0</v>
      </c>
      <c r="V32" s="20">
        <f t="shared" si="7"/>
        <v>0.24398000000000022</v>
      </c>
      <c r="W32" s="402"/>
      <c r="X32" s="402"/>
      <c r="AA32" s="69"/>
      <c r="AB32" s="232" t="s">
        <v>9</v>
      </c>
      <c r="AC32" s="407">
        <f t="shared" si="8"/>
        <v>6.5230000000000204E-2</v>
      </c>
      <c r="AD32" s="408">
        <f t="shared" si="1"/>
        <v>0</v>
      </c>
      <c r="AE32" s="408">
        <f t="shared" si="2"/>
        <v>0.22356000000000001</v>
      </c>
      <c r="AF32" s="408">
        <f t="shared" si="9"/>
        <v>-4.4809999999999996E-2</v>
      </c>
      <c r="AG32" s="409">
        <f t="shared" si="10"/>
        <v>0.24398000000000022</v>
      </c>
      <c r="AH32" s="229">
        <f t="shared" si="11"/>
        <v>0</v>
      </c>
      <c r="AI32" s="92">
        <f t="shared" si="12"/>
        <v>0.28879000000000021</v>
      </c>
      <c r="AK32" s="230">
        <f t="shared" si="3"/>
        <v>6.5230000000000204E-2</v>
      </c>
      <c r="AM32" s="8"/>
      <c r="AO32" s="556"/>
    </row>
    <row r="33" spans="1:41" x14ac:dyDescent="0.25">
      <c r="A33" s="43">
        <f t="shared" si="0"/>
        <v>27</v>
      </c>
      <c r="B33" s="69"/>
      <c r="C33" s="18" t="s">
        <v>10</v>
      </c>
      <c r="D33" s="649">
        <v>0.28002999999999995</v>
      </c>
      <c r="E33" s="402">
        <f t="shared" si="15"/>
        <v>0.27038000000000001</v>
      </c>
      <c r="F33" s="650"/>
      <c r="G33" s="420"/>
      <c r="H33" s="20">
        <f t="shared" si="4"/>
        <v>9.6499999999999364E-3</v>
      </c>
      <c r="I33" s="233">
        <f t="shared" si="14"/>
        <v>0.22356000000000001</v>
      </c>
      <c r="J33" s="233"/>
      <c r="K33" s="20"/>
      <c r="L33" s="20">
        <f t="shared" si="6"/>
        <v>0.23320999999999995</v>
      </c>
      <c r="M33" s="20">
        <f>+Temporaries!D33</f>
        <v>-3.3830000000000006E-2</v>
      </c>
      <c r="N33" s="20">
        <f>+Temporaries!AD33</f>
        <v>-4.7589999999999993E-2</v>
      </c>
      <c r="O33" s="20"/>
      <c r="P33" s="20"/>
      <c r="Q33" s="20"/>
      <c r="R33" s="20"/>
      <c r="S33" s="20"/>
      <c r="T33" s="20"/>
      <c r="U33" s="564">
        <f>'Allocation = % of margin'!AB33</f>
        <v>0</v>
      </c>
      <c r="V33" s="20">
        <f t="shared" si="7"/>
        <v>0.21944999999999995</v>
      </c>
      <c r="W33" s="402"/>
      <c r="X33" s="402"/>
      <c r="AA33" s="69"/>
      <c r="AB33" s="232" t="s">
        <v>10</v>
      </c>
      <c r="AC33" s="407">
        <f t="shared" si="8"/>
        <v>4.3479999999999935E-2</v>
      </c>
      <c r="AD33" s="408">
        <f t="shared" si="1"/>
        <v>0</v>
      </c>
      <c r="AE33" s="408">
        <f t="shared" si="2"/>
        <v>0.22356000000000001</v>
      </c>
      <c r="AF33" s="408">
        <f t="shared" si="9"/>
        <v>-4.7589999999999993E-2</v>
      </c>
      <c r="AG33" s="409">
        <f t="shared" si="10"/>
        <v>0.21944999999999995</v>
      </c>
      <c r="AH33" s="229">
        <f t="shared" si="11"/>
        <v>0</v>
      </c>
      <c r="AI33" s="92">
        <f t="shared" si="12"/>
        <v>0.26703999999999994</v>
      </c>
      <c r="AK33" s="230">
        <f t="shared" si="3"/>
        <v>4.3479999999999935E-2</v>
      </c>
      <c r="AM33" s="8"/>
      <c r="AO33" s="556"/>
    </row>
    <row r="34" spans="1:41" x14ac:dyDescent="0.25">
      <c r="A34" s="43">
        <f t="shared" si="0"/>
        <v>28</v>
      </c>
      <c r="B34" s="74"/>
      <c r="C34" s="22" t="s">
        <v>11</v>
      </c>
      <c r="D34" s="647">
        <v>0.24900000000000005</v>
      </c>
      <c r="E34" s="380">
        <f t="shared" si="15"/>
        <v>0.27038000000000001</v>
      </c>
      <c r="F34" s="648"/>
      <c r="G34" s="419"/>
      <c r="H34" s="14">
        <f t="shared" si="4"/>
        <v>-2.1379999999999955E-2</v>
      </c>
      <c r="I34" s="228">
        <f t="shared" si="14"/>
        <v>0.22356000000000001</v>
      </c>
      <c r="J34" s="228"/>
      <c r="K34" s="14"/>
      <c r="L34" s="14">
        <f t="shared" si="6"/>
        <v>0.20218000000000005</v>
      </c>
      <c r="M34" s="14">
        <f>+Temporaries!D34</f>
        <v>-3.7680000000000005E-2</v>
      </c>
      <c r="N34" s="14">
        <f>+Temporaries!AD34</f>
        <v>-5.1049999999999998E-2</v>
      </c>
      <c r="O34" s="14"/>
      <c r="P34" s="14"/>
      <c r="Q34" s="14"/>
      <c r="R34" s="14"/>
      <c r="S34" s="14"/>
      <c r="T34" s="14"/>
      <c r="U34" s="575">
        <f>'Allocation = % of margin'!AB34</f>
        <v>0</v>
      </c>
      <c r="V34" s="14">
        <f t="shared" si="7"/>
        <v>0.18881000000000009</v>
      </c>
      <c r="W34" s="402"/>
      <c r="X34" s="402"/>
      <c r="AA34" s="74"/>
      <c r="AB34" s="234" t="s">
        <v>11</v>
      </c>
      <c r="AC34" s="407">
        <f t="shared" si="8"/>
        <v>1.6300000000000078E-2</v>
      </c>
      <c r="AD34" s="408">
        <f t="shared" si="1"/>
        <v>0</v>
      </c>
      <c r="AE34" s="408">
        <f t="shared" si="2"/>
        <v>0.22356000000000001</v>
      </c>
      <c r="AF34" s="408">
        <f t="shared" si="9"/>
        <v>-5.1049999999999998E-2</v>
      </c>
      <c r="AG34" s="409">
        <f t="shared" si="10"/>
        <v>0.18881000000000009</v>
      </c>
      <c r="AH34" s="229">
        <f t="shared" si="11"/>
        <v>0</v>
      </c>
      <c r="AI34" s="92">
        <f t="shared" si="12"/>
        <v>0.23986000000000007</v>
      </c>
      <c r="AK34" s="230">
        <f t="shared" si="3"/>
        <v>1.6300000000000064E-2</v>
      </c>
      <c r="AM34" s="8"/>
      <c r="AO34" s="556"/>
    </row>
    <row r="35" spans="1:41" x14ac:dyDescent="0.25">
      <c r="A35" s="43">
        <f t="shared" si="0"/>
        <v>29</v>
      </c>
      <c r="B35" s="69" t="s">
        <v>164</v>
      </c>
      <c r="C35" s="18" t="s">
        <v>6</v>
      </c>
      <c r="D35" s="649">
        <v>0.35160999999999998</v>
      </c>
      <c r="E35" s="402">
        <f t="shared" si="15"/>
        <v>0.27038000000000001</v>
      </c>
      <c r="F35" s="650"/>
      <c r="G35" s="420"/>
      <c r="H35" s="20">
        <f t="shared" si="4"/>
        <v>8.1229999999999969E-2</v>
      </c>
      <c r="I35" s="233">
        <f t="shared" si="14"/>
        <v>0.22356000000000001</v>
      </c>
      <c r="J35" s="233"/>
      <c r="K35" s="20"/>
      <c r="L35" s="20">
        <f t="shared" si="6"/>
        <v>0.30479000000000001</v>
      </c>
      <c r="M35" s="20">
        <f>+Temporaries!D35</f>
        <v>-3.7480000000000006E-2</v>
      </c>
      <c r="N35" s="20">
        <f>+Temporaries!AD35</f>
        <v>-5.0869999999999999E-2</v>
      </c>
      <c r="O35" s="20"/>
      <c r="P35" s="20"/>
      <c r="Q35" s="20"/>
      <c r="R35" s="20"/>
      <c r="S35" s="20"/>
      <c r="T35" s="20"/>
      <c r="U35" s="564">
        <f>'Allocation = % of margin'!AB35</f>
        <v>0</v>
      </c>
      <c r="V35" s="20">
        <f t="shared" si="7"/>
        <v>0.29139999999999999</v>
      </c>
      <c r="W35" s="402"/>
      <c r="X35" s="402"/>
      <c r="AA35" s="69" t="s">
        <v>164</v>
      </c>
      <c r="AB35" s="232" t="s">
        <v>6</v>
      </c>
      <c r="AC35" s="407">
        <f t="shared" si="8"/>
        <v>0.11870999999999998</v>
      </c>
      <c r="AD35" s="408">
        <f t="shared" si="1"/>
        <v>0</v>
      </c>
      <c r="AE35" s="408">
        <f t="shared" si="2"/>
        <v>0.22356000000000001</v>
      </c>
      <c r="AF35" s="408">
        <f t="shared" si="9"/>
        <v>-5.0869999999999999E-2</v>
      </c>
      <c r="AG35" s="409">
        <f t="shared" si="10"/>
        <v>0.29139999999999999</v>
      </c>
      <c r="AH35" s="229">
        <f t="shared" si="11"/>
        <v>0</v>
      </c>
      <c r="AI35" s="92">
        <f t="shared" si="12"/>
        <v>0.34226999999999996</v>
      </c>
      <c r="AK35" s="230">
        <f t="shared" si="3"/>
        <v>0.11870999999999995</v>
      </c>
      <c r="AM35" s="8"/>
      <c r="AO35" s="556"/>
    </row>
    <row r="36" spans="1:41" x14ac:dyDescent="0.25">
      <c r="A36" s="43">
        <f t="shared" si="0"/>
        <v>30</v>
      </c>
      <c r="B36" s="69"/>
      <c r="C36" s="18" t="s">
        <v>7</v>
      </c>
      <c r="D36" s="649">
        <v>0.33889000000000008</v>
      </c>
      <c r="E36" s="402">
        <f t="shared" si="15"/>
        <v>0.27038000000000001</v>
      </c>
      <c r="F36" s="650"/>
      <c r="G36" s="420"/>
      <c r="H36" s="20">
        <f t="shared" si="4"/>
        <v>6.8510000000000071E-2</v>
      </c>
      <c r="I36" s="233">
        <f t="shared" si="14"/>
        <v>0.22356000000000001</v>
      </c>
      <c r="J36" s="233"/>
      <c r="K36" s="20"/>
      <c r="L36" s="20">
        <f t="shared" si="6"/>
        <v>0.29207000000000005</v>
      </c>
      <c r="M36" s="20">
        <f>+Temporaries!D36</f>
        <v>-3.7750000000000006E-2</v>
      </c>
      <c r="N36" s="20">
        <f>+Temporaries!AD36</f>
        <v>-5.11E-2</v>
      </c>
      <c r="O36" s="20"/>
      <c r="P36" s="20"/>
      <c r="Q36" s="20"/>
      <c r="R36" s="20"/>
      <c r="S36" s="20"/>
      <c r="T36" s="20"/>
      <c r="U36" s="564">
        <f>'Allocation = % of margin'!AB36</f>
        <v>0</v>
      </c>
      <c r="V36" s="20">
        <f t="shared" si="7"/>
        <v>0.27872000000000008</v>
      </c>
      <c r="W36" s="402"/>
      <c r="X36" s="402"/>
      <c r="AA36" s="69"/>
      <c r="AB36" s="232" t="s">
        <v>7</v>
      </c>
      <c r="AC36" s="407">
        <f t="shared" si="8"/>
        <v>0.10626000000000008</v>
      </c>
      <c r="AD36" s="408">
        <f t="shared" si="1"/>
        <v>0</v>
      </c>
      <c r="AE36" s="408">
        <f t="shared" si="2"/>
        <v>0.22356000000000001</v>
      </c>
      <c r="AF36" s="408">
        <f t="shared" si="9"/>
        <v>-5.11E-2</v>
      </c>
      <c r="AG36" s="409">
        <f t="shared" si="10"/>
        <v>0.27872000000000013</v>
      </c>
      <c r="AH36" s="229">
        <f t="shared" si="11"/>
        <v>0</v>
      </c>
      <c r="AI36" s="92">
        <f t="shared" si="12"/>
        <v>0.32982000000000006</v>
      </c>
      <c r="AK36" s="230">
        <f t="shared" si="3"/>
        <v>0.10626000000000005</v>
      </c>
      <c r="AM36" s="8"/>
      <c r="AO36" s="556"/>
    </row>
    <row r="37" spans="1:41" x14ac:dyDescent="0.25">
      <c r="A37" s="43">
        <f t="shared" si="0"/>
        <v>31</v>
      </c>
      <c r="B37" s="69"/>
      <c r="C37" s="18" t="s">
        <v>8</v>
      </c>
      <c r="D37" s="649">
        <v>0.31359999999999988</v>
      </c>
      <c r="E37" s="402">
        <f t="shared" si="15"/>
        <v>0.27038000000000001</v>
      </c>
      <c r="F37" s="650"/>
      <c r="G37" s="420"/>
      <c r="H37" s="20">
        <f t="shared" si="4"/>
        <v>4.321999999999987E-2</v>
      </c>
      <c r="I37" s="233">
        <f t="shared" si="14"/>
        <v>0.22356000000000001</v>
      </c>
      <c r="J37" s="233"/>
      <c r="K37" s="20"/>
      <c r="L37" s="20">
        <f t="shared" si="6"/>
        <v>0.26677999999999991</v>
      </c>
      <c r="M37" s="20">
        <f>+Temporaries!D37</f>
        <v>-3.8270000000000005E-2</v>
      </c>
      <c r="N37" s="20">
        <f>+Temporaries!AD37</f>
        <v>-5.1579999999999994E-2</v>
      </c>
      <c r="O37" s="20"/>
      <c r="P37" s="20"/>
      <c r="Q37" s="20"/>
      <c r="R37" s="20"/>
      <c r="S37" s="20"/>
      <c r="T37" s="20"/>
      <c r="U37" s="564">
        <f>'Allocation = % of margin'!AB37</f>
        <v>0</v>
      </c>
      <c r="V37" s="20">
        <f t="shared" si="7"/>
        <v>0.25346999999999992</v>
      </c>
      <c r="W37" s="402"/>
      <c r="X37" s="402"/>
      <c r="AA37" s="69"/>
      <c r="AB37" s="232" t="s">
        <v>8</v>
      </c>
      <c r="AC37" s="407">
        <f t="shared" si="8"/>
        <v>8.1489999999999896E-2</v>
      </c>
      <c r="AD37" s="408">
        <f t="shared" si="1"/>
        <v>0</v>
      </c>
      <c r="AE37" s="408">
        <f t="shared" si="2"/>
        <v>0.22356000000000001</v>
      </c>
      <c r="AF37" s="408">
        <f t="shared" si="9"/>
        <v>-5.1579999999999994E-2</v>
      </c>
      <c r="AG37" s="409">
        <f t="shared" si="10"/>
        <v>0.25346999999999992</v>
      </c>
      <c r="AH37" s="229">
        <f t="shared" si="11"/>
        <v>0</v>
      </c>
      <c r="AI37" s="92">
        <f t="shared" si="12"/>
        <v>0.30504999999999993</v>
      </c>
      <c r="AK37" s="230">
        <f t="shared" si="3"/>
        <v>8.1489999999999924E-2</v>
      </c>
      <c r="AM37" s="8"/>
      <c r="AO37" s="556"/>
    </row>
    <row r="38" spans="1:41" x14ac:dyDescent="0.25">
      <c r="A38" s="43">
        <f t="shared" si="0"/>
        <v>32</v>
      </c>
      <c r="B38" s="69"/>
      <c r="C38" s="18" t="s">
        <v>9</v>
      </c>
      <c r="D38" s="649">
        <v>0.29696000000000011</v>
      </c>
      <c r="E38" s="402">
        <f t="shared" si="15"/>
        <v>0.27038000000000001</v>
      </c>
      <c r="F38" s="650"/>
      <c r="G38" s="420"/>
      <c r="H38" s="20">
        <f t="shared" si="4"/>
        <v>2.6580000000000104E-2</v>
      </c>
      <c r="I38" s="233">
        <f t="shared" si="14"/>
        <v>0.22356000000000001</v>
      </c>
      <c r="J38" s="233"/>
      <c r="K38" s="20"/>
      <c r="L38" s="20">
        <f t="shared" si="6"/>
        <v>0.25014000000000014</v>
      </c>
      <c r="M38" s="20">
        <f>+Temporaries!D38</f>
        <v>-3.8610000000000005E-2</v>
      </c>
      <c r="N38" s="20">
        <f>+Temporaries!AD38</f>
        <v>-5.1889999999999999E-2</v>
      </c>
      <c r="O38" s="20"/>
      <c r="P38" s="20"/>
      <c r="Q38" s="20"/>
      <c r="R38" s="20"/>
      <c r="S38" s="20"/>
      <c r="T38" s="20"/>
      <c r="U38" s="564">
        <f>'Allocation = % of margin'!AB38</f>
        <v>0</v>
      </c>
      <c r="V38" s="20">
        <f t="shared" si="7"/>
        <v>0.23686000000000018</v>
      </c>
      <c r="W38" s="402"/>
      <c r="X38" s="402"/>
      <c r="AA38" s="69"/>
      <c r="AB38" s="232" t="s">
        <v>9</v>
      </c>
      <c r="AC38" s="407">
        <f t="shared" si="8"/>
        <v>6.5190000000000164E-2</v>
      </c>
      <c r="AD38" s="408">
        <f t="shared" si="1"/>
        <v>0</v>
      </c>
      <c r="AE38" s="408">
        <f t="shared" si="2"/>
        <v>0.22356000000000001</v>
      </c>
      <c r="AF38" s="408">
        <f t="shared" si="9"/>
        <v>-5.1889999999999999E-2</v>
      </c>
      <c r="AG38" s="409">
        <f t="shared" si="10"/>
        <v>0.23686000000000018</v>
      </c>
      <c r="AH38" s="229">
        <f t="shared" si="11"/>
        <v>0</v>
      </c>
      <c r="AI38" s="92">
        <f t="shared" si="12"/>
        <v>0.28875000000000017</v>
      </c>
      <c r="AK38" s="230">
        <f t="shared" si="3"/>
        <v>6.5190000000000164E-2</v>
      </c>
      <c r="AM38" s="8"/>
      <c r="AO38" s="556"/>
    </row>
    <row r="39" spans="1:41" x14ac:dyDescent="0.25">
      <c r="A39" s="43">
        <f t="shared" si="0"/>
        <v>33</v>
      </c>
      <c r="B39" s="69"/>
      <c r="C39" s="18" t="s">
        <v>10</v>
      </c>
      <c r="D39" s="649">
        <v>0.27478000000000019</v>
      </c>
      <c r="E39" s="402">
        <f t="shared" si="15"/>
        <v>0.27038000000000001</v>
      </c>
      <c r="F39" s="650"/>
      <c r="G39" s="420"/>
      <c r="H39" s="20">
        <f t="shared" si="4"/>
        <v>4.4000000000001815E-3</v>
      </c>
      <c r="I39" s="233">
        <f t="shared" si="14"/>
        <v>0.22356000000000001</v>
      </c>
      <c r="J39" s="233"/>
      <c r="K39" s="20"/>
      <c r="L39" s="20">
        <f t="shared" si="6"/>
        <v>0.22796000000000019</v>
      </c>
      <c r="M39" s="20">
        <f>+Temporaries!D39</f>
        <v>-3.9070000000000008E-2</v>
      </c>
      <c r="N39" s="20">
        <f>+Temporaries!AD39</f>
        <v>-5.2299999999999999E-2</v>
      </c>
      <c r="O39" s="20"/>
      <c r="P39" s="20"/>
      <c r="Q39" s="20"/>
      <c r="R39" s="20"/>
      <c r="S39" s="20"/>
      <c r="T39" s="20"/>
      <c r="U39" s="564">
        <f>'Allocation = % of margin'!AB39</f>
        <v>0</v>
      </c>
      <c r="V39" s="20">
        <f t="shared" si="7"/>
        <v>0.2147300000000002</v>
      </c>
      <c r="W39" s="402"/>
      <c r="X39" s="402"/>
      <c r="AA39" s="69"/>
      <c r="AB39" s="232" t="s">
        <v>10</v>
      </c>
      <c r="AC39" s="407">
        <f t="shared" si="8"/>
        <v>4.3470000000000189E-2</v>
      </c>
      <c r="AD39" s="408">
        <f t="shared" si="1"/>
        <v>0</v>
      </c>
      <c r="AE39" s="408">
        <f t="shared" si="2"/>
        <v>0.22356000000000001</v>
      </c>
      <c r="AF39" s="408">
        <f t="shared" si="9"/>
        <v>-5.2299999999999999E-2</v>
      </c>
      <c r="AG39" s="409">
        <f t="shared" si="10"/>
        <v>0.2147300000000002</v>
      </c>
      <c r="AH39" s="229">
        <f t="shared" si="11"/>
        <v>0</v>
      </c>
      <c r="AI39" s="92">
        <f t="shared" si="12"/>
        <v>0.26703000000000021</v>
      </c>
      <c r="AK39" s="230">
        <f t="shared" si="3"/>
        <v>4.3470000000000203E-2</v>
      </c>
      <c r="AM39" s="8"/>
      <c r="AO39" s="556"/>
    </row>
    <row r="40" spans="1:41" x14ac:dyDescent="0.25">
      <c r="A40" s="43">
        <f t="shared" si="0"/>
        <v>34</v>
      </c>
      <c r="B40" s="74"/>
      <c r="C40" s="22" t="s">
        <v>11</v>
      </c>
      <c r="D40" s="647">
        <v>0.24702999999999992</v>
      </c>
      <c r="E40" s="380">
        <f t="shared" si="15"/>
        <v>0.27038000000000001</v>
      </c>
      <c r="F40" s="648"/>
      <c r="G40" s="419"/>
      <c r="H40" s="14">
        <f t="shared" si="4"/>
        <v>-2.3350000000000093E-2</v>
      </c>
      <c r="I40" s="228">
        <f t="shared" si="14"/>
        <v>0.22356000000000001</v>
      </c>
      <c r="J40" s="228"/>
      <c r="K40" s="14"/>
      <c r="L40" s="14">
        <f t="shared" si="6"/>
        <v>0.20020999999999992</v>
      </c>
      <c r="M40" s="14">
        <f>+Temporaries!D40</f>
        <v>-3.9640000000000002E-2</v>
      </c>
      <c r="N40" s="14">
        <f>+Temporaries!AD40</f>
        <v>-5.2809999999999996E-2</v>
      </c>
      <c r="O40" s="14"/>
      <c r="P40" s="14"/>
      <c r="Q40" s="14"/>
      <c r="R40" s="14"/>
      <c r="S40" s="14"/>
      <c r="T40" s="14"/>
      <c r="U40" s="575">
        <f>'Allocation = % of margin'!AB40</f>
        <v>0</v>
      </c>
      <c r="V40" s="14">
        <f t="shared" si="7"/>
        <v>0.18703999999999993</v>
      </c>
      <c r="W40" s="402"/>
      <c r="X40" s="402"/>
      <c r="AA40" s="74"/>
      <c r="AB40" s="234" t="s">
        <v>11</v>
      </c>
      <c r="AC40" s="407">
        <f t="shared" si="8"/>
        <v>1.6289999999999916E-2</v>
      </c>
      <c r="AD40" s="408">
        <f t="shared" si="1"/>
        <v>0</v>
      </c>
      <c r="AE40" s="408">
        <f t="shared" si="2"/>
        <v>0.22356000000000001</v>
      </c>
      <c r="AF40" s="408">
        <f t="shared" si="9"/>
        <v>-5.2809999999999996E-2</v>
      </c>
      <c r="AG40" s="409">
        <f t="shared" si="10"/>
        <v>0.18703999999999993</v>
      </c>
      <c r="AH40" s="229">
        <f t="shared" si="11"/>
        <v>0</v>
      </c>
      <c r="AI40" s="92">
        <f t="shared" si="12"/>
        <v>0.23984999999999992</v>
      </c>
      <c r="AK40" s="230">
        <f t="shared" si="3"/>
        <v>1.6289999999999916E-2</v>
      </c>
      <c r="AM40" s="8"/>
      <c r="AO40" s="556"/>
    </row>
    <row r="41" spans="1:41" x14ac:dyDescent="0.25">
      <c r="A41" s="43">
        <f t="shared" si="0"/>
        <v>35</v>
      </c>
      <c r="B41" s="69" t="s">
        <v>165</v>
      </c>
      <c r="C41" s="18" t="s">
        <v>6</v>
      </c>
      <c r="D41" s="649">
        <v>0.11817999999999999</v>
      </c>
      <c r="E41" s="402">
        <v>0</v>
      </c>
      <c r="F41" s="650"/>
      <c r="G41" s="420"/>
      <c r="H41" s="20">
        <f t="shared" si="4"/>
        <v>0.11817999999999999</v>
      </c>
      <c r="I41" s="233">
        <v>0</v>
      </c>
      <c r="J41" s="233"/>
      <c r="K41" s="20"/>
      <c r="L41" s="20">
        <f t="shared" si="6"/>
        <v>0.11817999999999999</v>
      </c>
      <c r="M41" s="20">
        <f>+Temporaries!D41</f>
        <v>0</v>
      </c>
      <c r="N41" s="20">
        <f>+Temporaries!AD41</f>
        <v>-2.3000000000000001E-4</v>
      </c>
      <c r="O41" s="20"/>
      <c r="P41" s="20"/>
      <c r="Q41" s="20"/>
      <c r="R41" s="20"/>
      <c r="S41" s="20"/>
      <c r="T41" s="20"/>
      <c r="U41" s="564">
        <f>'Allocation = % of margin'!AB41</f>
        <v>0</v>
      </c>
      <c r="V41" s="20">
        <f t="shared" si="7"/>
        <v>0.11795</v>
      </c>
      <c r="W41" s="402"/>
      <c r="X41" s="402"/>
      <c r="AA41" s="69" t="s">
        <v>165</v>
      </c>
      <c r="AB41" s="232" t="s">
        <v>6</v>
      </c>
      <c r="AC41" s="407">
        <f t="shared" si="8"/>
        <v>0.11817999999999999</v>
      </c>
      <c r="AD41" s="408">
        <f t="shared" si="1"/>
        <v>0</v>
      </c>
      <c r="AE41" s="408">
        <f t="shared" si="2"/>
        <v>0</v>
      </c>
      <c r="AF41" s="408">
        <f t="shared" si="9"/>
        <v>-2.3000000000000001E-4</v>
      </c>
      <c r="AG41" s="409">
        <f t="shared" si="10"/>
        <v>0.11795</v>
      </c>
      <c r="AH41" s="229">
        <f t="shared" si="11"/>
        <v>0</v>
      </c>
      <c r="AI41" s="92">
        <f t="shared" si="12"/>
        <v>0.11817999999999999</v>
      </c>
      <c r="AK41" s="230">
        <f t="shared" si="3"/>
        <v>0.11817999999999999</v>
      </c>
      <c r="AM41" s="8"/>
      <c r="AO41" s="556"/>
    </row>
    <row r="42" spans="1:41" x14ac:dyDescent="0.25">
      <c r="A42" s="43">
        <f t="shared" si="0"/>
        <v>36</v>
      </c>
      <c r="B42" s="69"/>
      <c r="C42" s="18" t="s">
        <v>7</v>
      </c>
      <c r="D42" s="649">
        <v>0.10579</v>
      </c>
      <c r="E42" s="402">
        <v>0</v>
      </c>
      <c r="F42" s="650"/>
      <c r="G42" s="420"/>
      <c r="H42" s="20">
        <f t="shared" si="4"/>
        <v>0.10579</v>
      </c>
      <c r="I42" s="233">
        <v>0</v>
      </c>
      <c r="J42" s="233"/>
      <c r="K42" s="20"/>
      <c r="L42" s="20">
        <f t="shared" si="6"/>
        <v>0.10579</v>
      </c>
      <c r="M42" s="20">
        <f>+Temporaries!D42</f>
        <v>0</v>
      </c>
      <c r="N42" s="20">
        <f>+Temporaries!AD42</f>
        <v>-2.1000000000000001E-4</v>
      </c>
      <c r="O42" s="20"/>
      <c r="P42" s="20"/>
      <c r="Q42" s="20"/>
      <c r="R42" s="20"/>
      <c r="S42" s="20"/>
      <c r="T42" s="20"/>
      <c r="U42" s="564">
        <f>'Allocation = % of margin'!AB42</f>
        <v>0</v>
      </c>
      <c r="V42" s="20">
        <f t="shared" si="7"/>
        <v>0.10557999999999999</v>
      </c>
      <c r="W42" s="402"/>
      <c r="X42" s="402"/>
      <c r="AA42" s="69"/>
      <c r="AB42" s="232" t="s">
        <v>7</v>
      </c>
      <c r="AC42" s="407">
        <f t="shared" si="8"/>
        <v>0.10579</v>
      </c>
      <c r="AD42" s="408">
        <f t="shared" si="1"/>
        <v>0</v>
      </c>
      <c r="AE42" s="408">
        <f t="shared" si="2"/>
        <v>0</v>
      </c>
      <c r="AF42" s="408">
        <f t="shared" si="9"/>
        <v>-2.1000000000000001E-4</v>
      </c>
      <c r="AG42" s="409">
        <f t="shared" si="10"/>
        <v>0.10557999999999999</v>
      </c>
      <c r="AH42" s="229">
        <f t="shared" si="11"/>
        <v>0</v>
      </c>
      <c r="AI42" s="92">
        <f t="shared" si="12"/>
        <v>0.10579</v>
      </c>
      <c r="AK42" s="230">
        <f t="shared" si="3"/>
        <v>0.10579</v>
      </c>
      <c r="AM42" s="8"/>
      <c r="AO42" s="556"/>
    </row>
    <row r="43" spans="1:41" x14ac:dyDescent="0.25">
      <c r="A43" s="43">
        <f t="shared" si="0"/>
        <v>37</v>
      </c>
      <c r="B43" s="69"/>
      <c r="C43" s="18" t="s">
        <v>8</v>
      </c>
      <c r="D43" s="649">
        <v>8.1119999999999998E-2</v>
      </c>
      <c r="E43" s="402">
        <v>0</v>
      </c>
      <c r="F43" s="650"/>
      <c r="G43" s="420"/>
      <c r="H43" s="20">
        <f t="shared" si="4"/>
        <v>8.1119999999999998E-2</v>
      </c>
      <c r="I43" s="233">
        <v>0</v>
      </c>
      <c r="J43" s="233"/>
      <c r="K43" s="20"/>
      <c r="L43" s="20">
        <f t="shared" si="6"/>
        <v>8.1119999999999998E-2</v>
      </c>
      <c r="M43" s="20">
        <f>+Temporaries!D43</f>
        <v>0</v>
      </c>
      <c r="N43" s="20">
        <f>+Temporaries!AD43</f>
        <v>-1.6000000000000001E-4</v>
      </c>
      <c r="O43" s="20"/>
      <c r="P43" s="20"/>
      <c r="Q43" s="20"/>
      <c r="R43" s="20"/>
      <c r="S43" s="20"/>
      <c r="T43" s="20"/>
      <c r="U43" s="564">
        <f>'Allocation = % of margin'!AB43</f>
        <v>0</v>
      </c>
      <c r="V43" s="20">
        <f t="shared" si="7"/>
        <v>8.0960000000000004E-2</v>
      </c>
      <c r="W43" s="402"/>
      <c r="X43" s="402"/>
      <c r="AA43" s="69"/>
      <c r="AB43" s="232" t="s">
        <v>8</v>
      </c>
      <c r="AC43" s="407">
        <f t="shared" si="8"/>
        <v>8.1119999999999998E-2</v>
      </c>
      <c r="AD43" s="408">
        <f t="shared" si="1"/>
        <v>0</v>
      </c>
      <c r="AE43" s="408">
        <f t="shared" si="2"/>
        <v>0</v>
      </c>
      <c r="AF43" s="408">
        <f t="shared" si="9"/>
        <v>-1.6000000000000001E-4</v>
      </c>
      <c r="AG43" s="409">
        <f t="shared" si="10"/>
        <v>8.0960000000000004E-2</v>
      </c>
      <c r="AH43" s="229">
        <f t="shared" si="11"/>
        <v>0</v>
      </c>
      <c r="AI43" s="92">
        <f t="shared" si="12"/>
        <v>8.1119999999999998E-2</v>
      </c>
      <c r="AK43" s="230">
        <f t="shared" si="3"/>
        <v>8.1119999999999998E-2</v>
      </c>
      <c r="AM43" s="8"/>
      <c r="AO43" s="556"/>
    </row>
    <row r="44" spans="1:41" x14ac:dyDescent="0.25">
      <c r="A44" s="43">
        <f t="shared" si="0"/>
        <v>38</v>
      </c>
      <c r="B44" s="69"/>
      <c r="C44" s="18" t="s">
        <v>9</v>
      </c>
      <c r="D44" s="649">
        <v>6.4899999999999999E-2</v>
      </c>
      <c r="E44" s="402">
        <v>0</v>
      </c>
      <c r="F44" s="650"/>
      <c r="G44" s="420"/>
      <c r="H44" s="20">
        <f t="shared" si="4"/>
        <v>6.4899999999999999E-2</v>
      </c>
      <c r="I44" s="233">
        <v>0</v>
      </c>
      <c r="J44" s="233"/>
      <c r="K44" s="20"/>
      <c r="L44" s="20">
        <f t="shared" si="6"/>
        <v>6.4899999999999999E-2</v>
      </c>
      <c r="M44" s="20">
        <f>+Temporaries!D44</f>
        <v>0</v>
      </c>
      <c r="N44" s="20">
        <f>+Temporaries!AD44</f>
        <v>-1.2999999999999999E-4</v>
      </c>
      <c r="O44" s="20"/>
      <c r="P44" s="20"/>
      <c r="Q44" s="20"/>
      <c r="R44" s="20"/>
      <c r="S44" s="20"/>
      <c r="T44" s="20"/>
      <c r="U44" s="564">
        <f>'Allocation = % of margin'!AB44</f>
        <v>0</v>
      </c>
      <c r="V44" s="20">
        <f t="shared" si="7"/>
        <v>6.4769999999999994E-2</v>
      </c>
      <c r="W44" s="402"/>
      <c r="X44" s="402"/>
      <c r="AA44" s="69"/>
      <c r="AB44" s="232" t="s">
        <v>9</v>
      </c>
      <c r="AC44" s="407">
        <f t="shared" si="8"/>
        <v>6.4899999999999999E-2</v>
      </c>
      <c r="AD44" s="408">
        <f t="shared" si="1"/>
        <v>0</v>
      </c>
      <c r="AE44" s="408">
        <f t="shared" si="2"/>
        <v>0</v>
      </c>
      <c r="AF44" s="408">
        <f t="shared" si="9"/>
        <v>-1.2999999999999999E-4</v>
      </c>
      <c r="AG44" s="409">
        <f t="shared" si="10"/>
        <v>6.4769999999999994E-2</v>
      </c>
      <c r="AH44" s="229">
        <f t="shared" si="11"/>
        <v>0</v>
      </c>
      <c r="AI44" s="92">
        <f t="shared" si="12"/>
        <v>6.4899999999999999E-2</v>
      </c>
      <c r="AK44" s="230">
        <f t="shared" si="3"/>
        <v>6.4899999999999999E-2</v>
      </c>
      <c r="AM44" s="8"/>
      <c r="AO44" s="556"/>
    </row>
    <row r="45" spans="1:41" x14ac:dyDescent="0.25">
      <c r="A45" s="43">
        <f t="shared" si="0"/>
        <v>39</v>
      </c>
      <c r="B45" s="69"/>
      <c r="C45" s="18" t="s">
        <v>10</v>
      </c>
      <c r="D45" s="649">
        <v>4.3270000000000003E-2</v>
      </c>
      <c r="E45" s="402">
        <v>0</v>
      </c>
      <c r="F45" s="650"/>
      <c r="G45" s="420"/>
      <c r="H45" s="20">
        <f t="shared" si="4"/>
        <v>4.3270000000000003E-2</v>
      </c>
      <c r="I45" s="233">
        <v>0</v>
      </c>
      <c r="J45" s="233"/>
      <c r="K45" s="20"/>
      <c r="L45" s="20">
        <f t="shared" si="6"/>
        <v>4.3270000000000003E-2</v>
      </c>
      <c r="M45" s="20">
        <f>+Temporaries!D45</f>
        <v>0</v>
      </c>
      <c r="N45" s="20">
        <f>+Temporaries!AD45</f>
        <v>-9.0000000000000006E-5</v>
      </c>
      <c r="O45" s="20"/>
      <c r="P45" s="20"/>
      <c r="Q45" s="20"/>
      <c r="R45" s="20"/>
      <c r="S45" s="20"/>
      <c r="T45" s="20"/>
      <c r="U45" s="564">
        <f>'Allocation = % of margin'!AB45</f>
        <v>0</v>
      </c>
      <c r="V45" s="20">
        <f t="shared" si="7"/>
        <v>4.3180000000000003E-2</v>
      </c>
      <c r="W45" s="402"/>
      <c r="X45" s="402"/>
      <c r="AA45" s="69"/>
      <c r="AB45" s="232" t="s">
        <v>10</v>
      </c>
      <c r="AC45" s="407">
        <f t="shared" si="8"/>
        <v>4.3270000000000003E-2</v>
      </c>
      <c r="AD45" s="408">
        <f t="shared" si="1"/>
        <v>0</v>
      </c>
      <c r="AE45" s="408">
        <f t="shared" si="2"/>
        <v>0</v>
      </c>
      <c r="AF45" s="408">
        <f t="shared" si="9"/>
        <v>-9.0000000000000006E-5</v>
      </c>
      <c r="AG45" s="409">
        <f t="shared" si="10"/>
        <v>4.3180000000000003E-2</v>
      </c>
      <c r="AH45" s="229">
        <f t="shared" si="11"/>
        <v>0</v>
      </c>
      <c r="AI45" s="92">
        <f t="shared" si="12"/>
        <v>4.3270000000000003E-2</v>
      </c>
      <c r="AK45" s="230">
        <f t="shared" ref="AK45:AK67" si="16">AI45-I45</f>
        <v>4.3270000000000003E-2</v>
      </c>
      <c r="AM45" s="8"/>
      <c r="AO45" s="556"/>
    </row>
    <row r="46" spans="1:41" x14ac:dyDescent="0.25">
      <c r="A46" s="43">
        <f t="shared" si="0"/>
        <v>40</v>
      </c>
      <c r="B46" s="74"/>
      <c r="C46" s="22" t="s">
        <v>11</v>
      </c>
      <c r="D46" s="647">
        <v>1.6219999999999998E-2</v>
      </c>
      <c r="E46" s="380">
        <v>0</v>
      </c>
      <c r="F46" s="648"/>
      <c r="G46" s="419"/>
      <c r="H46" s="14">
        <f t="shared" si="4"/>
        <v>1.6219999999999998E-2</v>
      </c>
      <c r="I46" s="228">
        <v>0</v>
      </c>
      <c r="J46" s="228"/>
      <c r="K46" s="14"/>
      <c r="L46" s="14">
        <f t="shared" si="6"/>
        <v>1.6219999999999998E-2</v>
      </c>
      <c r="M46" s="14">
        <f>+Temporaries!D46</f>
        <v>0</v>
      </c>
      <c r="N46" s="14">
        <f>+Temporaries!AD46</f>
        <v>-3.0000000000000001E-5</v>
      </c>
      <c r="O46" s="14"/>
      <c r="P46" s="14"/>
      <c r="Q46" s="14"/>
      <c r="R46" s="14"/>
      <c r="S46" s="14"/>
      <c r="T46" s="14"/>
      <c r="U46" s="575">
        <f>'Allocation = % of margin'!AB46</f>
        <v>0</v>
      </c>
      <c r="V46" s="14">
        <f t="shared" si="7"/>
        <v>1.619E-2</v>
      </c>
      <c r="W46" s="402"/>
      <c r="X46" s="402"/>
      <c r="AA46" s="74"/>
      <c r="AB46" s="234" t="s">
        <v>11</v>
      </c>
      <c r="AC46" s="407">
        <f t="shared" si="8"/>
        <v>1.6219999999999998E-2</v>
      </c>
      <c r="AD46" s="408">
        <f t="shared" si="1"/>
        <v>0</v>
      </c>
      <c r="AE46" s="408">
        <f t="shared" si="2"/>
        <v>0</v>
      </c>
      <c r="AF46" s="408">
        <f t="shared" si="9"/>
        <v>-3.0000000000000001E-5</v>
      </c>
      <c r="AG46" s="409">
        <f t="shared" si="10"/>
        <v>1.619E-2</v>
      </c>
      <c r="AH46" s="229">
        <f t="shared" si="11"/>
        <v>0</v>
      </c>
      <c r="AI46" s="92">
        <f t="shared" si="12"/>
        <v>1.6219999999999998E-2</v>
      </c>
      <c r="AK46" s="230">
        <f t="shared" si="16"/>
        <v>1.6219999999999998E-2</v>
      </c>
      <c r="AM46" s="8"/>
      <c r="AO46" s="556"/>
    </row>
    <row r="47" spans="1:41" x14ac:dyDescent="0.25">
      <c r="A47" s="43">
        <f t="shared" si="0"/>
        <v>41</v>
      </c>
      <c r="B47" s="69" t="s">
        <v>369</v>
      </c>
      <c r="C47" s="18" t="s">
        <v>6</v>
      </c>
      <c r="D47" s="649">
        <v>0.38132999999999995</v>
      </c>
      <c r="E47" s="402">
        <f t="shared" ref="E47:E58" si="17">+$E$13</f>
        <v>0.27038000000000001</v>
      </c>
      <c r="F47" s="650"/>
      <c r="G47" s="420"/>
      <c r="H47" s="20">
        <f t="shared" ref="H47:H52" si="18">+D47-SUM(E47:G47)</f>
        <v>0.11094999999999994</v>
      </c>
      <c r="I47" s="233">
        <f t="shared" ref="I47:I52" si="19">+$I$13</f>
        <v>0.22356000000000001</v>
      </c>
      <c r="J47" s="233"/>
      <c r="K47" s="20"/>
      <c r="L47" s="20">
        <f t="shared" ref="L47:L52" si="20">SUM(H47:K47)</f>
        <v>0.33450999999999997</v>
      </c>
      <c r="M47" s="20">
        <f>+Temporaries!D47</f>
        <v>-7.6099999999999987E-3</v>
      </c>
      <c r="N47" s="20">
        <f>+Temporaries!AD47</f>
        <v>-2.3139999999999997E-2</v>
      </c>
      <c r="O47" s="20"/>
      <c r="P47" s="20"/>
      <c r="Q47" s="20"/>
      <c r="R47" s="20"/>
      <c r="S47" s="20"/>
      <c r="T47" s="20"/>
      <c r="U47" s="564">
        <f>'Allocation = % of margin'!AB47</f>
        <v>0</v>
      </c>
      <c r="V47" s="20">
        <f t="shared" si="7"/>
        <v>0.31897999999999999</v>
      </c>
      <c r="W47" s="402"/>
      <c r="X47" s="402"/>
      <c r="AA47" s="69" t="s">
        <v>369</v>
      </c>
      <c r="AB47" s="18" t="s">
        <v>6</v>
      </c>
      <c r="AC47" s="407">
        <f t="shared" si="8"/>
        <v>0.11855999999999997</v>
      </c>
      <c r="AD47" s="408">
        <f t="shared" si="1"/>
        <v>0</v>
      </c>
      <c r="AE47" s="408">
        <f t="shared" si="2"/>
        <v>0.22356000000000001</v>
      </c>
      <c r="AF47" s="408">
        <f t="shared" si="9"/>
        <v>-2.3139999999999997E-2</v>
      </c>
      <c r="AG47" s="409">
        <f t="shared" si="10"/>
        <v>0.31897999999999999</v>
      </c>
      <c r="AH47" s="229">
        <f t="shared" si="11"/>
        <v>0</v>
      </c>
      <c r="AI47" s="92">
        <f t="shared" si="12"/>
        <v>0.34211999999999998</v>
      </c>
      <c r="AK47" s="230">
        <f t="shared" si="16"/>
        <v>0.11855999999999997</v>
      </c>
      <c r="AM47" s="8"/>
      <c r="AO47" s="556"/>
    </row>
    <row r="48" spans="1:41" x14ac:dyDescent="0.25">
      <c r="A48" s="43">
        <f t="shared" si="0"/>
        <v>42</v>
      </c>
      <c r="B48" s="69"/>
      <c r="C48" s="18" t="s">
        <v>7</v>
      </c>
      <c r="D48" s="649">
        <v>0.3679599999999999</v>
      </c>
      <c r="E48" s="402">
        <f t="shared" si="17"/>
        <v>0.27038000000000001</v>
      </c>
      <c r="F48" s="650"/>
      <c r="G48" s="420"/>
      <c r="H48" s="20">
        <f t="shared" si="18"/>
        <v>9.7579999999999889E-2</v>
      </c>
      <c r="I48" s="233">
        <f t="shared" si="19"/>
        <v>0.22356000000000001</v>
      </c>
      <c r="J48" s="233"/>
      <c r="K48" s="20"/>
      <c r="L48" s="20">
        <f t="shared" si="20"/>
        <v>0.32113999999999987</v>
      </c>
      <c r="M48" s="20">
        <f>+Temporaries!D48</f>
        <v>-8.5399999999999972E-3</v>
      </c>
      <c r="N48" s="20">
        <f>+Temporaries!AD48</f>
        <v>-2.445E-2</v>
      </c>
      <c r="O48" s="20"/>
      <c r="P48" s="20"/>
      <c r="Q48" s="20"/>
      <c r="R48" s="20"/>
      <c r="S48" s="20"/>
      <c r="T48" s="20"/>
      <c r="U48" s="564">
        <f>'Allocation = % of margin'!AB48</f>
        <v>0</v>
      </c>
      <c r="V48" s="20">
        <f t="shared" si="7"/>
        <v>0.30522999999999989</v>
      </c>
      <c r="W48" s="402"/>
      <c r="X48" s="402"/>
      <c r="AA48" s="69"/>
      <c r="AB48" s="18" t="s">
        <v>7</v>
      </c>
      <c r="AC48" s="407">
        <f t="shared" si="8"/>
        <v>0.10611999999999988</v>
      </c>
      <c r="AD48" s="408">
        <f t="shared" si="1"/>
        <v>0</v>
      </c>
      <c r="AE48" s="408">
        <f t="shared" si="2"/>
        <v>0.22356000000000001</v>
      </c>
      <c r="AF48" s="408">
        <f t="shared" si="9"/>
        <v>-2.445E-2</v>
      </c>
      <c r="AG48" s="409">
        <f t="shared" si="10"/>
        <v>0.30522999999999989</v>
      </c>
      <c r="AH48" s="229">
        <f t="shared" si="11"/>
        <v>0</v>
      </c>
      <c r="AI48" s="92">
        <f t="shared" si="12"/>
        <v>0.32967999999999986</v>
      </c>
      <c r="AK48" s="230">
        <f t="shared" si="16"/>
        <v>0.10611999999999985</v>
      </c>
      <c r="AM48" s="8"/>
      <c r="AO48" s="556"/>
    </row>
    <row r="49" spans="1:41" x14ac:dyDescent="0.25">
      <c r="A49" s="43">
        <f t="shared" si="0"/>
        <v>43</v>
      </c>
      <c r="B49" s="69"/>
      <c r="C49" s="18" t="s">
        <v>8</v>
      </c>
      <c r="D49" s="649">
        <v>0.34134000000000014</v>
      </c>
      <c r="E49" s="402">
        <f t="shared" si="17"/>
        <v>0.27038000000000001</v>
      </c>
      <c r="F49" s="650"/>
      <c r="G49" s="420"/>
      <c r="H49" s="20">
        <f t="shared" si="18"/>
        <v>7.0960000000000134E-2</v>
      </c>
      <c r="I49" s="233">
        <f t="shared" si="19"/>
        <v>0.22356000000000001</v>
      </c>
      <c r="J49" s="233"/>
      <c r="K49" s="20"/>
      <c r="L49" s="20">
        <f t="shared" si="20"/>
        <v>0.29452000000000012</v>
      </c>
      <c r="M49" s="20">
        <f>+Temporaries!D49</f>
        <v>-1.0419999999999999E-2</v>
      </c>
      <c r="N49" s="20">
        <f>+Temporaries!AD49</f>
        <v>-2.7069999999999997E-2</v>
      </c>
      <c r="O49" s="20"/>
      <c r="P49" s="20"/>
      <c r="Q49" s="20"/>
      <c r="R49" s="20"/>
      <c r="S49" s="20"/>
      <c r="T49" s="20"/>
      <c r="U49" s="564">
        <f>'Allocation = % of margin'!AB49</f>
        <v>0</v>
      </c>
      <c r="V49" s="20">
        <f t="shared" si="7"/>
        <v>0.27787000000000012</v>
      </c>
      <c r="W49" s="402"/>
      <c r="X49" s="402"/>
      <c r="AA49" s="69"/>
      <c r="AB49" s="18" t="s">
        <v>8</v>
      </c>
      <c r="AC49" s="407">
        <f t="shared" si="8"/>
        <v>8.1380000000000105E-2</v>
      </c>
      <c r="AD49" s="408">
        <f t="shared" si="1"/>
        <v>0</v>
      </c>
      <c r="AE49" s="408">
        <f t="shared" si="2"/>
        <v>0.22356000000000001</v>
      </c>
      <c r="AF49" s="408">
        <f t="shared" si="9"/>
        <v>-2.7069999999999997E-2</v>
      </c>
      <c r="AG49" s="409">
        <f t="shared" si="10"/>
        <v>0.27787000000000012</v>
      </c>
      <c r="AH49" s="229">
        <f t="shared" si="11"/>
        <v>0</v>
      </c>
      <c r="AI49" s="92">
        <f t="shared" si="12"/>
        <v>0.3049400000000001</v>
      </c>
      <c r="AK49" s="230">
        <f t="shared" si="16"/>
        <v>8.1380000000000091E-2</v>
      </c>
      <c r="AM49" s="8"/>
      <c r="AO49" s="556"/>
    </row>
    <row r="50" spans="1:41" x14ac:dyDescent="0.25">
      <c r="A50" s="43">
        <f t="shared" si="0"/>
        <v>44</v>
      </c>
      <c r="B50" s="69"/>
      <c r="C50" s="18" t="s">
        <v>9</v>
      </c>
      <c r="D50" s="649">
        <v>0.32383999999999996</v>
      </c>
      <c r="E50" s="402">
        <f t="shared" si="17"/>
        <v>0.27038000000000001</v>
      </c>
      <c r="F50" s="650"/>
      <c r="G50" s="420"/>
      <c r="H50" s="20">
        <f t="shared" si="18"/>
        <v>5.3459999999999952E-2</v>
      </c>
      <c r="I50" s="233">
        <f t="shared" si="19"/>
        <v>0.22356000000000001</v>
      </c>
      <c r="J50" s="233"/>
      <c r="K50" s="20"/>
      <c r="L50" s="20">
        <f t="shared" si="20"/>
        <v>0.27701999999999993</v>
      </c>
      <c r="M50" s="20">
        <f>+Temporaries!D50</f>
        <v>-1.1639999999999998E-2</v>
      </c>
      <c r="N50" s="20">
        <f>+Temporaries!AD50</f>
        <v>-2.8779999999999997E-2</v>
      </c>
      <c r="O50" s="20"/>
      <c r="P50" s="20"/>
      <c r="Q50" s="20"/>
      <c r="R50" s="20"/>
      <c r="S50" s="20"/>
      <c r="T50" s="20"/>
      <c r="U50" s="564">
        <f>'Allocation = % of margin'!AB50</f>
        <v>0</v>
      </c>
      <c r="V50" s="20">
        <f t="shared" si="7"/>
        <v>0.25987999999999994</v>
      </c>
      <c r="W50" s="402"/>
      <c r="X50" s="402"/>
      <c r="AA50" s="69"/>
      <c r="AB50" s="18" t="s">
        <v>9</v>
      </c>
      <c r="AC50" s="407">
        <f t="shared" si="8"/>
        <v>6.5099999999999936E-2</v>
      </c>
      <c r="AD50" s="408">
        <f t="shared" si="1"/>
        <v>0</v>
      </c>
      <c r="AE50" s="408">
        <f t="shared" si="2"/>
        <v>0.22356000000000001</v>
      </c>
      <c r="AF50" s="408">
        <f t="shared" si="9"/>
        <v>-2.8779999999999997E-2</v>
      </c>
      <c r="AG50" s="409">
        <f t="shared" si="10"/>
        <v>0.25987999999999994</v>
      </c>
      <c r="AH50" s="229">
        <f t="shared" si="11"/>
        <v>0</v>
      </c>
      <c r="AI50" s="92">
        <f t="shared" si="12"/>
        <v>0.28865999999999992</v>
      </c>
      <c r="AK50" s="230">
        <f t="shared" si="16"/>
        <v>6.5099999999999908E-2</v>
      </c>
      <c r="AM50" s="8"/>
      <c r="AO50" s="556"/>
    </row>
    <row r="51" spans="1:41" x14ac:dyDescent="0.25">
      <c r="A51" s="43">
        <f t="shared" si="0"/>
        <v>45</v>
      </c>
      <c r="B51" s="69"/>
      <c r="C51" s="18" t="s">
        <v>10</v>
      </c>
      <c r="D51" s="649">
        <v>0.30050000000000004</v>
      </c>
      <c r="E51" s="402">
        <f t="shared" si="17"/>
        <v>0.27038000000000001</v>
      </c>
      <c r="F51" s="650"/>
      <c r="G51" s="420"/>
      <c r="H51" s="20">
        <f t="shared" si="18"/>
        <v>3.0120000000000036E-2</v>
      </c>
      <c r="I51" s="233">
        <f t="shared" si="19"/>
        <v>0.22356000000000001</v>
      </c>
      <c r="J51" s="233"/>
      <c r="K51" s="20"/>
      <c r="L51" s="20">
        <f t="shared" si="20"/>
        <v>0.25368000000000002</v>
      </c>
      <c r="M51" s="20">
        <f>+Temporaries!D51</f>
        <v>-1.3279999999999998E-2</v>
      </c>
      <c r="N51" s="20">
        <f>+Temporaries!AD51</f>
        <v>-3.1079999999999997E-2</v>
      </c>
      <c r="O51" s="20"/>
      <c r="P51" s="20"/>
      <c r="Q51" s="20"/>
      <c r="R51" s="20"/>
      <c r="S51" s="20"/>
      <c r="T51" s="20"/>
      <c r="U51" s="564">
        <f>'Allocation = % of margin'!AB51</f>
        <v>0</v>
      </c>
      <c r="V51" s="20">
        <f t="shared" si="7"/>
        <v>0.23588000000000003</v>
      </c>
      <c r="W51" s="402"/>
      <c r="X51" s="402"/>
      <c r="AA51" s="69"/>
      <c r="AB51" s="18" t="s">
        <v>10</v>
      </c>
      <c r="AC51" s="407">
        <f t="shared" si="8"/>
        <v>4.3400000000000022E-2</v>
      </c>
      <c r="AD51" s="408">
        <f t="shared" si="1"/>
        <v>0</v>
      </c>
      <c r="AE51" s="408">
        <f t="shared" si="2"/>
        <v>0.22356000000000001</v>
      </c>
      <c r="AF51" s="408">
        <f t="shared" si="9"/>
        <v>-3.1079999999999997E-2</v>
      </c>
      <c r="AG51" s="409">
        <f t="shared" si="10"/>
        <v>0.23588000000000003</v>
      </c>
      <c r="AH51" s="229">
        <f t="shared" si="11"/>
        <v>0</v>
      </c>
      <c r="AI51" s="92">
        <f t="shared" si="12"/>
        <v>0.26696000000000003</v>
      </c>
      <c r="AK51" s="230">
        <f t="shared" si="16"/>
        <v>4.3400000000000022E-2</v>
      </c>
      <c r="AM51" s="8"/>
      <c r="AO51" s="556"/>
    </row>
    <row r="52" spans="1:41" x14ac:dyDescent="0.25">
      <c r="A52" s="43">
        <f t="shared" si="0"/>
        <v>46</v>
      </c>
      <c r="B52" s="74"/>
      <c r="C52" s="22" t="s">
        <v>11</v>
      </c>
      <c r="D52" s="647">
        <v>0.27133999999999991</v>
      </c>
      <c r="E52" s="380">
        <f t="shared" si="17"/>
        <v>0.27038000000000001</v>
      </c>
      <c r="F52" s="648"/>
      <c r="G52" s="419"/>
      <c r="H52" s="14">
        <f t="shared" si="18"/>
        <v>9.5999999999990537E-4</v>
      </c>
      <c r="I52" s="228">
        <f t="shared" si="19"/>
        <v>0.22356000000000001</v>
      </c>
      <c r="J52" s="228"/>
      <c r="K52" s="14"/>
      <c r="L52" s="14">
        <f t="shared" si="20"/>
        <v>0.22451999999999991</v>
      </c>
      <c r="M52" s="14">
        <f>+Temporaries!D52</f>
        <v>-1.5319999999999999E-2</v>
      </c>
      <c r="N52" s="14">
        <f>+Temporaries!AD52</f>
        <v>-3.3939999999999998E-2</v>
      </c>
      <c r="O52" s="14"/>
      <c r="P52" s="14"/>
      <c r="Q52" s="14"/>
      <c r="R52" s="14"/>
      <c r="S52" s="14"/>
      <c r="T52" s="14"/>
      <c r="U52" s="575">
        <f>'Allocation = % of margin'!AB52</f>
        <v>0</v>
      </c>
      <c r="V52" s="14">
        <f t="shared" si="7"/>
        <v>0.20589999999999992</v>
      </c>
      <c r="W52" s="402"/>
      <c r="X52" s="402"/>
      <c r="AA52" s="74"/>
      <c r="AB52" s="22" t="s">
        <v>11</v>
      </c>
      <c r="AC52" s="407">
        <f t="shared" si="8"/>
        <v>1.6279999999999906E-2</v>
      </c>
      <c r="AD52" s="408">
        <f t="shared" si="1"/>
        <v>0</v>
      </c>
      <c r="AE52" s="408">
        <f t="shared" si="2"/>
        <v>0.22356000000000001</v>
      </c>
      <c r="AF52" s="408">
        <f t="shared" si="9"/>
        <v>-3.3939999999999998E-2</v>
      </c>
      <c r="AG52" s="409">
        <f t="shared" si="10"/>
        <v>0.20589999999999992</v>
      </c>
      <c r="AH52" s="229">
        <f t="shared" si="11"/>
        <v>0</v>
      </c>
      <c r="AI52" s="92">
        <f t="shared" si="12"/>
        <v>0.23983999999999991</v>
      </c>
      <c r="AK52" s="230">
        <f t="shared" si="16"/>
        <v>1.6279999999999906E-2</v>
      </c>
      <c r="AM52" s="8"/>
      <c r="AO52" s="556"/>
    </row>
    <row r="53" spans="1:41" x14ac:dyDescent="0.25">
      <c r="A53" s="43">
        <f t="shared" si="0"/>
        <v>47</v>
      </c>
      <c r="B53" s="69" t="s">
        <v>370</v>
      </c>
      <c r="C53" s="18" t="s">
        <v>6</v>
      </c>
      <c r="D53" s="649">
        <v>0.37669999999999992</v>
      </c>
      <c r="E53" s="402">
        <f t="shared" si="17"/>
        <v>0.27038000000000001</v>
      </c>
      <c r="F53" s="650"/>
      <c r="G53" s="420"/>
      <c r="H53" s="20">
        <f t="shared" si="4"/>
        <v>0.10631999999999991</v>
      </c>
      <c r="I53" s="233">
        <f t="shared" ref="I53:I58" si="21">+$I$13</f>
        <v>0.22356000000000001</v>
      </c>
      <c r="J53" s="233"/>
      <c r="K53" s="20"/>
      <c r="L53" s="20">
        <f t="shared" si="6"/>
        <v>0.32987999999999995</v>
      </c>
      <c r="M53" s="20">
        <f>+Temporaries!D53</f>
        <v>-1.2379999999999999E-2</v>
      </c>
      <c r="N53" s="20">
        <f>+Temporaries!AD53</f>
        <v>-3.3389999999999996E-2</v>
      </c>
      <c r="O53" s="20"/>
      <c r="P53" s="20"/>
      <c r="Q53" s="20"/>
      <c r="R53" s="20"/>
      <c r="S53" s="20"/>
      <c r="T53" s="20"/>
      <c r="U53" s="564">
        <f>'Allocation = % of margin'!AB53</f>
        <v>0</v>
      </c>
      <c r="V53" s="20">
        <f t="shared" si="7"/>
        <v>0.30886999999999998</v>
      </c>
      <c r="W53" s="402"/>
      <c r="X53" s="402"/>
      <c r="AA53" s="69" t="s">
        <v>370</v>
      </c>
      <c r="AB53" s="232" t="s">
        <v>6</v>
      </c>
      <c r="AC53" s="407">
        <f t="shared" si="8"/>
        <v>0.11869999999999997</v>
      </c>
      <c r="AD53" s="408">
        <f t="shared" si="1"/>
        <v>0</v>
      </c>
      <c r="AE53" s="408">
        <f t="shared" si="2"/>
        <v>0.22356000000000001</v>
      </c>
      <c r="AF53" s="408">
        <f t="shared" si="9"/>
        <v>-3.3389999999999996E-2</v>
      </c>
      <c r="AG53" s="409">
        <f t="shared" si="10"/>
        <v>0.30887000000000003</v>
      </c>
      <c r="AH53" s="229">
        <f t="shared" si="11"/>
        <v>0</v>
      </c>
      <c r="AI53" s="92">
        <f t="shared" si="12"/>
        <v>0.34225999999999995</v>
      </c>
      <c r="AK53" s="230">
        <f t="shared" si="16"/>
        <v>0.11869999999999994</v>
      </c>
      <c r="AM53" s="8"/>
      <c r="AO53" s="556"/>
    </row>
    <row r="54" spans="1:41" x14ac:dyDescent="0.25">
      <c r="A54" s="43">
        <f t="shared" si="0"/>
        <v>48</v>
      </c>
      <c r="B54" s="69"/>
      <c r="C54" s="18" t="s">
        <v>7</v>
      </c>
      <c r="D54" s="649">
        <v>0.36380999999999991</v>
      </c>
      <c r="E54" s="402">
        <f t="shared" si="17"/>
        <v>0.27038000000000001</v>
      </c>
      <c r="F54" s="650"/>
      <c r="G54" s="420"/>
      <c r="H54" s="20">
        <f t="shared" si="4"/>
        <v>9.3429999999999902E-2</v>
      </c>
      <c r="I54" s="233">
        <f t="shared" si="21"/>
        <v>0.22356000000000001</v>
      </c>
      <c r="J54" s="233"/>
      <c r="K54" s="20"/>
      <c r="L54" s="20">
        <f t="shared" si="6"/>
        <v>0.31698999999999988</v>
      </c>
      <c r="M54" s="20">
        <f>+Temporaries!D54</f>
        <v>-1.2819999999999998E-2</v>
      </c>
      <c r="N54" s="20">
        <f>+Temporaries!AD54</f>
        <v>-3.363E-2</v>
      </c>
      <c r="O54" s="20"/>
      <c r="P54" s="20"/>
      <c r="Q54" s="20"/>
      <c r="R54" s="20"/>
      <c r="S54" s="20"/>
      <c r="T54" s="20"/>
      <c r="U54" s="564">
        <f>'Allocation = % of margin'!AB54</f>
        <v>0</v>
      </c>
      <c r="V54" s="20">
        <f t="shared" si="7"/>
        <v>0.29617999999999989</v>
      </c>
      <c r="W54" s="402"/>
      <c r="X54" s="402"/>
      <c r="AA54" s="69"/>
      <c r="AB54" s="232" t="s">
        <v>7</v>
      </c>
      <c r="AC54" s="407">
        <f t="shared" si="8"/>
        <v>0.10624999999999987</v>
      </c>
      <c r="AD54" s="408">
        <f t="shared" si="1"/>
        <v>0</v>
      </c>
      <c r="AE54" s="408">
        <f t="shared" si="2"/>
        <v>0.22356000000000001</v>
      </c>
      <c r="AF54" s="408">
        <f t="shared" si="9"/>
        <v>-3.363E-2</v>
      </c>
      <c r="AG54" s="409">
        <f t="shared" si="10"/>
        <v>0.29617999999999989</v>
      </c>
      <c r="AH54" s="229">
        <f t="shared" si="11"/>
        <v>0</v>
      </c>
      <c r="AI54" s="92">
        <f t="shared" si="12"/>
        <v>0.32980999999999988</v>
      </c>
      <c r="AK54" s="230">
        <f t="shared" si="16"/>
        <v>0.10624999999999987</v>
      </c>
      <c r="AM54" s="8"/>
      <c r="AO54" s="556"/>
    </row>
    <row r="55" spans="1:41" x14ac:dyDescent="0.25">
      <c r="A55" s="43">
        <f t="shared" si="0"/>
        <v>49</v>
      </c>
      <c r="B55" s="69"/>
      <c r="C55" s="18" t="s">
        <v>8</v>
      </c>
      <c r="D55" s="649">
        <v>0.33817000000000014</v>
      </c>
      <c r="E55" s="402">
        <f t="shared" si="17"/>
        <v>0.27038000000000001</v>
      </c>
      <c r="F55" s="650"/>
      <c r="G55" s="420"/>
      <c r="H55" s="20">
        <f t="shared" si="4"/>
        <v>6.7790000000000128E-2</v>
      </c>
      <c r="I55" s="233">
        <f t="shared" si="21"/>
        <v>0.22356000000000001</v>
      </c>
      <c r="J55" s="233"/>
      <c r="K55" s="20"/>
      <c r="L55" s="20">
        <f t="shared" si="6"/>
        <v>0.29135000000000011</v>
      </c>
      <c r="M55" s="20">
        <f>+Temporaries!D55</f>
        <v>-1.3689999999999999E-2</v>
      </c>
      <c r="N55" s="20">
        <f>+Temporaries!AD55</f>
        <v>-3.4099999999999998E-2</v>
      </c>
      <c r="O55" s="20"/>
      <c r="P55" s="20"/>
      <c r="Q55" s="20"/>
      <c r="R55" s="20"/>
      <c r="S55" s="20"/>
      <c r="T55" s="20"/>
      <c r="U55" s="564">
        <f>'Allocation = % of margin'!AB55</f>
        <v>0</v>
      </c>
      <c r="V55" s="20">
        <f t="shared" si="7"/>
        <v>0.27094000000000007</v>
      </c>
      <c r="W55" s="402"/>
      <c r="X55" s="402"/>
      <c r="AA55" s="69"/>
      <c r="AB55" s="232" t="s">
        <v>8</v>
      </c>
      <c r="AC55" s="407">
        <f t="shared" si="8"/>
        <v>8.1480000000000052E-2</v>
      </c>
      <c r="AD55" s="408">
        <f t="shared" si="1"/>
        <v>0</v>
      </c>
      <c r="AE55" s="408">
        <f t="shared" si="2"/>
        <v>0.22356000000000001</v>
      </c>
      <c r="AF55" s="408">
        <f t="shared" si="9"/>
        <v>-3.4099999999999998E-2</v>
      </c>
      <c r="AG55" s="409">
        <f t="shared" si="10"/>
        <v>0.27094000000000007</v>
      </c>
      <c r="AH55" s="229">
        <f t="shared" si="11"/>
        <v>0</v>
      </c>
      <c r="AI55" s="92">
        <f t="shared" si="12"/>
        <v>0.30504000000000009</v>
      </c>
      <c r="AK55" s="230">
        <f t="shared" si="16"/>
        <v>8.148000000000008E-2</v>
      </c>
      <c r="AM55" s="8"/>
      <c r="AO55" s="556"/>
    </row>
    <row r="56" spans="1:41" x14ac:dyDescent="0.25">
      <c r="A56" s="43">
        <f t="shared" si="0"/>
        <v>50</v>
      </c>
      <c r="B56" s="69"/>
      <c r="C56" s="18" t="s">
        <v>9</v>
      </c>
      <c r="D56" s="649">
        <v>0.32129999999999981</v>
      </c>
      <c r="E56" s="402">
        <f t="shared" si="17"/>
        <v>0.27038000000000001</v>
      </c>
      <c r="F56" s="650"/>
      <c r="G56" s="420"/>
      <c r="H56" s="20">
        <f t="shared" si="4"/>
        <v>5.0919999999999799E-2</v>
      </c>
      <c r="I56" s="233">
        <f t="shared" si="21"/>
        <v>0.22356000000000001</v>
      </c>
      <c r="J56" s="233"/>
      <c r="K56" s="20"/>
      <c r="L56" s="20">
        <f t="shared" si="6"/>
        <v>0.27447999999999984</v>
      </c>
      <c r="M56" s="20">
        <f>+Temporaries!D56</f>
        <v>-1.4259999999999998E-2</v>
      </c>
      <c r="N56" s="20">
        <f>+Temporaries!AD56</f>
        <v>-3.4409999999999996E-2</v>
      </c>
      <c r="O56" s="20"/>
      <c r="P56" s="20"/>
      <c r="Q56" s="20"/>
      <c r="R56" s="20"/>
      <c r="S56" s="20"/>
      <c r="T56" s="20"/>
      <c r="U56" s="564">
        <f>'Allocation = % of margin'!AB56</f>
        <v>0</v>
      </c>
      <c r="V56" s="20">
        <f t="shared" si="7"/>
        <v>0.25432999999999983</v>
      </c>
      <c r="W56" s="402"/>
      <c r="X56" s="402"/>
      <c r="AA56" s="69"/>
      <c r="AB56" s="232" t="s">
        <v>9</v>
      </c>
      <c r="AC56" s="407">
        <f t="shared" si="8"/>
        <v>6.5179999999999821E-2</v>
      </c>
      <c r="AD56" s="408">
        <f t="shared" si="1"/>
        <v>0</v>
      </c>
      <c r="AE56" s="408">
        <f t="shared" si="2"/>
        <v>0.22356000000000001</v>
      </c>
      <c r="AF56" s="408">
        <f t="shared" si="9"/>
        <v>-3.4409999999999996E-2</v>
      </c>
      <c r="AG56" s="409">
        <f t="shared" si="10"/>
        <v>0.25432999999999983</v>
      </c>
      <c r="AH56" s="229">
        <f t="shared" si="11"/>
        <v>0</v>
      </c>
      <c r="AI56" s="92">
        <f t="shared" si="12"/>
        <v>0.28873999999999983</v>
      </c>
      <c r="AK56" s="230">
        <f t="shared" si="16"/>
        <v>6.5179999999999821E-2</v>
      </c>
      <c r="AM56" s="8"/>
      <c r="AO56" s="556"/>
    </row>
    <row r="57" spans="1:41" x14ac:dyDescent="0.25">
      <c r="A57" s="43">
        <f t="shared" si="0"/>
        <v>51</v>
      </c>
      <c r="B57" s="69"/>
      <c r="C57" s="18" t="s">
        <v>10</v>
      </c>
      <c r="D57" s="649">
        <v>0.29879</v>
      </c>
      <c r="E57" s="402">
        <f t="shared" si="17"/>
        <v>0.27038000000000001</v>
      </c>
      <c r="F57" s="650"/>
      <c r="G57" s="420"/>
      <c r="H57" s="20">
        <f t="shared" si="4"/>
        <v>2.8409999999999991E-2</v>
      </c>
      <c r="I57" s="233">
        <f t="shared" si="21"/>
        <v>0.22356000000000001</v>
      </c>
      <c r="J57" s="233"/>
      <c r="K57" s="20"/>
      <c r="L57" s="20">
        <f t="shared" si="6"/>
        <v>0.25197000000000003</v>
      </c>
      <c r="M57" s="20">
        <f>+Temporaries!D57</f>
        <v>-1.5039999999999998E-2</v>
      </c>
      <c r="N57" s="20">
        <f>+Temporaries!AD57</f>
        <v>-3.483E-2</v>
      </c>
      <c r="O57" s="20"/>
      <c r="P57" s="20"/>
      <c r="Q57" s="20"/>
      <c r="R57" s="20"/>
      <c r="S57" s="20"/>
      <c r="T57" s="20"/>
      <c r="U57" s="564">
        <f>'Allocation = % of margin'!AB57</f>
        <v>0</v>
      </c>
      <c r="V57" s="20">
        <f t="shared" si="7"/>
        <v>0.23218000000000003</v>
      </c>
      <c r="W57" s="402"/>
      <c r="X57" s="402"/>
      <c r="AA57" s="69"/>
      <c r="AB57" s="232" t="s">
        <v>10</v>
      </c>
      <c r="AC57" s="407">
        <f t="shared" si="8"/>
        <v>4.3450000000000016E-2</v>
      </c>
      <c r="AD57" s="408">
        <f t="shared" si="1"/>
        <v>0</v>
      </c>
      <c r="AE57" s="408">
        <f t="shared" si="2"/>
        <v>0.22356000000000001</v>
      </c>
      <c r="AF57" s="408">
        <f t="shared" si="9"/>
        <v>-3.483E-2</v>
      </c>
      <c r="AG57" s="409">
        <f t="shared" si="10"/>
        <v>0.23218000000000003</v>
      </c>
      <c r="AH57" s="229">
        <f t="shared" si="11"/>
        <v>0</v>
      </c>
      <c r="AI57" s="92">
        <f t="shared" si="12"/>
        <v>0.26701000000000003</v>
      </c>
      <c r="AK57" s="230">
        <f t="shared" si="16"/>
        <v>4.3450000000000016E-2</v>
      </c>
      <c r="AM57" s="8"/>
      <c r="AO57" s="556"/>
    </row>
    <row r="58" spans="1:41" x14ac:dyDescent="0.25">
      <c r="A58" s="43">
        <f>+A57+1</f>
        <v>52</v>
      </c>
      <c r="B58" s="74"/>
      <c r="C58" s="22" t="s">
        <v>11</v>
      </c>
      <c r="D58" s="647">
        <v>0.27068999999999993</v>
      </c>
      <c r="E58" s="380">
        <f t="shared" si="17"/>
        <v>0.27038000000000001</v>
      </c>
      <c r="F58" s="648"/>
      <c r="G58" s="419"/>
      <c r="H58" s="14">
        <f t="shared" si="4"/>
        <v>3.0999999999992145E-4</v>
      </c>
      <c r="I58" s="228">
        <f t="shared" si="21"/>
        <v>0.22356000000000001</v>
      </c>
      <c r="J58" s="228"/>
      <c r="K58" s="14"/>
      <c r="L58" s="14">
        <f t="shared" si="6"/>
        <v>0.22386999999999993</v>
      </c>
      <c r="M58" s="14">
        <f>+Temporaries!D58</f>
        <v>-1.5989999999999997E-2</v>
      </c>
      <c r="N58" s="14">
        <f>+Temporaries!AD58</f>
        <v>-3.5339999999999996E-2</v>
      </c>
      <c r="O58" s="14"/>
      <c r="P58" s="14"/>
      <c r="Q58" s="14"/>
      <c r="R58" s="14"/>
      <c r="S58" s="14"/>
      <c r="T58" s="14"/>
      <c r="U58" s="575">
        <f>'Allocation = % of margin'!AB58</f>
        <v>0</v>
      </c>
      <c r="V58" s="14">
        <f t="shared" si="7"/>
        <v>0.20451999999999992</v>
      </c>
      <c r="W58" s="402"/>
      <c r="X58" s="402"/>
      <c r="AA58" s="74"/>
      <c r="AB58" s="234" t="s">
        <v>11</v>
      </c>
      <c r="AC58" s="407">
        <f t="shared" si="8"/>
        <v>1.6299999999999912E-2</v>
      </c>
      <c r="AD58" s="408">
        <f t="shared" si="1"/>
        <v>0</v>
      </c>
      <c r="AE58" s="408">
        <f t="shared" si="2"/>
        <v>0.22356000000000001</v>
      </c>
      <c r="AF58" s="408">
        <f t="shared" si="9"/>
        <v>-3.5339999999999996E-2</v>
      </c>
      <c r="AG58" s="409">
        <f t="shared" si="10"/>
        <v>0.20451999999999992</v>
      </c>
      <c r="AH58" s="229">
        <f t="shared" si="11"/>
        <v>0</v>
      </c>
      <c r="AI58" s="92">
        <f t="shared" si="12"/>
        <v>0.23985999999999991</v>
      </c>
      <c r="AK58" s="230">
        <f t="shared" si="16"/>
        <v>1.6299999999999898E-2</v>
      </c>
      <c r="AM58" s="8"/>
      <c r="AO58" s="556"/>
    </row>
    <row r="59" spans="1:41" x14ac:dyDescent="0.25">
      <c r="A59" s="43">
        <f t="shared" ref="A59:A64" si="22">+A58+1</f>
        <v>53</v>
      </c>
      <c r="B59" s="69" t="s">
        <v>166</v>
      </c>
      <c r="C59" s="18" t="s">
        <v>6</v>
      </c>
      <c r="D59" s="651">
        <v>0.11817999999999999</v>
      </c>
      <c r="E59" s="77">
        <v>0</v>
      </c>
      <c r="F59" s="422"/>
      <c r="G59" s="421"/>
      <c r="H59" s="75">
        <f t="shared" si="4"/>
        <v>0.11817999999999999</v>
      </c>
      <c r="I59" s="235">
        <v>0</v>
      </c>
      <c r="J59" s="235"/>
      <c r="K59" s="75"/>
      <c r="L59" s="75">
        <f t="shared" si="6"/>
        <v>0.11817999999999999</v>
      </c>
      <c r="M59" s="75">
        <f>+Temporaries!D59</f>
        <v>0</v>
      </c>
      <c r="N59" s="75">
        <f>+Temporaries!AD59</f>
        <v>-2.1000000000000001E-4</v>
      </c>
      <c r="O59" s="75"/>
      <c r="P59" s="75"/>
      <c r="Q59" s="75"/>
      <c r="R59" s="75"/>
      <c r="S59" s="75"/>
      <c r="T59" s="75"/>
      <c r="U59" s="632">
        <f>'Allocation = % of margin'!AB59</f>
        <v>0</v>
      </c>
      <c r="V59" s="75">
        <f t="shared" si="7"/>
        <v>0.11796999999999999</v>
      </c>
      <c r="W59" s="402"/>
      <c r="X59" s="77"/>
      <c r="AA59" s="69" t="s">
        <v>166</v>
      </c>
      <c r="AB59" s="232" t="s">
        <v>6</v>
      </c>
      <c r="AC59" s="407">
        <f t="shared" si="8"/>
        <v>0.11817999999999999</v>
      </c>
      <c r="AD59" s="408">
        <f t="shared" si="1"/>
        <v>0</v>
      </c>
      <c r="AE59" s="408">
        <f t="shared" si="2"/>
        <v>0</v>
      </c>
      <c r="AF59" s="408">
        <f t="shared" si="9"/>
        <v>-2.1000000000000001E-4</v>
      </c>
      <c r="AG59" s="409">
        <f t="shared" si="10"/>
        <v>0.11796999999999999</v>
      </c>
      <c r="AH59" s="229">
        <f t="shared" si="11"/>
        <v>0</v>
      </c>
      <c r="AI59" s="92">
        <f t="shared" si="12"/>
        <v>0.11817999999999999</v>
      </c>
      <c r="AK59" s="230">
        <f t="shared" si="16"/>
        <v>0.11817999999999999</v>
      </c>
      <c r="AM59" s="8"/>
      <c r="AO59" s="556"/>
    </row>
    <row r="60" spans="1:41" s="103" customFormat="1" x14ac:dyDescent="0.25">
      <c r="A60" s="43">
        <f t="shared" si="22"/>
        <v>54</v>
      </c>
      <c r="B60" s="69"/>
      <c r="C60" s="18" t="s">
        <v>7</v>
      </c>
      <c r="D60" s="651">
        <v>0.10579</v>
      </c>
      <c r="E60" s="77">
        <v>0</v>
      </c>
      <c r="F60" s="422"/>
      <c r="G60" s="422"/>
      <c r="H60" s="77">
        <f t="shared" si="4"/>
        <v>0.10579</v>
      </c>
      <c r="I60" s="236">
        <v>0</v>
      </c>
      <c r="J60" s="236"/>
      <c r="K60" s="77"/>
      <c r="L60" s="77">
        <f t="shared" si="6"/>
        <v>0.10579</v>
      </c>
      <c r="M60" s="77">
        <f>+Temporaries!D60</f>
        <v>0</v>
      </c>
      <c r="N60" s="77">
        <f>+Temporaries!AD60</f>
        <v>-1.9000000000000001E-4</v>
      </c>
      <c r="O60" s="77"/>
      <c r="P60" s="77"/>
      <c r="Q60" s="77"/>
      <c r="R60" s="77"/>
      <c r="S60" s="77"/>
      <c r="T60" s="77"/>
      <c r="U60" s="632">
        <f>'Allocation = % of margin'!AB60</f>
        <v>0</v>
      </c>
      <c r="V60" s="77">
        <f t="shared" si="7"/>
        <v>0.1056</v>
      </c>
      <c r="W60" s="402"/>
      <c r="X60" s="77"/>
      <c r="AA60" s="69"/>
      <c r="AB60" s="232" t="s">
        <v>7</v>
      </c>
      <c r="AC60" s="407">
        <f t="shared" si="8"/>
        <v>0.10579</v>
      </c>
      <c r="AD60" s="408">
        <f t="shared" si="1"/>
        <v>0</v>
      </c>
      <c r="AE60" s="408">
        <f t="shared" si="2"/>
        <v>0</v>
      </c>
      <c r="AF60" s="408">
        <f t="shared" si="9"/>
        <v>-1.9000000000000001E-4</v>
      </c>
      <c r="AG60" s="409">
        <f t="shared" si="10"/>
        <v>0.1056</v>
      </c>
      <c r="AH60" s="229">
        <f t="shared" si="11"/>
        <v>0</v>
      </c>
      <c r="AI60" s="92">
        <f t="shared" si="12"/>
        <v>0.10579</v>
      </c>
      <c r="AJ60" s="3"/>
      <c r="AK60" s="230">
        <f t="shared" si="16"/>
        <v>0.10579</v>
      </c>
      <c r="AM60" s="8"/>
      <c r="AO60" s="556"/>
    </row>
    <row r="61" spans="1:41" s="103" customFormat="1" x14ac:dyDescent="0.25">
      <c r="A61" s="43">
        <f t="shared" si="22"/>
        <v>55</v>
      </c>
      <c r="B61" s="69"/>
      <c r="C61" s="18" t="s">
        <v>8</v>
      </c>
      <c r="D61" s="651">
        <v>8.1119999999999998E-2</v>
      </c>
      <c r="E61" s="77">
        <v>0</v>
      </c>
      <c r="F61" s="422"/>
      <c r="G61" s="422"/>
      <c r="H61" s="77">
        <f t="shared" si="4"/>
        <v>8.1119999999999998E-2</v>
      </c>
      <c r="I61" s="236">
        <v>0</v>
      </c>
      <c r="J61" s="236"/>
      <c r="K61" s="77"/>
      <c r="L61" s="77">
        <f t="shared" si="6"/>
        <v>8.1119999999999998E-2</v>
      </c>
      <c r="M61" s="77">
        <f>+Temporaries!D61</f>
        <v>0</v>
      </c>
      <c r="N61" s="77">
        <f>+Temporaries!AD61</f>
        <v>-1.3999999999999999E-4</v>
      </c>
      <c r="O61" s="77"/>
      <c r="P61" s="77"/>
      <c r="Q61" s="77"/>
      <c r="R61" s="77"/>
      <c r="S61" s="77"/>
      <c r="T61" s="77"/>
      <c r="U61" s="632">
        <f>'Allocation = % of margin'!AB61</f>
        <v>0</v>
      </c>
      <c r="V61" s="77">
        <f t="shared" si="7"/>
        <v>8.0979999999999996E-2</v>
      </c>
      <c r="W61" s="402"/>
      <c r="X61" s="77"/>
      <c r="AA61" s="69"/>
      <c r="AB61" s="232" t="s">
        <v>8</v>
      </c>
      <c r="AC61" s="407">
        <f t="shared" si="8"/>
        <v>8.1119999999999998E-2</v>
      </c>
      <c r="AD61" s="408">
        <f t="shared" ref="AD61:AD67" si="23">+J61</f>
        <v>0</v>
      </c>
      <c r="AE61" s="408">
        <f t="shared" ref="AE61:AE67" si="24">+I61</f>
        <v>0</v>
      </c>
      <c r="AF61" s="408">
        <f t="shared" si="9"/>
        <v>-1.3999999999999999E-4</v>
      </c>
      <c r="AG61" s="409">
        <f t="shared" si="10"/>
        <v>8.0979999999999996E-2</v>
      </c>
      <c r="AH61" s="229">
        <f t="shared" si="11"/>
        <v>0</v>
      </c>
      <c r="AI61" s="92">
        <f t="shared" si="12"/>
        <v>8.1119999999999998E-2</v>
      </c>
      <c r="AJ61" s="3"/>
      <c r="AK61" s="230">
        <f t="shared" si="16"/>
        <v>8.1119999999999998E-2</v>
      </c>
      <c r="AM61" s="8"/>
      <c r="AO61" s="556"/>
    </row>
    <row r="62" spans="1:41" s="103" customFormat="1" x14ac:dyDescent="0.25">
      <c r="A62" s="43">
        <f t="shared" si="22"/>
        <v>56</v>
      </c>
      <c r="B62" s="69"/>
      <c r="C62" s="18" t="s">
        <v>9</v>
      </c>
      <c r="D62" s="651">
        <v>6.4899999999999999E-2</v>
      </c>
      <c r="E62" s="77">
        <v>0</v>
      </c>
      <c r="F62" s="422"/>
      <c r="G62" s="422"/>
      <c r="H62" s="77">
        <f t="shared" si="4"/>
        <v>6.4899999999999999E-2</v>
      </c>
      <c r="I62" s="236">
        <v>0</v>
      </c>
      <c r="J62" s="236"/>
      <c r="K62" s="77"/>
      <c r="L62" s="77">
        <f t="shared" si="6"/>
        <v>6.4899999999999999E-2</v>
      </c>
      <c r="M62" s="77">
        <f>+Temporaries!D62</f>
        <v>0</v>
      </c>
      <c r="N62" s="77">
        <f>+Temporaries!AD62</f>
        <v>-1.1E-4</v>
      </c>
      <c r="O62" s="77"/>
      <c r="P62" s="77"/>
      <c r="Q62" s="77"/>
      <c r="R62" s="77"/>
      <c r="S62" s="77"/>
      <c r="T62" s="77"/>
      <c r="U62" s="632">
        <f>'Allocation = % of margin'!AB62</f>
        <v>0</v>
      </c>
      <c r="V62" s="77">
        <f t="shared" si="7"/>
        <v>6.479E-2</v>
      </c>
      <c r="W62" s="402"/>
      <c r="X62" s="77"/>
      <c r="AA62" s="69"/>
      <c r="AB62" s="232" t="s">
        <v>9</v>
      </c>
      <c r="AC62" s="407">
        <f t="shared" si="8"/>
        <v>6.4899999999999999E-2</v>
      </c>
      <c r="AD62" s="408">
        <f t="shared" si="23"/>
        <v>0</v>
      </c>
      <c r="AE62" s="408">
        <f t="shared" si="24"/>
        <v>0</v>
      </c>
      <c r="AF62" s="408">
        <f t="shared" si="9"/>
        <v>-1.1E-4</v>
      </c>
      <c r="AG62" s="409">
        <f t="shared" si="10"/>
        <v>6.479E-2</v>
      </c>
      <c r="AH62" s="229">
        <f t="shared" si="11"/>
        <v>0</v>
      </c>
      <c r="AI62" s="92">
        <f t="shared" si="12"/>
        <v>6.4899999999999999E-2</v>
      </c>
      <c r="AJ62" s="3"/>
      <c r="AK62" s="230">
        <f t="shared" si="16"/>
        <v>6.4899999999999999E-2</v>
      </c>
      <c r="AM62" s="8"/>
      <c r="AO62" s="556"/>
    </row>
    <row r="63" spans="1:41" s="103" customFormat="1" x14ac:dyDescent="0.25">
      <c r="A63" s="43">
        <f t="shared" si="22"/>
        <v>57</v>
      </c>
      <c r="B63" s="69"/>
      <c r="C63" s="18" t="s">
        <v>10</v>
      </c>
      <c r="D63" s="651">
        <v>4.3270000000000003E-2</v>
      </c>
      <c r="E63" s="77">
        <v>0</v>
      </c>
      <c r="F63" s="422"/>
      <c r="G63" s="422"/>
      <c r="H63" s="77">
        <f t="shared" si="4"/>
        <v>4.3270000000000003E-2</v>
      </c>
      <c r="I63" s="236">
        <v>0</v>
      </c>
      <c r="J63" s="236"/>
      <c r="K63" s="77"/>
      <c r="L63" s="77">
        <f t="shared" si="6"/>
        <v>4.3270000000000003E-2</v>
      </c>
      <c r="M63" s="77">
        <f>+Temporaries!D63</f>
        <v>0</v>
      </c>
      <c r="N63" s="77">
        <f>+Temporaries!AD63</f>
        <v>-8.0000000000000007E-5</v>
      </c>
      <c r="O63" s="77"/>
      <c r="P63" s="77"/>
      <c r="Q63" s="77"/>
      <c r="R63" s="77"/>
      <c r="S63" s="77"/>
      <c r="T63" s="77"/>
      <c r="U63" s="632">
        <f>'Allocation = % of margin'!AB63</f>
        <v>0</v>
      </c>
      <c r="V63" s="77">
        <f t="shared" si="7"/>
        <v>4.3190000000000006E-2</v>
      </c>
      <c r="W63" s="402"/>
      <c r="X63" s="77"/>
      <c r="AA63" s="69"/>
      <c r="AB63" s="232" t="s">
        <v>10</v>
      </c>
      <c r="AC63" s="407">
        <f t="shared" si="8"/>
        <v>4.3270000000000003E-2</v>
      </c>
      <c r="AD63" s="408">
        <f t="shared" si="23"/>
        <v>0</v>
      </c>
      <c r="AE63" s="408">
        <f t="shared" si="24"/>
        <v>0</v>
      </c>
      <c r="AF63" s="408">
        <f t="shared" si="9"/>
        <v>-8.0000000000000007E-5</v>
      </c>
      <c r="AG63" s="409">
        <f t="shared" si="10"/>
        <v>4.3190000000000006E-2</v>
      </c>
      <c r="AH63" s="229">
        <f t="shared" si="11"/>
        <v>0</v>
      </c>
      <c r="AI63" s="92">
        <f t="shared" si="12"/>
        <v>4.3270000000000003E-2</v>
      </c>
      <c r="AJ63" s="3"/>
      <c r="AK63" s="230">
        <f t="shared" si="16"/>
        <v>4.3270000000000003E-2</v>
      </c>
      <c r="AM63" s="8"/>
      <c r="AO63" s="556"/>
    </row>
    <row r="64" spans="1:41" s="103" customFormat="1" x14ac:dyDescent="0.25">
      <c r="A64" s="43">
        <f t="shared" si="22"/>
        <v>58</v>
      </c>
      <c r="B64" s="74"/>
      <c r="C64" s="22" t="s">
        <v>11</v>
      </c>
      <c r="D64" s="98">
        <v>1.6219999999999998E-2</v>
      </c>
      <c r="E64" s="24">
        <v>0</v>
      </c>
      <c r="F64" s="423"/>
      <c r="G64" s="423"/>
      <c r="H64" s="24">
        <f t="shared" si="4"/>
        <v>1.6219999999999998E-2</v>
      </c>
      <c r="I64" s="237">
        <v>0</v>
      </c>
      <c r="J64" s="237"/>
      <c r="K64" s="24"/>
      <c r="L64" s="24">
        <f t="shared" si="6"/>
        <v>1.6219999999999998E-2</v>
      </c>
      <c r="M64" s="24">
        <f>+Temporaries!D64</f>
        <v>0</v>
      </c>
      <c r="N64" s="24">
        <f>+Temporaries!AD64</f>
        <v>-3.0000000000000001E-5</v>
      </c>
      <c r="O64" s="24"/>
      <c r="P64" s="24"/>
      <c r="Q64" s="24"/>
      <c r="R64" s="24"/>
      <c r="S64" s="24"/>
      <c r="T64" s="24"/>
      <c r="U64" s="577">
        <f>'Allocation = % of margin'!AB64</f>
        <v>0</v>
      </c>
      <c r="V64" s="24">
        <f t="shared" si="7"/>
        <v>1.619E-2</v>
      </c>
      <c r="W64" s="402"/>
      <c r="X64" s="77"/>
      <c r="AA64" s="74"/>
      <c r="AB64" s="234" t="s">
        <v>11</v>
      </c>
      <c r="AC64" s="407">
        <f t="shared" si="8"/>
        <v>1.6219999999999998E-2</v>
      </c>
      <c r="AD64" s="408">
        <f t="shared" si="23"/>
        <v>0</v>
      </c>
      <c r="AE64" s="408">
        <f t="shared" si="24"/>
        <v>0</v>
      </c>
      <c r="AF64" s="408">
        <f t="shared" si="9"/>
        <v>-3.0000000000000001E-5</v>
      </c>
      <c r="AG64" s="409">
        <f t="shared" si="10"/>
        <v>1.619E-2</v>
      </c>
      <c r="AH64" s="229">
        <f t="shared" si="11"/>
        <v>0</v>
      </c>
      <c r="AI64" s="92">
        <f t="shared" si="12"/>
        <v>1.6219999999999998E-2</v>
      </c>
      <c r="AJ64" s="3"/>
      <c r="AK64" s="230">
        <f t="shared" si="16"/>
        <v>1.6219999999999998E-2</v>
      </c>
      <c r="AM64" s="8"/>
      <c r="AO64" s="556"/>
    </row>
    <row r="65" spans="1:41" s="103" customFormat="1" x14ac:dyDescent="0.25">
      <c r="A65" s="43">
        <f>+A64+1</f>
        <v>59</v>
      </c>
      <c r="B65" s="74" t="s">
        <v>167</v>
      </c>
      <c r="C65" s="21"/>
      <c r="D65" s="652">
        <v>4.9899999999999996E-3</v>
      </c>
      <c r="E65" s="23">
        <v>0</v>
      </c>
      <c r="F65" s="424"/>
      <c r="G65" s="424"/>
      <c r="H65" s="23">
        <f t="shared" si="4"/>
        <v>4.9899999999999996E-3</v>
      </c>
      <c r="I65" s="238">
        <v>0</v>
      </c>
      <c r="J65" s="238">
        <v>0</v>
      </c>
      <c r="K65" s="23">
        <v>0</v>
      </c>
      <c r="L65" s="23">
        <f t="shared" si="6"/>
        <v>4.9899999999999996E-3</v>
      </c>
      <c r="M65" s="23">
        <f>+Temporaries!D65</f>
        <v>0</v>
      </c>
      <c r="N65" s="23">
        <f>+Temporaries!AD65</f>
        <v>-1.0000000000000001E-5</v>
      </c>
      <c r="O65" s="23"/>
      <c r="P65" s="23"/>
      <c r="Q65" s="23"/>
      <c r="R65" s="23"/>
      <c r="S65" s="23"/>
      <c r="T65" s="23"/>
      <c r="U65" s="576">
        <f>'Allocation = % of margin'!AB65</f>
        <v>0</v>
      </c>
      <c r="V65" s="23">
        <f t="shared" si="7"/>
        <v>4.9800000000000001E-3</v>
      </c>
      <c r="W65" s="402"/>
      <c r="X65" s="77"/>
      <c r="AA65" s="74" t="s">
        <v>167</v>
      </c>
      <c r="AB65" s="74"/>
      <c r="AC65" s="407">
        <f t="shared" si="8"/>
        <v>4.9899999999999996E-3</v>
      </c>
      <c r="AD65" s="408">
        <f t="shared" si="23"/>
        <v>0</v>
      </c>
      <c r="AE65" s="408">
        <f t="shared" si="24"/>
        <v>0</v>
      </c>
      <c r="AF65" s="408">
        <f t="shared" si="9"/>
        <v>-1.0000000000000001E-5</v>
      </c>
      <c r="AG65" s="409">
        <f t="shared" si="10"/>
        <v>4.9800000000000001E-3</v>
      </c>
      <c r="AH65" s="229">
        <f t="shared" si="11"/>
        <v>0</v>
      </c>
      <c r="AI65" s="92">
        <f t="shared" si="12"/>
        <v>4.9899999999999996E-3</v>
      </c>
      <c r="AJ65" s="3"/>
      <c r="AK65" s="230">
        <f t="shared" si="16"/>
        <v>4.9899999999999996E-3</v>
      </c>
      <c r="AM65" s="8"/>
      <c r="AO65" s="556"/>
    </row>
    <row r="66" spans="1:41" s="103" customFormat="1" x14ac:dyDescent="0.25">
      <c r="A66" s="43">
        <f t="shared" ref="A66:A75" si="25">+A65+1</f>
        <v>60</v>
      </c>
      <c r="B66" s="16" t="s">
        <v>168</v>
      </c>
      <c r="C66" s="13"/>
      <c r="D66" s="98">
        <v>4.9899999999999996E-3</v>
      </c>
      <c r="E66" s="24">
        <v>0</v>
      </c>
      <c r="F66" s="423"/>
      <c r="G66" s="423"/>
      <c r="H66" s="24">
        <f t="shared" si="4"/>
        <v>4.9899999999999996E-3</v>
      </c>
      <c r="I66" s="237">
        <v>0</v>
      </c>
      <c r="J66" s="237">
        <v>0</v>
      </c>
      <c r="K66" s="24">
        <v>0</v>
      </c>
      <c r="L66" s="24">
        <f t="shared" si="6"/>
        <v>4.9899999999999996E-3</v>
      </c>
      <c r="M66" s="24">
        <f>+Temporaries!D66</f>
        <v>0</v>
      </c>
      <c r="N66" s="24">
        <f>+Temporaries!AD66</f>
        <v>-1.0000000000000001E-5</v>
      </c>
      <c r="O66" s="24"/>
      <c r="P66" s="24"/>
      <c r="Q66" s="24"/>
      <c r="R66" s="24"/>
      <c r="S66" s="24"/>
      <c r="T66" s="24"/>
      <c r="U66" s="577">
        <f>'Allocation = % of margin'!AB66</f>
        <v>0</v>
      </c>
      <c r="V66" s="24">
        <f t="shared" si="7"/>
        <v>4.9800000000000001E-3</v>
      </c>
      <c r="W66" s="402"/>
      <c r="X66" s="77"/>
      <c r="AA66" s="16" t="s">
        <v>168</v>
      </c>
      <c r="AB66" s="16"/>
      <c r="AC66" s="407">
        <f t="shared" si="8"/>
        <v>4.9899999999999996E-3</v>
      </c>
      <c r="AD66" s="408">
        <f t="shared" si="23"/>
        <v>0</v>
      </c>
      <c r="AE66" s="408">
        <f t="shared" si="24"/>
        <v>0</v>
      </c>
      <c r="AF66" s="408">
        <f t="shared" si="9"/>
        <v>-1.0000000000000001E-5</v>
      </c>
      <c r="AG66" s="409">
        <f t="shared" si="10"/>
        <v>4.9800000000000001E-3</v>
      </c>
      <c r="AH66" s="229">
        <f t="shared" si="11"/>
        <v>0</v>
      </c>
      <c r="AI66" s="92">
        <f t="shared" si="12"/>
        <v>4.9899999999999996E-3</v>
      </c>
      <c r="AJ66" s="3"/>
      <c r="AK66" s="230">
        <f t="shared" si="16"/>
        <v>4.9899999999999996E-3</v>
      </c>
      <c r="AM66" s="8"/>
      <c r="AO66" s="556"/>
    </row>
    <row r="67" spans="1:41" s="103" customFormat="1" ht="13.8" thickBot="1" x14ac:dyDescent="0.3">
      <c r="A67" s="43">
        <f t="shared" si="25"/>
        <v>61</v>
      </c>
      <c r="B67" s="15" t="s">
        <v>217</v>
      </c>
      <c r="C67" s="13"/>
      <c r="D67" s="98"/>
      <c r="E67" s="25"/>
      <c r="F67" s="25"/>
      <c r="G67" s="25"/>
      <c r="H67" s="25"/>
      <c r="I67" s="239"/>
      <c r="J67" s="239"/>
      <c r="K67" s="25"/>
      <c r="L67" s="25"/>
      <c r="M67" s="25"/>
      <c r="N67" s="25"/>
      <c r="O67" s="25"/>
      <c r="P67" s="25"/>
      <c r="Q67" s="25"/>
      <c r="R67" s="25"/>
      <c r="S67" s="25"/>
      <c r="T67" s="25"/>
      <c r="U67" s="577"/>
      <c r="V67" s="25"/>
      <c r="W67" s="77"/>
      <c r="X67" s="77"/>
      <c r="AA67" s="16">
        <v>54</v>
      </c>
      <c r="AB67" s="16"/>
      <c r="AC67" s="407">
        <f t="shared" si="8"/>
        <v>0</v>
      </c>
      <c r="AD67" s="410">
        <f t="shared" si="23"/>
        <v>0</v>
      </c>
      <c r="AE67" s="410">
        <f t="shared" si="24"/>
        <v>0</v>
      </c>
      <c r="AF67" s="408">
        <f t="shared" si="9"/>
        <v>0</v>
      </c>
      <c r="AG67" s="548">
        <f t="shared" si="10"/>
        <v>0</v>
      </c>
      <c r="AH67" s="229">
        <f t="shared" si="11"/>
        <v>0</v>
      </c>
      <c r="AI67" s="92">
        <f t="shared" si="12"/>
        <v>0</v>
      </c>
      <c r="AJ67" s="3"/>
      <c r="AK67" s="230">
        <f t="shared" si="16"/>
        <v>0</v>
      </c>
      <c r="AM67" s="8"/>
      <c r="AO67" s="556"/>
    </row>
    <row r="68" spans="1:41" x14ac:dyDescent="0.25">
      <c r="A68" s="43">
        <f t="shared" si="25"/>
        <v>62</v>
      </c>
      <c r="AD68" s="213"/>
      <c r="AE68" s="213"/>
      <c r="AF68" s="213"/>
      <c r="AG68" s="213"/>
      <c r="AH68" s="229"/>
      <c r="AM68" s="8"/>
      <c r="AO68" s="556"/>
    </row>
    <row r="69" spans="1:41" ht="13.8" thickBot="1" x14ac:dyDescent="0.3">
      <c r="A69" s="43">
        <f t="shared" si="25"/>
        <v>63</v>
      </c>
      <c r="B69" s="26" t="s">
        <v>171</v>
      </c>
      <c r="AD69" s="213"/>
      <c r="AE69" s="213"/>
      <c r="AF69" s="213"/>
      <c r="AG69" s="213"/>
      <c r="AH69" s="229"/>
      <c r="AM69" s="8"/>
      <c r="AO69" s="556"/>
    </row>
    <row r="70" spans="1:41" ht="13.8" thickBot="1" x14ac:dyDescent="0.3">
      <c r="A70" s="43">
        <f t="shared" si="25"/>
        <v>64</v>
      </c>
      <c r="B70" s="104" t="s">
        <v>172</v>
      </c>
      <c r="C70" s="28"/>
      <c r="D70" s="581" t="s">
        <v>623</v>
      </c>
      <c r="E70" s="412" t="str">
        <f>+D70</f>
        <v>2017-18 PGA</v>
      </c>
      <c r="F70" s="412" t="str">
        <f>+E70</f>
        <v>2017-18 PGA</v>
      </c>
      <c r="G70" s="412" t="str">
        <f>+F70</f>
        <v>2017-18 PGA</v>
      </c>
      <c r="H70" s="29"/>
      <c r="I70" s="240" t="s">
        <v>357</v>
      </c>
      <c r="J70" s="240" t="s">
        <v>357</v>
      </c>
      <c r="K70" s="240" t="s">
        <v>357</v>
      </c>
      <c r="L70" s="29"/>
      <c r="M70" s="29"/>
      <c r="N70" s="29"/>
      <c r="O70" s="29"/>
      <c r="P70" s="29"/>
      <c r="Q70" s="29"/>
      <c r="R70" s="29"/>
      <c r="S70" s="29"/>
      <c r="T70" s="29"/>
      <c r="U70" s="639"/>
      <c r="V70" s="29"/>
      <c r="W70" s="103"/>
      <c r="X70" s="103"/>
      <c r="AD70" s="213"/>
      <c r="AE70" s="213"/>
      <c r="AF70" s="213"/>
      <c r="AG70" s="213"/>
      <c r="AH70" s="229"/>
      <c r="AM70" s="8"/>
      <c r="AO70" s="556"/>
    </row>
    <row r="71" spans="1:41" ht="13.8" thickBot="1" x14ac:dyDescent="0.3">
      <c r="A71" s="43">
        <f t="shared" si="25"/>
        <v>65</v>
      </c>
      <c r="B71" s="105"/>
      <c r="W71" s="103"/>
      <c r="X71" s="103"/>
      <c r="AD71" s="213"/>
      <c r="AE71" s="213"/>
      <c r="AF71" s="213"/>
      <c r="AG71" s="213"/>
      <c r="AH71" s="229"/>
      <c r="AM71" s="8"/>
      <c r="AO71" s="556"/>
    </row>
    <row r="72" spans="1:41" ht="13.8" thickBot="1" x14ac:dyDescent="0.3">
      <c r="A72" s="43">
        <f t="shared" si="25"/>
        <v>66</v>
      </c>
      <c r="B72" s="104" t="s">
        <v>24</v>
      </c>
      <c r="C72" s="28"/>
      <c r="D72" s="29"/>
      <c r="E72" s="29"/>
      <c r="F72" s="29"/>
      <c r="G72" s="29"/>
      <c r="H72" s="29"/>
      <c r="I72" s="241"/>
      <c r="J72" s="241"/>
      <c r="K72" s="29"/>
      <c r="L72" s="29"/>
      <c r="M72" s="242" t="s">
        <v>69</v>
      </c>
      <c r="N72" s="242" t="s">
        <v>576</v>
      </c>
      <c r="O72" s="242"/>
      <c r="P72" s="242"/>
      <c r="Q72" s="242"/>
      <c r="R72" s="242"/>
      <c r="S72" s="242"/>
      <c r="T72" s="242"/>
      <c r="U72" s="639"/>
      <c r="V72" s="29"/>
      <c r="W72" s="103"/>
      <c r="X72" s="103"/>
      <c r="AD72" s="213"/>
      <c r="AE72" s="213"/>
      <c r="AF72" s="213"/>
      <c r="AG72" s="213"/>
      <c r="AH72" s="229"/>
      <c r="AM72" s="8"/>
      <c r="AO72" s="556"/>
    </row>
    <row r="73" spans="1:41" ht="13.8" thickBot="1" x14ac:dyDescent="0.3">
      <c r="A73" s="43">
        <f t="shared" si="25"/>
        <v>67</v>
      </c>
      <c r="B73" s="104" t="s">
        <v>175</v>
      </c>
      <c r="C73" s="28"/>
      <c r="D73" s="29"/>
      <c r="E73" s="29"/>
      <c r="F73" s="29"/>
      <c r="G73" s="29"/>
      <c r="H73" s="29"/>
      <c r="I73" s="241"/>
      <c r="J73" s="241"/>
      <c r="K73" s="29"/>
      <c r="L73" s="29"/>
      <c r="M73" s="29"/>
      <c r="N73" s="29"/>
      <c r="O73" s="29"/>
      <c r="P73" s="29"/>
      <c r="Q73" s="29"/>
      <c r="R73" s="29"/>
      <c r="S73" s="29"/>
      <c r="T73" s="29"/>
      <c r="U73" s="634"/>
      <c r="V73" s="29"/>
      <c r="W73" s="103"/>
      <c r="X73" s="103"/>
      <c r="AD73" s="213"/>
      <c r="AE73" s="213"/>
      <c r="AF73" s="213"/>
      <c r="AG73" s="213"/>
      <c r="AH73" s="229"/>
      <c r="AM73" s="8"/>
      <c r="AO73" s="556"/>
    </row>
    <row r="74" spans="1:41" x14ac:dyDescent="0.25">
      <c r="A74" s="43">
        <f>+A71+1</f>
        <v>66</v>
      </c>
      <c r="B74" s="105" t="s">
        <v>239</v>
      </c>
      <c r="AD74" s="213"/>
      <c r="AE74" s="213"/>
      <c r="AF74" s="213"/>
      <c r="AG74" s="213"/>
      <c r="AH74" s="229"/>
      <c r="AM74" s="8"/>
      <c r="AO74" s="556"/>
    </row>
    <row r="75" spans="1:41" x14ac:dyDescent="0.25">
      <c r="A75" s="43">
        <f t="shared" si="25"/>
        <v>67</v>
      </c>
      <c r="B75" s="105"/>
      <c r="AD75" s="213"/>
      <c r="AE75" s="213"/>
      <c r="AF75" s="213"/>
      <c r="AG75" s="213"/>
      <c r="AH75" s="229"/>
      <c r="AM75" s="8"/>
      <c r="AO75" s="556"/>
    </row>
    <row r="76" spans="1:41" x14ac:dyDescent="0.25">
      <c r="B76" s="105"/>
      <c r="AD76" s="213"/>
      <c r="AE76" s="213"/>
      <c r="AF76" s="213"/>
      <c r="AG76" s="213"/>
      <c r="AH76" s="229"/>
      <c r="AM76" s="8"/>
      <c r="AO76" s="556"/>
    </row>
    <row r="77" spans="1:41" x14ac:dyDescent="0.25">
      <c r="AD77" s="213"/>
      <c r="AE77" s="213"/>
      <c r="AF77" s="213"/>
      <c r="AG77" s="213"/>
      <c r="AH77" s="229"/>
      <c r="AM77" s="8"/>
      <c r="AO77" s="556"/>
    </row>
    <row r="78" spans="1:41" x14ac:dyDescent="0.25">
      <c r="AD78" s="213"/>
      <c r="AE78" s="213"/>
      <c r="AF78" s="213"/>
      <c r="AG78" s="213"/>
      <c r="AH78" s="229"/>
    </row>
    <row r="79" spans="1:41" x14ac:dyDescent="0.25">
      <c r="AD79" s="213"/>
      <c r="AE79" s="213"/>
      <c r="AF79" s="213"/>
      <c r="AG79" s="213"/>
      <c r="AH79" s="229"/>
    </row>
    <row r="80" spans="1:41" x14ac:dyDescent="0.25">
      <c r="AD80" s="213"/>
      <c r="AE80" s="213"/>
      <c r="AF80" s="213"/>
      <c r="AG80" s="213"/>
      <c r="AH80" s="229"/>
    </row>
    <row r="81" spans="33:33" x14ac:dyDescent="0.25">
      <c r="AG81" s="3"/>
    </row>
    <row r="82" spans="33:33" x14ac:dyDescent="0.25">
      <c r="AG82" s="3"/>
    </row>
    <row r="83" spans="33:33" x14ac:dyDescent="0.25">
      <c r="AG83" s="3"/>
    </row>
    <row r="84" spans="33:33" x14ac:dyDescent="0.25">
      <c r="AG84" s="3"/>
    </row>
  </sheetData>
  <phoneticPr fontId="2" type="noConversion"/>
  <printOptions horizontalCentered="1"/>
  <pageMargins left="0.5" right="0.5" top="0.5" bottom="0.5" header="0.25" footer="0.25"/>
  <pageSetup scale="57" orientation="landscape" r:id="rId1"/>
  <headerFooter alignWithMargins="0">
    <oddHeader xml:space="preserve">&amp;RUG-181053 NWN Compliance Filing
Advice 19-07 / Work Paper
</oddHeader>
    <oddFooter xml:space="preserve">&amp;C&amp;F &amp;D &amp;T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BG135"/>
  <sheetViews>
    <sheetView showGridLines="0" zoomScaleNormal="100" zoomScaleSheetLayoutView="100" workbookViewId="0">
      <pane xSplit="3" ySplit="11" topLeftCell="D12" activePane="bottomRight" state="frozen"/>
      <selection activeCell="F18" sqref="F18"/>
      <selection pane="topRight" activeCell="F18" sqref="F18"/>
      <selection pane="bottomLeft" activeCell="F18" sqref="F18"/>
      <selection pane="bottomRight" activeCell="F18" sqref="F18"/>
    </sheetView>
  </sheetViews>
  <sheetFormatPr defaultColWidth="9.33203125" defaultRowHeight="13.2" outlineLevelCol="1" x14ac:dyDescent="0.25"/>
  <cols>
    <col min="1" max="1" width="4.88671875" style="3" customWidth="1"/>
    <col min="2" max="2" width="15.33203125" style="2" customWidth="1"/>
    <col min="3" max="3" width="9.33203125" style="2"/>
    <col min="4" max="4" width="14.88671875" style="40" customWidth="1"/>
    <col min="5" max="5" width="14.88671875" style="194" customWidth="1"/>
    <col min="6" max="10" width="14.88671875" style="192" customWidth="1"/>
    <col min="11" max="11" width="13.88671875" style="192" customWidth="1"/>
    <col min="12" max="12" width="14.88671875" style="192" customWidth="1"/>
    <col min="13" max="14" width="14.88671875" style="192" hidden="1" customWidth="1"/>
    <col min="15" max="21" width="14.88671875" style="2" hidden="1" customWidth="1"/>
    <col min="22" max="22" width="16.88671875" style="2" customWidth="1"/>
    <col min="23" max="23" width="14.88671875" style="2" customWidth="1"/>
    <col min="24" max="28" width="14.88671875" style="2" hidden="1" customWidth="1"/>
    <col min="29" max="29" width="13.88671875" style="2" hidden="1" customWidth="1"/>
    <col min="30" max="30" width="17.88671875" style="2" customWidth="1"/>
    <col min="31" max="31" width="15.88671875" style="2" customWidth="1"/>
    <col min="32" max="38" width="15.88671875" style="3" hidden="1" customWidth="1" outlineLevel="1"/>
    <col min="39" max="39" width="12.6640625" style="3" hidden="1" customWidth="1" outlineLevel="1"/>
    <col min="40" max="40" width="15.109375" style="3" hidden="1" customWidth="1" outlineLevel="1"/>
    <col min="41" max="41" width="15.88671875" style="3" hidden="1" customWidth="1" outlineLevel="1"/>
    <col min="42" max="42" width="5.88671875" style="3" hidden="1" customWidth="1" outlineLevel="1"/>
    <col min="43" max="43" width="15.88671875" style="3" hidden="1" customWidth="1" outlineLevel="1"/>
    <col min="44" max="44" width="5.88671875" style="3" hidden="1" customWidth="1" outlineLevel="1"/>
    <col min="45" max="45" width="15.88671875" style="3" hidden="1" customWidth="1" outlineLevel="1"/>
    <col min="46" max="46" width="5.88671875" style="3" hidden="1" customWidth="1" outlineLevel="1"/>
    <col min="47" max="51" width="17.88671875" style="3" hidden="1" customWidth="1" outlineLevel="1"/>
    <col min="52" max="53" width="16.88671875" style="3" hidden="1" customWidth="1" outlineLevel="1"/>
    <col min="54" max="54" width="23.109375" style="3" hidden="1" customWidth="1" outlineLevel="1"/>
    <col min="55" max="58" width="16.88671875" style="3" hidden="1" customWidth="1" outlineLevel="1"/>
    <col min="59" max="59" width="16.88671875" style="3" customWidth="1" collapsed="1"/>
    <col min="60" max="72" width="15.88671875" style="3" customWidth="1"/>
    <col min="73" max="16384" width="9.33203125" style="3"/>
  </cols>
  <sheetData>
    <row r="1" spans="1:58" ht="13.8" x14ac:dyDescent="0.25">
      <c r="A1" s="1" t="str">
        <f>+'Washington volumes'!A1</f>
        <v>NW Natural</v>
      </c>
    </row>
    <row r="2" spans="1:58" ht="13.8" x14ac:dyDescent="0.25">
      <c r="A2" s="1" t="str">
        <f>+'Washington volumes'!A2</f>
        <v>Rates &amp; Regulatory Affairs</v>
      </c>
    </row>
    <row r="3" spans="1:58" ht="13.8" x14ac:dyDescent="0.25">
      <c r="A3" s="1" t="str">
        <f>+'Washington volumes'!A3</f>
        <v>2018-2019 PGA Filing - Washington: September Filing</v>
      </c>
    </row>
    <row r="4" spans="1:58" ht="13.8" x14ac:dyDescent="0.25">
      <c r="A4" s="1" t="s">
        <v>65</v>
      </c>
    </row>
    <row r="5" spans="1:58" x14ac:dyDescent="0.25">
      <c r="D5" s="2"/>
      <c r="E5" s="192"/>
      <c r="V5" s="92"/>
    </row>
    <row r="6" spans="1:58" x14ac:dyDescent="0.25">
      <c r="A6" s="367"/>
      <c r="B6" s="368"/>
      <c r="C6" s="368"/>
      <c r="D6" s="368"/>
      <c r="E6" s="368"/>
      <c r="F6" s="585"/>
      <c r="H6" s="585"/>
      <c r="AG6" s="545"/>
    </row>
    <row r="7" spans="1:58" x14ac:dyDescent="0.25">
      <c r="A7" s="4">
        <v>1</v>
      </c>
      <c r="D7" s="2"/>
      <c r="E7" s="192"/>
      <c r="F7" s="585"/>
      <c r="G7" s="585"/>
      <c r="K7" s="193"/>
      <c r="L7" s="193"/>
      <c r="M7" s="193"/>
      <c r="N7" s="193"/>
      <c r="O7" s="5"/>
      <c r="P7" s="5"/>
      <c r="Q7" s="5"/>
      <c r="R7" s="5"/>
      <c r="S7" s="5"/>
      <c r="T7" s="5"/>
      <c r="U7" s="5"/>
      <c r="V7" s="5"/>
      <c r="W7" s="5"/>
      <c r="X7" s="5"/>
      <c r="Y7" s="5"/>
      <c r="Z7" s="5"/>
      <c r="AA7" s="5"/>
      <c r="AB7" s="5"/>
      <c r="AC7" s="5"/>
      <c r="AG7" s="531" t="s">
        <v>560</v>
      </c>
      <c r="AH7" s="555" t="s">
        <v>586</v>
      </c>
      <c r="AI7" s="388" t="s">
        <v>347</v>
      </c>
      <c r="AJ7" s="388"/>
      <c r="AK7" s="388"/>
      <c r="AL7" s="388"/>
      <c r="AM7" s="388"/>
      <c r="AN7" s="716" t="s">
        <v>610</v>
      </c>
      <c r="AO7" s="388"/>
      <c r="AP7" s="388"/>
      <c r="AQ7" s="388"/>
      <c r="AR7" s="388"/>
      <c r="AS7" s="393" t="s">
        <v>348</v>
      </c>
      <c r="AT7" s="388"/>
      <c r="AU7" s="388"/>
      <c r="AV7" s="388"/>
      <c r="AW7" s="388"/>
      <c r="AX7" s="388"/>
      <c r="AZ7" s="525" t="s">
        <v>555</v>
      </c>
      <c r="BA7" s="525" t="s">
        <v>555</v>
      </c>
      <c r="BB7" s="525" t="s">
        <v>555</v>
      </c>
      <c r="BC7" s="525"/>
      <c r="BE7" s="552"/>
      <c r="BF7" s="552"/>
    </row>
    <row r="8" spans="1:58" x14ac:dyDescent="0.25">
      <c r="A8" s="4">
        <f t="shared" ref="A8:A54" si="0">+A7+1</f>
        <v>2</v>
      </c>
      <c r="D8" s="6"/>
      <c r="E8" s="401"/>
      <c r="F8" s="585"/>
      <c r="K8" s="401"/>
      <c r="L8" s="401"/>
      <c r="M8" s="401"/>
      <c r="N8" s="401"/>
      <c r="O8" s="6"/>
      <c r="P8" s="6"/>
      <c r="Q8" s="6"/>
      <c r="R8" s="6"/>
      <c r="S8" s="6"/>
      <c r="T8" s="6"/>
      <c r="U8" s="6"/>
      <c r="V8" s="6"/>
      <c r="W8" s="6"/>
      <c r="X8" s="6"/>
      <c r="Y8" s="6"/>
      <c r="Z8" s="6"/>
      <c r="AA8" s="6"/>
      <c r="AB8" s="6"/>
      <c r="AC8" s="5"/>
      <c r="AG8" s="531" t="s">
        <v>561</v>
      </c>
      <c r="AH8" s="555" t="s">
        <v>587</v>
      </c>
      <c r="AI8" s="388"/>
      <c r="AJ8" s="388"/>
      <c r="AK8" s="388"/>
      <c r="AL8" s="388"/>
      <c r="AM8" s="388"/>
      <c r="AN8" s="716"/>
      <c r="AO8" s="388"/>
      <c r="AP8" s="388"/>
      <c r="AQ8" s="388"/>
      <c r="AR8" s="388"/>
      <c r="AS8" s="393" t="s">
        <v>349</v>
      </c>
      <c r="AT8" s="388"/>
      <c r="AU8" s="388"/>
      <c r="AV8" s="388"/>
      <c r="AW8" s="388"/>
      <c r="AX8" s="388"/>
      <c r="AZ8" s="526" t="s">
        <v>338</v>
      </c>
      <c r="BA8" s="526" t="s">
        <v>339</v>
      </c>
      <c r="BB8" s="526" t="s">
        <v>597</v>
      </c>
      <c r="BC8" s="526"/>
      <c r="BE8" s="552"/>
      <c r="BF8" s="552"/>
    </row>
    <row r="9" spans="1:58" x14ac:dyDescent="0.25">
      <c r="A9" s="4">
        <f t="shared" si="0"/>
        <v>3</v>
      </c>
      <c r="D9" s="5" t="s">
        <v>30</v>
      </c>
      <c r="E9" s="193" t="s">
        <v>30</v>
      </c>
      <c r="F9" s="193" t="s">
        <v>36</v>
      </c>
      <c r="G9" s="193" t="s">
        <v>36</v>
      </c>
      <c r="H9" s="193" t="s">
        <v>36</v>
      </c>
      <c r="I9" s="193"/>
      <c r="J9" s="193"/>
      <c r="K9" s="193" t="s">
        <v>36</v>
      </c>
      <c r="L9" s="193" t="s">
        <v>36</v>
      </c>
      <c r="M9" s="193"/>
      <c r="N9" s="193"/>
      <c r="O9" s="5"/>
      <c r="P9" s="5"/>
      <c r="Q9" s="5"/>
      <c r="R9" s="5"/>
      <c r="S9" s="5"/>
      <c r="T9" s="5"/>
      <c r="U9" s="5"/>
      <c r="V9" s="5" t="s">
        <v>36</v>
      </c>
      <c r="W9" s="5" t="s">
        <v>36</v>
      </c>
      <c r="X9" s="427" t="s">
        <v>273</v>
      </c>
      <c r="Y9" s="427"/>
      <c r="Z9" s="208"/>
      <c r="AA9" s="208"/>
      <c r="AB9" s="208"/>
      <c r="AC9" s="208"/>
      <c r="AG9" s="531" t="s">
        <v>562</v>
      </c>
      <c r="AH9" s="555" t="s">
        <v>562</v>
      </c>
      <c r="AI9" s="389" t="s">
        <v>337</v>
      </c>
      <c r="AJ9" s="389"/>
      <c r="AK9" s="389"/>
      <c r="AL9" s="389"/>
      <c r="AM9" s="388"/>
      <c r="AN9" s="716"/>
      <c r="AO9" s="390" t="s">
        <v>579</v>
      </c>
      <c r="AP9" s="388"/>
      <c r="AQ9" s="390" t="s">
        <v>338</v>
      </c>
      <c r="AR9" s="388"/>
      <c r="AS9" s="390" t="s">
        <v>343</v>
      </c>
      <c r="AT9" s="392"/>
      <c r="AU9" s="389" t="s">
        <v>339</v>
      </c>
      <c r="AV9" s="389"/>
      <c r="AW9" s="391"/>
      <c r="AX9" s="391"/>
      <c r="AZ9" s="525" t="s">
        <v>556</v>
      </c>
      <c r="BA9" s="525" t="s">
        <v>556</v>
      </c>
      <c r="BB9" s="525"/>
      <c r="BC9" s="525"/>
      <c r="BE9" s="553" t="s">
        <v>583</v>
      </c>
      <c r="BF9" s="554"/>
    </row>
    <row r="10" spans="1:58" s="8" customFormat="1" ht="51.75" customHeight="1" thickBot="1" x14ac:dyDescent="0.3">
      <c r="A10" s="4">
        <f t="shared" si="0"/>
        <v>4</v>
      </c>
      <c r="B10" s="2"/>
      <c r="C10" s="2"/>
      <c r="D10" s="7" t="s">
        <v>60</v>
      </c>
      <c r="E10" s="578" t="s">
        <v>605</v>
      </c>
      <c r="F10" s="578" t="s">
        <v>25</v>
      </c>
      <c r="G10" s="578" t="s">
        <v>63</v>
      </c>
      <c r="H10" s="578" t="s">
        <v>64</v>
      </c>
      <c r="I10" s="578" t="s">
        <v>602</v>
      </c>
      <c r="J10" s="578" t="s">
        <v>603</v>
      </c>
      <c r="K10" s="578" t="str">
        <f>+Inputs!C42</f>
        <v>R&amp;C Energy Efficiency Programs</v>
      </c>
      <c r="L10" s="578" t="str">
        <f>+'Allocation = % of margin'!Q7</f>
        <v>Low Income Bill Pay Assistance (GREAT)</v>
      </c>
      <c r="M10" s="572" t="s">
        <v>602</v>
      </c>
      <c r="N10" s="572" t="s">
        <v>603</v>
      </c>
      <c r="O10" s="7"/>
      <c r="P10" s="7"/>
      <c r="Q10" s="7"/>
      <c r="R10" s="7"/>
      <c r="S10" s="7"/>
      <c r="T10" s="7"/>
      <c r="U10" s="7"/>
      <c r="V10" s="7" t="str">
        <f>+'Allocation = % of margin'!T7</f>
        <v>WA-LIEE</v>
      </c>
      <c r="W10" s="7" t="s">
        <v>624</v>
      </c>
      <c r="X10" s="209" t="s">
        <v>272</v>
      </c>
      <c r="Y10" s="209" t="s">
        <v>272</v>
      </c>
      <c r="Z10" s="209" t="s">
        <v>272</v>
      </c>
      <c r="AA10" s="209" t="s">
        <v>272</v>
      </c>
      <c r="AB10" s="209" t="s">
        <v>272</v>
      </c>
      <c r="AC10" s="209" t="s">
        <v>272</v>
      </c>
      <c r="AD10" s="7" t="s">
        <v>578</v>
      </c>
      <c r="AE10" s="7" t="s">
        <v>61</v>
      </c>
      <c r="AG10" s="417" t="s">
        <v>619</v>
      </c>
      <c r="AH10" s="417" t="s">
        <v>620</v>
      </c>
      <c r="AI10" s="417" t="s">
        <v>335</v>
      </c>
      <c r="AJ10" s="417" t="s">
        <v>336</v>
      </c>
      <c r="AK10" s="417" t="s">
        <v>581</v>
      </c>
      <c r="AL10" s="417" t="s">
        <v>582</v>
      </c>
      <c r="AO10" s="417" t="s">
        <v>570</v>
      </c>
      <c r="AQ10" s="417" t="s">
        <v>376</v>
      </c>
      <c r="AS10" s="43" t="s">
        <v>344</v>
      </c>
      <c r="AT10" s="43"/>
      <c r="AU10" s="43" t="s">
        <v>342</v>
      </c>
      <c r="AV10" s="43" t="s">
        <v>340</v>
      </c>
      <c r="AW10" s="387" t="s">
        <v>341</v>
      </c>
      <c r="AX10" s="43" t="s">
        <v>59</v>
      </c>
      <c r="AZ10" s="527" t="s">
        <v>557</v>
      </c>
      <c r="BA10" s="524"/>
      <c r="BB10" s="524"/>
      <c r="BC10" s="524"/>
      <c r="BE10" s="551" t="s">
        <v>584</v>
      </c>
      <c r="BF10" s="551" t="s">
        <v>585</v>
      </c>
    </row>
    <row r="11" spans="1:58" s="8" customFormat="1" x14ac:dyDescent="0.25">
      <c r="A11" s="4">
        <f t="shared" si="0"/>
        <v>5</v>
      </c>
      <c r="B11" s="2"/>
      <c r="C11" s="2"/>
      <c r="D11" s="9"/>
      <c r="E11" s="579"/>
      <c r="F11" s="579"/>
      <c r="G11" s="579"/>
      <c r="H11" s="162"/>
      <c r="I11" s="162" t="s">
        <v>613</v>
      </c>
      <c r="J11" s="162" t="s">
        <v>614</v>
      </c>
      <c r="K11" s="162"/>
      <c r="L11" s="162"/>
      <c r="M11" s="573" t="s">
        <v>601</v>
      </c>
      <c r="N11" s="573" t="s">
        <v>604</v>
      </c>
      <c r="O11" s="10"/>
      <c r="P11" s="10"/>
      <c r="Q11" s="10"/>
      <c r="R11" s="10"/>
      <c r="S11" s="10"/>
      <c r="T11" s="10"/>
      <c r="U11" s="10"/>
      <c r="V11" s="10"/>
      <c r="W11" s="5"/>
      <c r="X11" s="5"/>
      <c r="Y11" s="5"/>
      <c r="Z11" s="5"/>
      <c r="AA11" s="5"/>
      <c r="AB11" s="5"/>
      <c r="AC11" s="5"/>
      <c r="AD11" s="5" t="s">
        <v>606</v>
      </c>
      <c r="AE11" s="5" t="s">
        <v>575</v>
      </c>
      <c r="AG11" s="551"/>
      <c r="AK11" s="565"/>
      <c r="AM11" s="43" t="s">
        <v>345</v>
      </c>
      <c r="AN11" s="43"/>
      <c r="AO11" s="10"/>
      <c r="AS11" s="10"/>
      <c r="AU11" s="8" t="s">
        <v>377</v>
      </c>
      <c r="AZ11" s="715" t="s">
        <v>595</v>
      </c>
      <c r="BA11" s="715" t="s">
        <v>596</v>
      </c>
      <c r="BB11" s="715" t="s">
        <v>598</v>
      </c>
      <c r="BC11" s="526"/>
    </row>
    <row r="12" spans="1:58" s="8" customFormat="1" x14ac:dyDescent="0.25">
      <c r="A12" s="4">
        <f t="shared" si="0"/>
        <v>6</v>
      </c>
      <c r="B12" s="11" t="s">
        <v>2</v>
      </c>
      <c r="C12" s="11" t="s">
        <v>3</v>
      </c>
      <c r="D12" s="12" t="s">
        <v>77</v>
      </c>
      <c r="E12" s="379"/>
      <c r="F12" s="379" t="s">
        <v>78</v>
      </c>
      <c r="G12" s="379" t="s">
        <v>16</v>
      </c>
      <c r="H12" s="379" t="s">
        <v>79</v>
      </c>
      <c r="I12" s="379" t="s">
        <v>80</v>
      </c>
      <c r="J12" s="379" t="s">
        <v>81</v>
      </c>
      <c r="K12" s="379" t="s">
        <v>80</v>
      </c>
      <c r="L12" s="379" t="s">
        <v>81</v>
      </c>
      <c r="M12" s="574" t="s">
        <v>80</v>
      </c>
      <c r="N12" s="574" t="s">
        <v>81</v>
      </c>
      <c r="O12" s="12"/>
      <c r="P12" s="12"/>
      <c r="Q12" s="12"/>
      <c r="R12" s="12"/>
      <c r="S12" s="12"/>
      <c r="T12" s="12"/>
      <c r="U12" s="12"/>
      <c r="V12" s="12" t="s">
        <v>82</v>
      </c>
      <c r="W12" s="12" t="s">
        <v>83</v>
      </c>
      <c r="X12" s="12"/>
      <c r="Y12" s="12"/>
      <c r="Z12" s="12"/>
      <c r="AA12" s="12"/>
      <c r="AB12" s="12"/>
      <c r="AC12" s="12"/>
      <c r="AD12" s="12" t="s">
        <v>83</v>
      </c>
      <c r="AE12" s="12" t="s">
        <v>85</v>
      </c>
      <c r="AK12" s="565"/>
      <c r="AM12" s="43" t="s">
        <v>346</v>
      </c>
      <c r="AN12" s="43"/>
      <c r="AO12" s="10"/>
      <c r="AS12" s="10"/>
      <c r="AZ12" s="715" t="s">
        <v>595</v>
      </c>
      <c r="BA12" s="715"/>
      <c r="BB12" s="715"/>
      <c r="BC12" s="526" t="s">
        <v>625</v>
      </c>
    </row>
    <row r="13" spans="1:58" x14ac:dyDescent="0.25">
      <c r="A13" s="4">
        <f t="shared" si="0"/>
        <v>7</v>
      </c>
      <c r="B13" s="16" t="s">
        <v>4</v>
      </c>
      <c r="C13" s="13"/>
      <c r="D13" s="647">
        <v>1.6999999999999994E-2</v>
      </c>
      <c r="E13" s="647">
        <v>-3.9990000000000005E-2</v>
      </c>
      <c r="F13" s="380">
        <f>+'Allocation equal ¢ per therm'!H13</f>
        <v>-2.6290000000000001E-2</v>
      </c>
      <c r="G13" s="380">
        <f>+'Allocation equal ¢ per therm'!K13</f>
        <v>-2.6839999999999999E-2</v>
      </c>
      <c r="H13" s="380">
        <f>+'Allocation equal ¢ per therm'!N13</f>
        <v>0</v>
      </c>
      <c r="I13" s="380">
        <f>SUM(F13:H13)</f>
        <v>-5.3129999999999997E-2</v>
      </c>
      <c r="J13" s="380">
        <f>I13-E13</f>
        <v>-1.3139999999999992E-2</v>
      </c>
      <c r="K13" s="380">
        <f>+'Allocation = % of margin'!P13</f>
        <v>5.4109999999999998E-2</v>
      </c>
      <c r="L13" s="380">
        <f>+'Allocation = % of margin'!S13</f>
        <v>8.1499999999999993E-3</v>
      </c>
      <c r="M13" s="575">
        <v>0</v>
      </c>
      <c r="N13" s="575">
        <v>0</v>
      </c>
      <c r="O13" s="14"/>
      <c r="P13" s="14"/>
      <c r="Q13" s="14"/>
      <c r="R13" s="14"/>
      <c r="S13" s="14"/>
      <c r="T13" s="14"/>
      <c r="U13" s="14"/>
      <c r="V13" s="14">
        <f>+'Allocation = % of margin'!V13</f>
        <v>1.91E-3</v>
      </c>
      <c r="W13" s="14">
        <f>+'Allocation = % of margin'!Y13</f>
        <v>-1.1999999999999999E-3</v>
      </c>
      <c r="X13" s="14"/>
      <c r="Y13" s="14"/>
      <c r="Z13" s="14"/>
      <c r="AA13" s="14"/>
      <c r="AB13" s="14"/>
      <c r="AC13" s="14"/>
      <c r="AD13" s="14">
        <f>I13+SUM(K13:W13)</f>
        <v>9.8399999999999876E-3</v>
      </c>
      <c r="AE13" s="14">
        <f>+AD13-D13</f>
        <v>-7.1600000000000066E-3</v>
      </c>
      <c r="AF13" s="20"/>
      <c r="AG13" s="202">
        <f>+AD13-K13</f>
        <v>-4.4270000000000011E-2</v>
      </c>
      <c r="AH13" s="202">
        <f t="shared" ref="AH13:AH57" si="1">+W13+V13+L13</f>
        <v>8.8599999999999998E-3</v>
      </c>
      <c r="AI13" s="202">
        <f t="shared" ref="AI13:AI20" si="2">+F13</f>
        <v>-2.6290000000000001E-2</v>
      </c>
      <c r="AJ13" s="202">
        <f t="shared" ref="AJ13:AJ20" si="3">+G13+H13</f>
        <v>-2.6839999999999999E-2</v>
      </c>
      <c r="AK13" s="677">
        <f>SUM(K13:V13)</f>
        <v>6.4169999999999991E-2</v>
      </c>
      <c r="AL13" s="202">
        <f t="shared" ref="AL13:AL44" si="4">SUM(AI13:AK13)</f>
        <v>1.1039999999999994E-2</v>
      </c>
      <c r="AM13" s="20">
        <f t="shared" ref="AM13:AM44" si="5">+AK13-AO13-AQ13-AX13</f>
        <v>1.1999999999999997E-3</v>
      </c>
      <c r="AN13" s="20">
        <f>+AI13+AJ13</f>
        <v>-5.3129999999999997E-2</v>
      </c>
      <c r="AO13" s="20">
        <f t="shared" ref="AO13:AO44" si="6">+W13</f>
        <v>-1.1999999999999999E-3</v>
      </c>
      <c r="AQ13" s="20">
        <f t="shared" ref="AQ13:AQ44" si="7">+K13</f>
        <v>5.4109999999999998E-2</v>
      </c>
      <c r="AS13" s="20">
        <f>+'Rates in detail'!U13</f>
        <v>0</v>
      </c>
      <c r="AT13" s="20"/>
      <c r="AU13" s="20"/>
      <c r="AV13" s="20">
        <f t="shared" ref="AV13:AV44" si="8">+L13</f>
        <v>8.1499999999999993E-3</v>
      </c>
      <c r="AW13" s="20">
        <f t="shared" ref="AW13:AW44" si="9">+V13</f>
        <v>1.91E-3</v>
      </c>
      <c r="AX13" s="20">
        <f>SUM(AU13:AW13)</f>
        <v>1.0059999999999999E-2</v>
      </c>
      <c r="AZ13" s="691">
        <v>4.7480000000000001E-2</v>
      </c>
      <c r="BA13" s="691">
        <v>9.5100000000000011E-3</v>
      </c>
      <c r="BB13" s="691">
        <v>-3.9990000000000005E-2</v>
      </c>
      <c r="BC13" s="692">
        <v>0</v>
      </c>
      <c r="BE13" s="20">
        <f>+AK13-K13</f>
        <v>1.0059999999999993E-2</v>
      </c>
      <c r="BF13" s="20">
        <f>+AL13-K13</f>
        <v>-4.3070000000000004E-2</v>
      </c>
    </row>
    <row r="14" spans="1:58" x14ac:dyDescent="0.25">
      <c r="A14" s="4">
        <f t="shared" si="0"/>
        <v>8</v>
      </c>
      <c r="B14" s="16" t="s">
        <v>5</v>
      </c>
      <c r="C14" s="13"/>
      <c r="D14" s="647">
        <v>8.199999999999992E-3</v>
      </c>
      <c r="E14" s="647">
        <v>-3.9990000000000005E-2</v>
      </c>
      <c r="F14" s="380">
        <f>+'Allocation equal ¢ per therm'!H14</f>
        <v>-2.6290000000000001E-2</v>
      </c>
      <c r="G14" s="380">
        <f>+'Allocation equal ¢ per therm'!K14</f>
        <v>-2.6839999999999999E-2</v>
      </c>
      <c r="H14" s="380">
        <f>+'Allocation equal ¢ per therm'!N14</f>
        <v>0</v>
      </c>
      <c r="I14" s="380">
        <f t="shared" ref="I14:I66" si="10">SUM(F14:H14)</f>
        <v>-5.3129999999999997E-2</v>
      </c>
      <c r="J14" s="380">
        <f t="shared" ref="J14:J66" si="11">I14-E14</f>
        <v>-1.3139999999999992E-2</v>
      </c>
      <c r="K14" s="380">
        <f>+'Allocation = % of margin'!P14</f>
        <v>4.548E-2</v>
      </c>
      <c r="L14" s="380">
        <f>+'Allocation = % of margin'!S14</f>
        <v>6.8599999999999998E-3</v>
      </c>
      <c r="M14" s="575">
        <v>0</v>
      </c>
      <c r="N14" s="575">
        <v>0</v>
      </c>
      <c r="O14" s="14"/>
      <c r="P14" s="14"/>
      <c r="Q14" s="14"/>
      <c r="R14" s="14"/>
      <c r="S14" s="14"/>
      <c r="T14" s="14"/>
      <c r="U14" s="14"/>
      <c r="V14" s="14">
        <f>+'Allocation = % of margin'!V14</f>
        <v>1.6000000000000001E-3</v>
      </c>
      <c r="W14" s="14">
        <f>+'Allocation = % of margin'!Y14</f>
        <v>-1.01E-3</v>
      </c>
      <c r="X14" s="14"/>
      <c r="Y14" s="14"/>
      <c r="Z14" s="14"/>
      <c r="AA14" s="14"/>
      <c r="AB14" s="14"/>
      <c r="AC14" s="14"/>
      <c r="AD14" s="14">
        <f t="shared" ref="AD14:AD66" si="12">I14+SUM(K14:W14)</f>
        <v>-1.9999999999999879E-4</v>
      </c>
      <c r="AE14" s="14">
        <f t="shared" ref="AE14:AE66" si="13">+AD14-D14</f>
        <v>-8.3999999999999908E-3</v>
      </c>
      <c r="AF14" s="20"/>
      <c r="AG14" s="202">
        <f t="shared" ref="AG14:AG24" si="14">+AD14-K14</f>
        <v>-4.5679999999999998E-2</v>
      </c>
      <c r="AH14" s="202">
        <f t="shared" si="1"/>
        <v>7.45E-3</v>
      </c>
      <c r="AI14" s="202">
        <f t="shared" si="2"/>
        <v>-2.6290000000000001E-2</v>
      </c>
      <c r="AJ14" s="202">
        <f t="shared" si="3"/>
        <v>-2.6839999999999999E-2</v>
      </c>
      <c r="AK14" s="677">
        <f t="shared" ref="AK14:AK67" si="15">SUM(K14:V14)</f>
        <v>5.3939999999999995E-2</v>
      </c>
      <c r="AL14" s="202">
        <f t="shared" si="4"/>
        <v>8.0999999999999822E-4</v>
      </c>
      <c r="AM14" s="20">
        <f t="shared" si="5"/>
        <v>1.0099999999999918E-3</v>
      </c>
      <c r="AN14" s="20">
        <f t="shared" ref="AN14:AN67" si="16">+AI14+AJ14</f>
        <v>-5.3129999999999997E-2</v>
      </c>
      <c r="AO14" s="20">
        <f t="shared" si="6"/>
        <v>-1.01E-3</v>
      </c>
      <c r="AQ14" s="20">
        <f t="shared" si="7"/>
        <v>4.548E-2</v>
      </c>
      <c r="AS14" s="20">
        <f>+'Rates in detail'!U14</f>
        <v>0</v>
      </c>
      <c r="AT14" s="20"/>
      <c r="AU14" s="20"/>
      <c r="AV14" s="20">
        <f t="shared" si="8"/>
        <v>6.8599999999999998E-3</v>
      </c>
      <c r="AW14" s="20">
        <f t="shared" si="9"/>
        <v>1.6000000000000001E-3</v>
      </c>
      <c r="AX14" s="20">
        <f t="shared" ref="AX14:AX67" si="17">SUM(AU14:AW14)</f>
        <v>8.4600000000000005E-3</v>
      </c>
      <c r="AZ14" s="691">
        <v>4.0129999999999999E-2</v>
      </c>
      <c r="BA14" s="691">
        <v>8.0599999999999995E-3</v>
      </c>
      <c r="BB14" s="691">
        <v>-3.9990000000000005E-2</v>
      </c>
      <c r="BC14" s="692">
        <v>0</v>
      </c>
      <c r="BE14" s="20">
        <f t="shared" ref="BE14:BE67" si="18">+AK14-K14</f>
        <v>8.4599999999999953E-3</v>
      </c>
      <c r="BF14" s="20">
        <f t="shared" ref="BF14:BF67" si="19">+AL14-K14</f>
        <v>-4.4670000000000001E-2</v>
      </c>
    </row>
    <row r="15" spans="1:58" x14ac:dyDescent="0.25">
      <c r="A15" s="4">
        <f t="shared" si="0"/>
        <v>9</v>
      </c>
      <c r="B15" s="16" t="s">
        <v>14</v>
      </c>
      <c r="C15" s="13"/>
      <c r="D15" s="647">
        <v>-4.2599999999999999E-3</v>
      </c>
      <c r="E15" s="647">
        <v>-3.9990000000000005E-2</v>
      </c>
      <c r="F15" s="380">
        <f>+'Allocation equal ¢ per therm'!H15</f>
        <v>-2.6290000000000001E-2</v>
      </c>
      <c r="G15" s="380">
        <f>+'Allocation equal ¢ per therm'!K15</f>
        <v>-2.6839999999999999E-2</v>
      </c>
      <c r="H15" s="380">
        <f>+'Allocation equal ¢ per therm'!N15</f>
        <v>0</v>
      </c>
      <c r="I15" s="380">
        <f t="shared" si="10"/>
        <v>-5.3129999999999997E-2</v>
      </c>
      <c r="J15" s="380">
        <f t="shared" si="11"/>
        <v>-1.3139999999999992E-2</v>
      </c>
      <c r="K15" s="380">
        <f>+'Allocation = % of margin'!P15</f>
        <v>3.3680000000000002E-2</v>
      </c>
      <c r="L15" s="380">
        <f>+'Allocation = % of margin'!S15</f>
        <v>5.0699999999999999E-3</v>
      </c>
      <c r="M15" s="575">
        <v>0</v>
      </c>
      <c r="N15" s="575">
        <v>0</v>
      </c>
      <c r="O15" s="14"/>
      <c r="P15" s="14"/>
      <c r="Q15" s="14"/>
      <c r="R15" s="14"/>
      <c r="S15" s="14"/>
      <c r="T15" s="14"/>
      <c r="U15" s="14"/>
      <c r="V15" s="14">
        <f>+'Allocation = % of margin'!V15</f>
        <v>1.1900000000000001E-3</v>
      </c>
      <c r="W15" s="14">
        <f>+'Allocation = % of margin'!Y15</f>
        <v>-7.5000000000000002E-4</v>
      </c>
      <c r="X15" s="14"/>
      <c r="Y15" s="14"/>
      <c r="Z15" s="14"/>
      <c r="AA15" s="14"/>
      <c r="AB15" s="14"/>
      <c r="AC15" s="14"/>
      <c r="AD15" s="14">
        <f t="shared" si="12"/>
        <v>-1.3939999999999994E-2</v>
      </c>
      <c r="AE15" s="14">
        <f t="shared" si="13"/>
        <v>-9.6799999999999942E-3</v>
      </c>
      <c r="AF15" s="20"/>
      <c r="AG15" s="202">
        <f t="shared" si="14"/>
        <v>-4.7619999999999996E-2</v>
      </c>
      <c r="AH15" s="202">
        <f t="shared" si="1"/>
        <v>5.5100000000000001E-3</v>
      </c>
      <c r="AI15" s="202">
        <f t="shared" si="2"/>
        <v>-2.6290000000000001E-2</v>
      </c>
      <c r="AJ15" s="202">
        <f t="shared" si="3"/>
        <v>-2.6839999999999999E-2</v>
      </c>
      <c r="AK15" s="677">
        <f t="shared" si="15"/>
        <v>3.9940000000000003E-2</v>
      </c>
      <c r="AL15" s="202">
        <f t="shared" si="4"/>
        <v>-1.3189999999999993E-2</v>
      </c>
      <c r="AM15" s="20">
        <f t="shared" si="5"/>
        <v>7.500000000000024E-4</v>
      </c>
      <c r="AN15" s="20">
        <f t="shared" si="16"/>
        <v>-5.3129999999999997E-2</v>
      </c>
      <c r="AO15" s="20">
        <f t="shared" si="6"/>
        <v>-7.5000000000000002E-4</v>
      </c>
      <c r="AQ15" s="20">
        <f t="shared" si="7"/>
        <v>3.3680000000000002E-2</v>
      </c>
      <c r="AS15" s="20">
        <f>+'Rates in detail'!U15</f>
        <v>0</v>
      </c>
      <c r="AT15" s="20"/>
      <c r="AU15" s="20"/>
      <c r="AV15" s="20">
        <f t="shared" si="8"/>
        <v>5.0699999999999999E-3</v>
      </c>
      <c r="AW15" s="20">
        <f t="shared" si="9"/>
        <v>1.1900000000000001E-3</v>
      </c>
      <c r="AX15" s="20">
        <f t="shared" si="17"/>
        <v>6.2599999999999999E-3</v>
      </c>
      <c r="AZ15" s="691">
        <v>2.9760000000000002E-2</v>
      </c>
      <c r="BA15" s="691">
        <v>5.9699999999999996E-3</v>
      </c>
      <c r="BB15" s="691">
        <v>-3.9990000000000005E-2</v>
      </c>
      <c r="BC15" s="692">
        <v>0</v>
      </c>
      <c r="BE15" s="20">
        <f t="shared" si="18"/>
        <v>6.2600000000000017E-3</v>
      </c>
      <c r="BF15" s="20">
        <f t="shared" si="19"/>
        <v>-4.6869999999999995E-2</v>
      </c>
    </row>
    <row r="16" spans="1:58" x14ac:dyDescent="0.25">
      <c r="A16" s="4">
        <f t="shared" si="0"/>
        <v>10</v>
      </c>
      <c r="B16" s="16" t="s">
        <v>12</v>
      </c>
      <c r="C16" s="13"/>
      <c r="D16" s="647">
        <v>-8.6700000000000041E-3</v>
      </c>
      <c r="E16" s="647">
        <v>-3.9990000000000005E-2</v>
      </c>
      <c r="F16" s="380">
        <f>+'Allocation equal ¢ per therm'!H16</f>
        <v>-2.6290000000000001E-2</v>
      </c>
      <c r="G16" s="380">
        <f>+'Allocation equal ¢ per therm'!K16</f>
        <v>-2.6839999999999999E-2</v>
      </c>
      <c r="H16" s="380">
        <f>+'Allocation equal ¢ per therm'!N16</f>
        <v>0</v>
      </c>
      <c r="I16" s="380">
        <f t="shared" si="10"/>
        <v>-5.3129999999999997E-2</v>
      </c>
      <c r="J16" s="380">
        <f t="shared" si="11"/>
        <v>-1.3139999999999992E-2</v>
      </c>
      <c r="K16" s="380">
        <f>+'Allocation = % of margin'!P16</f>
        <v>3.0110000000000001E-2</v>
      </c>
      <c r="L16" s="380">
        <f>+'Allocation = % of margin'!S16</f>
        <v>4.5300000000000002E-3</v>
      </c>
      <c r="M16" s="575">
        <v>0</v>
      </c>
      <c r="N16" s="575">
        <v>0</v>
      </c>
      <c r="O16" s="14"/>
      <c r="P16" s="14"/>
      <c r="Q16" s="14"/>
      <c r="R16" s="14"/>
      <c r="S16" s="14"/>
      <c r="T16" s="14"/>
      <c r="U16" s="14"/>
      <c r="V16" s="14">
        <f>+'Allocation = % of margin'!V16</f>
        <v>1.06E-3</v>
      </c>
      <c r="W16" s="14">
        <f>+'Allocation = % of margin'!Y16</f>
        <v>-6.7000000000000002E-4</v>
      </c>
      <c r="X16" s="14"/>
      <c r="Y16" s="14"/>
      <c r="Z16" s="14"/>
      <c r="AA16" s="14"/>
      <c r="AB16" s="14"/>
      <c r="AC16" s="14"/>
      <c r="AD16" s="14">
        <f t="shared" si="12"/>
        <v>-1.8099999999999991E-2</v>
      </c>
      <c r="AE16" s="14">
        <f t="shared" si="13"/>
        <v>-9.429999999999987E-3</v>
      </c>
      <c r="AF16" s="20"/>
      <c r="AG16" s="202">
        <f t="shared" si="14"/>
        <v>-4.8209999999999989E-2</v>
      </c>
      <c r="AH16" s="202">
        <f t="shared" si="1"/>
        <v>4.9199999999999999E-3</v>
      </c>
      <c r="AI16" s="202">
        <f t="shared" si="2"/>
        <v>-2.6290000000000001E-2</v>
      </c>
      <c r="AJ16" s="202">
        <f t="shared" si="3"/>
        <v>-2.6839999999999999E-2</v>
      </c>
      <c r="AK16" s="677">
        <f t="shared" si="15"/>
        <v>3.5700000000000003E-2</v>
      </c>
      <c r="AL16" s="202">
        <f t="shared" si="4"/>
        <v>-1.7429999999999994E-2</v>
      </c>
      <c r="AM16" s="20">
        <f t="shared" si="5"/>
        <v>6.6999999999999785E-4</v>
      </c>
      <c r="AN16" s="20">
        <f t="shared" si="16"/>
        <v>-5.3129999999999997E-2</v>
      </c>
      <c r="AO16" s="20">
        <f t="shared" si="6"/>
        <v>-6.7000000000000002E-4</v>
      </c>
      <c r="AQ16" s="20">
        <f t="shared" si="7"/>
        <v>3.0110000000000001E-2</v>
      </c>
      <c r="AS16" s="20">
        <f>+'Rates in detail'!U16</f>
        <v>0</v>
      </c>
      <c r="AT16" s="20"/>
      <c r="AU16" s="20"/>
      <c r="AV16" s="20">
        <f t="shared" si="8"/>
        <v>4.5300000000000002E-3</v>
      </c>
      <c r="AW16" s="20">
        <f t="shared" si="9"/>
        <v>1.06E-3</v>
      </c>
      <c r="AX16" s="20">
        <f t="shared" si="17"/>
        <v>5.5900000000000004E-3</v>
      </c>
      <c r="AZ16" s="691">
        <v>2.6089999999999999E-2</v>
      </c>
      <c r="BA16" s="691">
        <v>5.2300000000000003E-3</v>
      </c>
      <c r="BB16" s="691">
        <v>-3.9990000000000005E-2</v>
      </c>
      <c r="BC16" s="692">
        <v>0</v>
      </c>
      <c r="BE16" s="20">
        <f t="shared" si="18"/>
        <v>5.5900000000000012E-3</v>
      </c>
      <c r="BF16" s="20">
        <f t="shared" si="19"/>
        <v>-4.7539999999999999E-2</v>
      </c>
    </row>
    <row r="17" spans="1:58" x14ac:dyDescent="0.25">
      <c r="A17" s="4">
        <f t="shared" si="0"/>
        <v>11</v>
      </c>
      <c r="B17" s="16" t="s">
        <v>13</v>
      </c>
      <c r="C17" s="13"/>
      <c r="D17" s="647">
        <v>-3.5310000000000008E-2</v>
      </c>
      <c r="E17" s="647">
        <v>-3.9990000000000005E-2</v>
      </c>
      <c r="F17" s="380">
        <f>+'Allocation equal ¢ per therm'!H17</f>
        <v>-2.6290000000000001E-2</v>
      </c>
      <c r="G17" s="380">
        <f>+'Allocation equal ¢ per therm'!K17</f>
        <v>-2.6839999999999999E-2</v>
      </c>
      <c r="H17" s="380">
        <f>+'Allocation equal ¢ per therm'!N17</f>
        <v>0</v>
      </c>
      <c r="I17" s="380">
        <f t="shared" si="10"/>
        <v>-5.3129999999999997E-2</v>
      </c>
      <c r="J17" s="380">
        <f t="shared" si="11"/>
        <v>-1.3139999999999992E-2</v>
      </c>
      <c r="K17" s="380">
        <f>+'Allocation = % of margin'!P17</f>
        <v>0</v>
      </c>
      <c r="L17" s="380">
        <f>+'Allocation = % of margin'!S17</f>
        <v>4.0499999999999998E-3</v>
      </c>
      <c r="M17" s="575">
        <v>0</v>
      </c>
      <c r="N17" s="575">
        <v>0</v>
      </c>
      <c r="O17" s="14"/>
      <c r="P17" s="14"/>
      <c r="Q17" s="14"/>
      <c r="R17" s="14"/>
      <c r="S17" s="14"/>
      <c r="T17" s="14"/>
      <c r="U17" s="14"/>
      <c r="V17" s="14">
        <f>+'Allocation = % of margin'!V17</f>
        <v>9.5E-4</v>
      </c>
      <c r="W17" s="14">
        <f>+'Allocation = % of margin'!Y17</f>
        <v>-5.9999999999999995E-4</v>
      </c>
      <c r="X17" s="14"/>
      <c r="Y17" s="14"/>
      <c r="Z17" s="14"/>
      <c r="AA17" s="14"/>
      <c r="AB17" s="14"/>
      <c r="AC17" s="14"/>
      <c r="AD17" s="14">
        <f t="shared" si="12"/>
        <v>-4.8729999999999996E-2</v>
      </c>
      <c r="AE17" s="14">
        <f t="shared" si="13"/>
        <v>-1.3419999999999987E-2</v>
      </c>
      <c r="AF17" s="20"/>
      <c r="AG17" s="202">
        <f t="shared" si="14"/>
        <v>-4.8729999999999996E-2</v>
      </c>
      <c r="AH17" s="202">
        <f t="shared" si="1"/>
        <v>4.3999999999999994E-3</v>
      </c>
      <c r="AI17" s="202">
        <f t="shared" si="2"/>
        <v>-2.6290000000000001E-2</v>
      </c>
      <c r="AJ17" s="202">
        <f t="shared" si="3"/>
        <v>-2.6839999999999999E-2</v>
      </c>
      <c r="AK17" s="677">
        <f t="shared" si="15"/>
        <v>5.0000000000000001E-3</v>
      </c>
      <c r="AL17" s="202">
        <f t="shared" si="4"/>
        <v>-4.8129999999999999E-2</v>
      </c>
      <c r="AM17" s="20">
        <f t="shared" si="5"/>
        <v>5.9999999999999984E-4</v>
      </c>
      <c r="AN17" s="20">
        <f t="shared" si="16"/>
        <v>-5.3129999999999997E-2</v>
      </c>
      <c r="AO17" s="20">
        <f t="shared" si="6"/>
        <v>-5.9999999999999995E-4</v>
      </c>
      <c r="AQ17" s="20">
        <f t="shared" si="7"/>
        <v>0</v>
      </c>
      <c r="AS17" s="20">
        <f>+'Rates in detail'!U17</f>
        <v>0</v>
      </c>
      <c r="AT17" s="20"/>
      <c r="AU17" s="20"/>
      <c r="AV17" s="20">
        <f t="shared" si="8"/>
        <v>4.0499999999999998E-3</v>
      </c>
      <c r="AW17" s="20">
        <f t="shared" si="9"/>
        <v>9.5E-4</v>
      </c>
      <c r="AX17" s="20">
        <f t="shared" si="17"/>
        <v>5.0000000000000001E-3</v>
      </c>
      <c r="AZ17" s="691">
        <v>0</v>
      </c>
      <c r="BA17" s="691">
        <v>4.6800000000000001E-3</v>
      </c>
      <c r="BB17" s="691">
        <v>-3.9990000000000005E-2</v>
      </c>
      <c r="BC17" s="692">
        <v>0</v>
      </c>
      <c r="BE17" s="20">
        <f t="shared" si="18"/>
        <v>5.0000000000000001E-3</v>
      </c>
      <c r="BF17" s="20">
        <f t="shared" si="19"/>
        <v>-4.8129999999999999E-2</v>
      </c>
    </row>
    <row r="18" spans="1:58" x14ac:dyDescent="0.25">
      <c r="A18" s="4">
        <f t="shared" si="0"/>
        <v>12</v>
      </c>
      <c r="B18" s="74">
        <v>27</v>
      </c>
      <c r="C18" s="21"/>
      <c r="D18" s="647">
        <v>-1.5370000000000005E-2</v>
      </c>
      <c r="E18" s="647">
        <v>-3.9990000000000005E-2</v>
      </c>
      <c r="F18" s="380">
        <f>+'Allocation equal ¢ per therm'!H18</f>
        <v>-2.6290000000000001E-2</v>
      </c>
      <c r="G18" s="380">
        <f>+'Allocation equal ¢ per therm'!K18</f>
        <v>-2.6839999999999999E-2</v>
      </c>
      <c r="H18" s="380">
        <f>+'Allocation equal ¢ per therm'!N18</f>
        <v>0</v>
      </c>
      <c r="I18" s="380">
        <f t="shared" si="10"/>
        <v>-5.3129999999999997E-2</v>
      </c>
      <c r="J18" s="380">
        <f t="shared" si="11"/>
        <v>-1.3139999999999992E-2</v>
      </c>
      <c r="K18" s="380">
        <f>+'Allocation = % of margin'!P18</f>
        <v>2.2589999999999999E-2</v>
      </c>
      <c r="L18" s="380">
        <f>+'Allocation = % of margin'!S18</f>
        <v>3.3999999999999998E-3</v>
      </c>
      <c r="M18" s="575">
        <v>0</v>
      </c>
      <c r="N18" s="575">
        <v>0</v>
      </c>
      <c r="O18" s="14"/>
      <c r="P18" s="14"/>
      <c r="Q18" s="14"/>
      <c r="R18" s="14"/>
      <c r="S18" s="14"/>
      <c r="T18" s="14"/>
      <c r="U18" s="14"/>
      <c r="V18" s="14">
        <f>+'Allocation = % of margin'!V18</f>
        <v>8.0000000000000004E-4</v>
      </c>
      <c r="W18" s="14">
        <f>+'Allocation = % of margin'!Y18</f>
        <v>-5.0000000000000001E-4</v>
      </c>
      <c r="X18" s="14"/>
      <c r="Y18" s="14"/>
      <c r="Z18" s="14"/>
      <c r="AA18" s="14"/>
      <c r="AB18" s="14"/>
      <c r="AC18" s="14"/>
      <c r="AD18" s="14">
        <f t="shared" si="12"/>
        <v>-2.6839999999999999E-2</v>
      </c>
      <c r="AE18" s="14">
        <f t="shared" si="13"/>
        <v>-1.1469999999999994E-2</v>
      </c>
      <c r="AF18" s="20"/>
      <c r="AG18" s="202">
        <f t="shared" si="14"/>
        <v>-4.9430000000000002E-2</v>
      </c>
      <c r="AH18" s="202">
        <f t="shared" si="1"/>
        <v>3.6999999999999997E-3</v>
      </c>
      <c r="AI18" s="202">
        <f t="shared" si="2"/>
        <v>-2.6290000000000001E-2</v>
      </c>
      <c r="AJ18" s="202">
        <f t="shared" si="3"/>
        <v>-2.6839999999999999E-2</v>
      </c>
      <c r="AK18" s="677">
        <f t="shared" si="15"/>
        <v>2.6789999999999998E-2</v>
      </c>
      <c r="AL18" s="202">
        <f t="shared" si="4"/>
        <v>-2.6339999999999999E-2</v>
      </c>
      <c r="AM18" s="20">
        <f t="shared" si="5"/>
        <v>4.9999999999999958E-4</v>
      </c>
      <c r="AN18" s="20">
        <f t="shared" si="16"/>
        <v>-5.3129999999999997E-2</v>
      </c>
      <c r="AO18" s="20">
        <f t="shared" si="6"/>
        <v>-5.0000000000000001E-4</v>
      </c>
      <c r="AQ18" s="20">
        <f t="shared" si="7"/>
        <v>2.2589999999999999E-2</v>
      </c>
      <c r="AS18" s="20">
        <f>+'Rates in detail'!U18</f>
        <v>0</v>
      </c>
      <c r="AT18" s="20"/>
      <c r="AU18" s="20"/>
      <c r="AV18" s="20">
        <f t="shared" si="8"/>
        <v>3.3999999999999998E-3</v>
      </c>
      <c r="AW18" s="20">
        <f t="shared" si="9"/>
        <v>8.0000000000000004E-4</v>
      </c>
      <c r="AX18" s="20">
        <f t="shared" si="17"/>
        <v>4.1999999999999997E-3</v>
      </c>
      <c r="AZ18" s="691">
        <v>2.051E-2</v>
      </c>
      <c r="BA18" s="691">
        <v>4.1099999999999999E-3</v>
      </c>
      <c r="BB18" s="691">
        <v>-3.9990000000000005E-2</v>
      </c>
      <c r="BC18" s="692">
        <v>0</v>
      </c>
      <c r="BE18" s="20">
        <f t="shared" si="18"/>
        <v>4.1999999999999989E-3</v>
      </c>
      <c r="BF18" s="20">
        <f t="shared" si="19"/>
        <v>-4.8930000000000001E-2</v>
      </c>
    </row>
    <row r="19" spans="1:58" x14ac:dyDescent="0.25">
      <c r="A19" s="4">
        <f t="shared" si="0"/>
        <v>13</v>
      </c>
      <c r="B19" s="69" t="s">
        <v>365</v>
      </c>
      <c r="C19" s="18" t="s">
        <v>6</v>
      </c>
      <c r="D19" s="649">
        <v>-1.5110000000000005E-2</v>
      </c>
      <c r="E19" s="649">
        <v>-3.9990000000000005E-2</v>
      </c>
      <c r="F19" s="402">
        <f>+'Allocation equal ¢ per therm'!H19</f>
        <v>-2.6290000000000001E-2</v>
      </c>
      <c r="G19" s="402">
        <f>+'Allocation equal ¢ per therm'!K19</f>
        <v>-2.6839999999999999E-2</v>
      </c>
      <c r="H19" s="402">
        <f>+'Allocation equal ¢ per therm'!N19</f>
        <v>0</v>
      </c>
      <c r="I19" s="402">
        <f t="shared" si="10"/>
        <v>-5.3129999999999997E-2</v>
      </c>
      <c r="J19" s="402">
        <f t="shared" si="11"/>
        <v>-1.3139999999999992E-2</v>
      </c>
      <c r="K19" s="402">
        <f>+'Allocation = % of margin'!P19</f>
        <v>2.3369999999999998E-2</v>
      </c>
      <c r="L19" s="402">
        <f>+'Allocation = % of margin'!S19</f>
        <v>3.5200000000000001E-3</v>
      </c>
      <c r="M19" s="564">
        <v>0</v>
      </c>
      <c r="N19" s="564">
        <v>0</v>
      </c>
      <c r="O19" s="20"/>
      <c r="P19" s="20"/>
      <c r="Q19" s="20"/>
      <c r="R19" s="20"/>
      <c r="S19" s="20"/>
      <c r="T19" s="20"/>
      <c r="U19" s="20"/>
      <c r="V19" s="20">
        <f>+'Allocation = % of margin'!V19</f>
        <v>8.1999999999999998E-4</v>
      </c>
      <c r="W19" s="20">
        <f>+'Allocation = % of margin'!Y19</f>
        <v>-5.1999999999999995E-4</v>
      </c>
      <c r="X19" s="20"/>
      <c r="Y19" s="20"/>
      <c r="Z19" s="20"/>
      <c r="AA19" s="20"/>
      <c r="AB19" s="20"/>
      <c r="AC19" s="20"/>
      <c r="AD19" s="20">
        <f t="shared" si="12"/>
        <v>-2.5939999999999998E-2</v>
      </c>
      <c r="AE19" s="20">
        <f t="shared" si="13"/>
        <v>-1.0829999999999992E-2</v>
      </c>
      <c r="AF19" s="20"/>
      <c r="AG19" s="202">
        <f t="shared" si="14"/>
        <v>-4.9309999999999993E-2</v>
      </c>
      <c r="AH19" s="202">
        <f t="shared" si="1"/>
        <v>3.82E-3</v>
      </c>
      <c r="AI19" s="202">
        <f t="shared" si="2"/>
        <v>-2.6290000000000001E-2</v>
      </c>
      <c r="AJ19" s="202">
        <f t="shared" si="3"/>
        <v>-2.6839999999999999E-2</v>
      </c>
      <c r="AK19" s="677">
        <f t="shared" si="15"/>
        <v>2.7709999999999999E-2</v>
      </c>
      <c r="AL19" s="202">
        <f t="shared" si="4"/>
        <v>-2.5419999999999998E-2</v>
      </c>
      <c r="AM19" s="20">
        <f t="shared" si="5"/>
        <v>5.1999999999999963E-4</v>
      </c>
      <c r="AN19" s="20">
        <f t="shared" si="16"/>
        <v>-5.3129999999999997E-2</v>
      </c>
      <c r="AO19" s="20">
        <f t="shared" si="6"/>
        <v>-5.1999999999999995E-4</v>
      </c>
      <c r="AQ19" s="20">
        <f t="shared" si="7"/>
        <v>2.3369999999999998E-2</v>
      </c>
      <c r="AS19" s="20">
        <f>+'Rates in detail'!U19</f>
        <v>0</v>
      </c>
      <c r="AT19" s="20"/>
      <c r="AU19" s="20"/>
      <c r="AV19" s="20">
        <f t="shared" si="8"/>
        <v>3.5200000000000001E-3</v>
      </c>
      <c r="AW19" s="20">
        <f t="shared" si="9"/>
        <v>8.1999999999999998E-4</v>
      </c>
      <c r="AX19" s="20">
        <f t="shared" si="17"/>
        <v>4.3400000000000001E-3</v>
      </c>
      <c r="AZ19" s="691">
        <v>2.0729999999999998E-2</v>
      </c>
      <c r="BA19" s="691">
        <v>4.15E-3</v>
      </c>
      <c r="BB19" s="691">
        <v>-3.9990000000000005E-2</v>
      </c>
      <c r="BC19" s="692">
        <v>0</v>
      </c>
      <c r="BE19" s="20">
        <f t="shared" si="18"/>
        <v>4.3400000000000001E-3</v>
      </c>
      <c r="BF19" s="20">
        <f t="shared" si="19"/>
        <v>-4.879E-2</v>
      </c>
    </row>
    <row r="20" spans="1:58" x14ac:dyDescent="0.25">
      <c r="A20" s="4">
        <f t="shared" si="0"/>
        <v>14</v>
      </c>
      <c r="B20" s="74"/>
      <c r="C20" s="22" t="s">
        <v>7</v>
      </c>
      <c r="D20" s="647">
        <v>-1.8060000000000003E-2</v>
      </c>
      <c r="E20" s="647">
        <v>-3.9990000000000005E-2</v>
      </c>
      <c r="F20" s="380">
        <f>+'Allocation equal ¢ per therm'!H20</f>
        <v>-2.6290000000000001E-2</v>
      </c>
      <c r="G20" s="380">
        <f>+'Allocation equal ¢ per therm'!K20</f>
        <v>-2.6839999999999999E-2</v>
      </c>
      <c r="H20" s="380">
        <f>+'Allocation equal ¢ per therm'!N20</f>
        <v>0</v>
      </c>
      <c r="I20" s="380">
        <f t="shared" si="10"/>
        <v>-5.3129999999999997E-2</v>
      </c>
      <c r="J20" s="380">
        <f t="shared" si="11"/>
        <v>-1.3139999999999992E-2</v>
      </c>
      <c r="K20" s="380">
        <f>+'Allocation = % of margin'!P20</f>
        <v>2.0590000000000001E-2</v>
      </c>
      <c r="L20" s="380">
        <f>+'Allocation = % of margin'!S20</f>
        <v>3.0999999999999999E-3</v>
      </c>
      <c r="M20" s="575">
        <v>0</v>
      </c>
      <c r="N20" s="575">
        <v>0</v>
      </c>
      <c r="O20" s="14"/>
      <c r="P20" s="14"/>
      <c r="Q20" s="14"/>
      <c r="R20" s="14"/>
      <c r="S20" s="14"/>
      <c r="T20" s="14"/>
      <c r="U20" s="14"/>
      <c r="V20" s="14">
        <f>+'Allocation = % of margin'!V20</f>
        <v>7.2999999999999996E-4</v>
      </c>
      <c r="W20" s="14">
        <f>+'Allocation = % of margin'!Y20</f>
        <v>-4.6000000000000001E-4</v>
      </c>
      <c r="X20" s="14"/>
      <c r="Y20" s="14"/>
      <c r="Z20" s="14"/>
      <c r="AA20" s="14"/>
      <c r="AB20" s="14"/>
      <c r="AC20" s="14"/>
      <c r="AD20" s="14">
        <f t="shared" si="12"/>
        <v>-2.9169999999999995E-2</v>
      </c>
      <c r="AE20" s="14">
        <f t="shared" si="13"/>
        <v>-1.1109999999999991E-2</v>
      </c>
      <c r="AF20" s="20"/>
      <c r="AG20" s="202">
        <f t="shared" si="14"/>
        <v>-4.9759999999999999E-2</v>
      </c>
      <c r="AH20" s="202">
        <f t="shared" si="1"/>
        <v>3.3699999999999997E-3</v>
      </c>
      <c r="AI20" s="202">
        <f t="shared" si="2"/>
        <v>-2.6290000000000001E-2</v>
      </c>
      <c r="AJ20" s="202">
        <f t="shared" si="3"/>
        <v>-2.6839999999999999E-2</v>
      </c>
      <c r="AK20" s="677">
        <f t="shared" si="15"/>
        <v>2.4420000000000001E-2</v>
      </c>
      <c r="AL20" s="202">
        <f t="shared" si="4"/>
        <v>-2.8709999999999996E-2</v>
      </c>
      <c r="AM20" s="20">
        <f t="shared" si="5"/>
        <v>4.599999999999986E-4</v>
      </c>
      <c r="AN20" s="20">
        <f t="shared" si="16"/>
        <v>-5.3129999999999997E-2</v>
      </c>
      <c r="AO20" s="20">
        <f t="shared" si="6"/>
        <v>-4.6000000000000001E-4</v>
      </c>
      <c r="AQ20" s="20">
        <f t="shared" si="7"/>
        <v>2.0590000000000001E-2</v>
      </c>
      <c r="AS20" s="20">
        <f>+'Rates in detail'!U20</f>
        <v>0</v>
      </c>
      <c r="AT20" s="20"/>
      <c r="AU20" s="20"/>
      <c r="AV20" s="20">
        <f t="shared" si="8"/>
        <v>3.0999999999999999E-3</v>
      </c>
      <c r="AW20" s="20">
        <f t="shared" si="9"/>
        <v>7.2999999999999996E-4</v>
      </c>
      <c r="AX20" s="20">
        <f t="shared" si="17"/>
        <v>3.8300000000000001E-3</v>
      </c>
      <c r="AZ20" s="691">
        <v>1.8270000000000002E-2</v>
      </c>
      <c r="BA20" s="691">
        <v>3.6600000000000001E-3</v>
      </c>
      <c r="BB20" s="691">
        <v>-3.9990000000000005E-2</v>
      </c>
      <c r="BC20" s="692">
        <v>0</v>
      </c>
      <c r="BE20" s="20">
        <f t="shared" si="18"/>
        <v>3.8300000000000001E-3</v>
      </c>
      <c r="BF20" s="20">
        <f t="shared" si="19"/>
        <v>-4.9299999999999997E-2</v>
      </c>
    </row>
    <row r="21" spans="1:58" x14ac:dyDescent="0.25">
      <c r="A21" s="4">
        <f t="shared" si="0"/>
        <v>15</v>
      </c>
      <c r="B21" s="69" t="s">
        <v>366</v>
      </c>
      <c r="C21" s="18" t="s">
        <v>6</v>
      </c>
      <c r="D21" s="649">
        <v>6.8500000000000019E-3</v>
      </c>
      <c r="E21" s="649">
        <v>-1.6559999999999998E-2</v>
      </c>
      <c r="F21" s="402">
        <f>+'Allocation equal ¢ per therm'!H21</f>
        <v>-2.6290000000000001E-2</v>
      </c>
      <c r="G21" s="402">
        <f>+'Allocation equal ¢ per therm'!K21</f>
        <v>0</v>
      </c>
      <c r="H21" s="402">
        <f>+'Allocation equal ¢ per therm'!N21</f>
        <v>-9.3699999999999999E-3</v>
      </c>
      <c r="I21" s="402">
        <f t="shared" si="10"/>
        <v>-3.5659999999999997E-2</v>
      </c>
      <c r="J21" s="402">
        <f t="shared" si="11"/>
        <v>-1.9099999999999999E-2</v>
      </c>
      <c r="K21" s="402">
        <f>+'Allocation = % of margin'!P21</f>
        <v>2.2190000000000001E-2</v>
      </c>
      <c r="L21" s="402">
        <f>+'Allocation = % of margin'!S21</f>
        <v>3.4199999999999999E-3</v>
      </c>
      <c r="M21" s="564">
        <v>0</v>
      </c>
      <c r="N21" s="564">
        <v>0</v>
      </c>
      <c r="O21" s="20"/>
      <c r="P21" s="20"/>
      <c r="Q21" s="20"/>
      <c r="R21" s="20"/>
      <c r="S21" s="20"/>
      <c r="T21" s="20"/>
      <c r="U21" s="20"/>
      <c r="V21" s="20">
        <f>+'Allocation = % of margin'!V21</f>
        <v>8.0000000000000004E-4</v>
      </c>
      <c r="W21" s="20">
        <f>+'Allocation = % of margin'!Y21</f>
        <v>-5.2999999999999998E-4</v>
      </c>
      <c r="X21" s="20"/>
      <c r="Y21" s="20"/>
      <c r="Z21" s="20"/>
      <c r="AA21" s="20"/>
      <c r="AB21" s="20"/>
      <c r="AC21" s="20"/>
      <c r="AD21" s="20">
        <f t="shared" si="12"/>
        <v>-9.779999999999997E-3</v>
      </c>
      <c r="AE21" s="20">
        <f>+AD21-D21</f>
        <v>-1.6629999999999999E-2</v>
      </c>
      <c r="AF21" s="20"/>
      <c r="AG21" s="202">
        <f t="shared" si="14"/>
        <v>-3.1969999999999998E-2</v>
      </c>
      <c r="AH21" s="202">
        <f t="shared" si="1"/>
        <v>3.6899999999999997E-3</v>
      </c>
      <c r="AI21" s="202">
        <f t="shared" ref="AI21:AI53" si="20">+F21</f>
        <v>-2.6290000000000001E-2</v>
      </c>
      <c r="AJ21" s="202">
        <f t="shared" ref="AJ21:AJ53" si="21">+G21+H21</f>
        <v>-9.3699999999999999E-3</v>
      </c>
      <c r="AK21" s="677">
        <f t="shared" si="15"/>
        <v>2.6409999999999999E-2</v>
      </c>
      <c r="AL21" s="202">
        <f t="shared" si="4"/>
        <v>-9.2499999999999978E-3</v>
      </c>
      <c r="AM21" s="20">
        <f t="shared" si="5"/>
        <v>5.2999999999999749E-4</v>
      </c>
      <c r="AN21" s="20">
        <f t="shared" si="16"/>
        <v>-3.5659999999999997E-2</v>
      </c>
      <c r="AO21" s="20">
        <f t="shared" si="6"/>
        <v>-5.2999999999999998E-4</v>
      </c>
      <c r="AQ21" s="20">
        <f t="shared" si="7"/>
        <v>2.2190000000000001E-2</v>
      </c>
      <c r="AS21" s="20">
        <f>+'Rates in detail'!U21</f>
        <v>0</v>
      </c>
      <c r="AT21" s="20"/>
      <c r="AU21" s="20"/>
      <c r="AV21" s="20">
        <f t="shared" si="8"/>
        <v>3.4199999999999999E-3</v>
      </c>
      <c r="AW21" s="20">
        <f t="shared" si="9"/>
        <v>8.0000000000000004E-4</v>
      </c>
      <c r="AX21" s="20">
        <f t="shared" si="17"/>
        <v>4.2199999999999998E-3</v>
      </c>
      <c r="AZ21" s="691">
        <v>1.942E-2</v>
      </c>
      <c r="BA21" s="691">
        <v>3.9900000000000005E-3</v>
      </c>
      <c r="BB21" s="691">
        <v>-1.6559999999999998E-2</v>
      </c>
      <c r="BC21" s="692">
        <v>0</v>
      </c>
      <c r="BE21" s="20">
        <f t="shared" si="18"/>
        <v>4.2199999999999981E-3</v>
      </c>
      <c r="BF21" s="20">
        <f t="shared" si="19"/>
        <v>-3.1439999999999996E-2</v>
      </c>
    </row>
    <row r="22" spans="1:58" x14ac:dyDescent="0.25">
      <c r="A22" s="4">
        <f t="shared" si="0"/>
        <v>16</v>
      </c>
      <c r="B22" s="74"/>
      <c r="C22" s="22" t="s">
        <v>7</v>
      </c>
      <c r="D22" s="647">
        <v>4.0700000000000042E-3</v>
      </c>
      <c r="E22" s="647">
        <v>-1.6559999999999998E-2</v>
      </c>
      <c r="F22" s="380">
        <f>+'Allocation equal ¢ per therm'!H22</f>
        <v>-2.6290000000000001E-2</v>
      </c>
      <c r="G22" s="380">
        <f>+'Allocation equal ¢ per therm'!K22</f>
        <v>0</v>
      </c>
      <c r="H22" s="380">
        <f>+'Allocation equal ¢ per therm'!N22</f>
        <v>-9.3699999999999999E-3</v>
      </c>
      <c r="I22" s="380">
        <f t="shared" si="10"/>
        <v>-3.5659999999999997E-2</v>
      </c>
      <c r="J22" s="380">
        <f t="shared" si="11"/>
        <v>-1.9099999999999999E-2</v>
      </c>
      <c r="K22" s="380">
        <f>+'Allocation = % of margin'!P22</f>
        <v>1.9550000000000001E-2</v>
      </c>
      <c r="L22" s="380">
        <f>+'Allocation = % of margin'!S22</f>
        <v>3.0100000000000001E-3</v>
      </c>
      <c r="M22" s="575">
        <v>0</v>
      </c>
      <c r="N22" s="575">
        <v>0</v>
      </c>
      <c r="O22" s="14"/>
      <c r="P22" s="14"/>
      <c r="Q22" s="14"/>
      <c r="R22" s="14"/>
      <c r="S22" s="14"/>
      <c r="T22" s="14"/>
      <c r="U22" s="14"/>
      <c r="V22" s="14">
        <f>+'Allocation = % of margin'!V22</f>
        <v>7.1000000000000002E-4</v>
      </c>
      <c r="W22" s="14">
        <f>+'Allocation = % of margin'!Y22</f>
        <v>-4.6999999999999999E-4</v>
      </c>
      <c r="X22" s="14"/>
      <c r="Y22" s="14"/>
      <c r="Z22" s="14"/>
      <c r="AA22" s="14"/>
      <c r="AB22" s="14"/>
      <c r="AC22" s="14"/>
      <c r="AD22" s="14">
        <f t="shared" si="12"/>
        <v>-1.286E-2</v>
      </c>
      <c r="AE22" s="14">
        <f>+AD22-D22</f>
        <v>-1.6930000000000004E-2</v>
      </c>
      <c r="AF22" s="20"/>
      <c r="AG22" s="202">
        <f t="shared" si="14"/>
        <v>-3.2410000000000001E-2</v>
      </c>
      <c r="AH22" s="202">
        <f t="shared" si="1"/>
        <v>3.2500000000000003E-3</v>
      </c>
      <c r="AI22" s="202">
        <f t="shared" si="20"/>
        <v>-2.6290000000000001E-2</v>
      </c>
      <c r="AJ22" s="202">
        <f t="shared" si="21"/>
        <v>-9.3699999999999999E-3</v>
      </c>
      <c r="AK22" s="677">
        <f t="shared" si="15"/>
        <v>2.3269999999999999E-2</v>
      </c>
      <c r="AL22" s="202">
        <f t="shared" si="4"/>
        <v>-1.2389999999999998E-2</v>
      </c>
      <c r="AM22" s="20">
        <f t="shared" si="5"/>
        <v>4.6999999999999906E-4</v>
      </c>
      <c r="AN22" s="20">
        <f t="shared" si="16"/>
        <v>-3.5659999999999997E-2</v>
      </c>
      <c r="AO22" s="20">
        <f t="shared" si="6"/>
        <v>-4.6999999999999999E-4</v>
      </c>
      <c r="AQ22" s="20">
        <f t="shared" si="7"/>
        <v>1.9550000000000001E-2</v>
      </c>
      <c r="AS22" s="20">
        <f>+'Rates in detail'!U22</f>
        <v>0</v>
      </c>
      <c r="AT22" s="20"/>
      <c r="AU22" s="20"/>
      <c r="AV22" s="20">
        <f t="shared" si="8"/>
        <v>3.0100000000000001E-3</v>
      </c>
      <c r="AW22" s="20">
        <f t="shared" si="9"/>
        <v>7.1000000000000002E-4</v>
      </c>
      <c r="AX22" s="20">
        <f t="shared" si="17"/>
        <v>3.7200000000000002E-3</v>
      </c>
      <c r="AZ22" s="691">
        <v>1.711E-2</v>
      </c>
      <c r="BA22" s="691">
        <v>3.5200000000000001E-3</v>
      </c>
      <c r="BB22" s="691">
        <v>-1.6559999999999998E-2</v>
      </c>
      <c r="BC22" s="692">
        <v>0</v>
      </c>
      <c r="BE22" s="20">
        <f t="shared" si="18"/>
        <v>3.7199999999999976E-3</v>
      </c>
      <c r="BF22" s="20">
        <f t="shared" si="19"/>
        <v>-3.1939999999999996E-2</v>
      </c>
    </row>
    <row r="23" spans="1:58" x14ac:dyDescent="0.25">
      <c r="A23" s="4">
        <f t="shared" si="0"/>
        <v>17</v>
      </c>
      <c r="B23" s="69" t="s">
        <v>161</v>
      </c>
      <c r="C23" s="18" t="s">
        <v>6</v>
      </c>
      <c r="D23" s="649">
        <v>0</v>
      </c>
      <c r="E23" s="649">
        <v>0</v>
      </c>
      <c r="F23" s="402">
        <f>+'Allocation equal ¢ per therm'!H23</f>
        <v>0</v>
      </c>
      <c r="G23" s="402">
        <f>+'Allocation equal ¢ per therm'!K23</f>
        <v>0</v>
      </c>
      <c r="H23" s="402">
        <f>+'Allocation equal ¢ per therm'!N23</f>
        <v>0</v>
      </c>
      <c r="I23" s="402">
        <f t="shared" si="10"/>
        <v>0</v>
      </c>
      <c r="J23" s="402">
        <f t="shared" si="11"/>
        <v>0</v>
      </c>
      <c r="K23" s="402">
        <f>+'Allocation = % of margin'!P23</f>
        <v>0</v>
      </c>
      <c r="L23" s="402">
        <f>+'Allocation = % of margin'!S23</f>
        <v>0</v>
      </c>
      <c r="M23" s="564">
        <v>0</v>
      </c>
      <c r="N23" s="564">
        <v>0</v>
      </c>
      <c r="O23" s="20"/>
      <c r="P23" s="20"/>
      <c r="Q23" s="20"/>
      <c r="R23" s="20"/>
      <c r="S23" s="20"/>
      <c r="T23" s="20"/>
      <c r="U23" s="20"/>
      <c r="V23" s="20">
        <f>+'Allocation = % of margin'!V23</f>
        <v>0</v>
      </c>
      <c r="W23" s="20">
        <f>+'Allocation = % of margin'!Y23</f>
        <v>-5.8E-4</v>
      </c>
      <c r="X23" s="20"/>
      <c r="Y23" s="20"/>
      <c r="Z23" s="20"/>
      <c r="AA23" s="20"/>
      <c r="AB23" s="20"/>
      <c r="AC23" s="20"/>
      <c r="AD23" s="20">
        <f t="shared" si="12"/>
        <v>-5.8E-4</v>
      </c>
      <c r="AE23" s="20">
        <f t="shared" si="13"/>
        <v>-5.8E-4</v>
      </c>
      <c r="AF23" s="20"/>
      <c r="AG23" s="202">
        <f t="shared" si="14"/>
        <v>-5.8E-4</v>
      </c>
      <c r="AH23" s="202">
        <f t="shared" si="1"/>
        <v>-5.8E-4</v>
      </c>
      <c r="AI23" s="202">
        <f t="shared" si="20"/>
        <v>0</v>
      </c>
      <c r="AJ23" s="202">
        <f t="shared" si="21"/>
        <v>0</v>
      </c>
      <c r="AK23" s="677">
        <f t="shared" si="15"/>
        <v>0</v>
      </c>
      <c r="AL23" s="202">
        <f t="shared" si="4"/>
        <v>0</v>
      </c>
      <c r="AM23" s="20">
        <f t="shared" si="5"/>
        <v>5.8E-4</v>
      </c>
      <c r="AN23" s="20">
        <f t="shared" si="16"/>
        <v>0</v>
      </c>
      <c r="AO23" s="20">
        <f t="shared" si="6"/>
        <v>-5.8E-4</v>
      </c>
      <c r="AQ23" s="20">
        <f t="shared" si="7"/>
        <v>0</v>
      </c>
      <c r="AS23" s="20">
        <f>+'Rates in detail'!U23</f>
        <v>0</v>
      </c>
      <c r="AT23" s="20"/>
      <c r="AU23" s="20"/>
      <c r="AV23" s="20">
        <f t="shared" si="8"/>
        <v>0</v>
      </c>
      <c r="AW23" s="20">
        <f t="shared" si="9"/>
        <v>0</v>
      </c>
      <c r="AX23" s="20">
        <f t="shared" si="17"/>
        <v>0</v>
      </c>
      <c r="AZ23" s="691">
        <v>0</v>
      </c>
      <c r="BA23" s="691">
        <v>0</v>
      </c>
      <c r="BB23" s="691">
        <v>0</v>
      </c>
      <c r="BC23" s="692">
        <v>0</v>
      </c>
      <c r="BE23" s="20">
        <f t="shared" si="18"/>
        <v>0</v>
      </c>
      <c r="BF23" s="20">
        <f t="shared" si="19"/>
        <v>0</v>
      </c>
    </row>
    <row r="24" spans="1:58" x14ac:dyDescent="0.25">
      <c r="A24" s="4">
        <f t="shared" si="0"/>
        <v>18</v>
      </c>
      <c r="B24" s="74"/>
      <c r="C24" s="22" t="s">
        <v>7</v>
      </c>
      <c r="D24" s="647">
        <v>0</v>
      </c>
      <c r="E24" s="647">
        <v>0</v>
      </c>
      <c r="F24" s="380">
        <f>+'Allocation equal ¢ per therm'!H24</f>
        <v>0</v>
      </c>
      <c r="G24" s="380">
        <f>+'Allocation equal ¢ per therm'!K24</f>
        <v>0</v>
      </c>
      <c r="H24" s="380">
        <f>+'Allocation equal ¢ per therm'!N24</f>
        <v>0</v>
      </c>
      <c r="I24" s="380">
        <f t="shared" si="10"/>
        <v>0</v>
      </c>
      <c r="J24" s="380">
        <f t="shared" si="11"/>
        <v>0</v>
      </c>
      <c r="K24" s="380">
        <f>+'Allocation = % of margin'!P24</f>
        <v>0</v>
      </c>
      <c r="L24" s="380">
        <f>+'Allocation = % of margin'!S24</f>
        <v>0</v>
      </c>
      <c r="M24" s="575">
        <v>0</v>
      </c>
      <c r="N24" s="575">
        <v>0</v>
      </c>
      <c r="O24" s="14"/>
      <c r="P24" s="14"/>
      <c r="Q24" s="14"/>
      <c r="R24" s="14"/>
      <c r="S24" s="14"/>
      <c r="T24" s="14"/>
      <c r="U24" s="14"/>
      <c r="V24" s="14">
        <f>+'Allocation = % of margin'!V24</f>
        <v>0</v>
      </c>
      <c r="W24" s="14">
        <f>+'Allocation = % of margin'!Y24</f>
        <v>-5.1000000000000004E-4</v>
      </c>
      <c r="X24" s="14"/>
      <c r="Y24" s="14"/>
      <c r="Z24" s="14"/>
      <c r="AA24" s="14"/>
      <c r="AB24" s="14"/>
      <c r="AC24" s="14"/>
      <c r="AD24" s="14">
        <f t="shared" si="12"/>
        <v>-5.1000000000000004E-4</v>
      </c>
      <c r="AE24" s="14">
        <f t="shared" si="13"/>
        <v>-5.1000000000000004E-4</v>
      </c>
      <c r="AF24" s="20"/>
      <c r="AG24" s="202">
        <f t="shared" si="14"/>
        <v>-5.1000000000000004E-4</v>
      </c>
      <c r="AH24" s="202">
        <f t="shared" si="1"/>
        <v>-5.1000000000000004E-4</v>
      </c>
      <c r="AI24" s="202">
        <f t="shared" si="20"/>
        <v>0</v>
      </c>
      <c r="AJ24" s="202">
        <f t="shared" si="21"/>
        <v>0</v>
      </c>
      <c r="AK24" s="677">
        <f t="shared" si="15"/>
        <v>0</v>
      </c>
      <c r="AL24" s="202">
        <f t="shared" si="4"/>
        <v>0</v>
      </c>
      <c r="AM24" s="20">
        <f t="shared" si="5"/>
        <v>5.1000000000000004E-4</v>
      </c>
      <c r="AN24" s="20">
        <f t="shared" si="16"/>
        <v>0</v>
      </c>
      <c r="AO24" s="20">
        <f t="shared" si="6"/>
        <v>-5.1000000000000004E-4</v>
      </c>
      <c r="AQ24" s="20">
        <f t="shared" si="7"/>
        <v>0</v>
      </c>
      <c r="AS24" s="20">
        <f>+'Rates in detail'!U24</f>
        <v>0</v>
      </c>
      <c r="AT24" s="20"/>
      <c r="AU24" s="20"/>
      <c r="AV24" s="20">
        <f t="shared" si="8"/>
        <v>0</v>
      </c>
      <c r="AW24" s="20">
        <f t="shared" si="9"/>
        <v>0</v>
      </c>
      <c r="AX24" s="20">
        <f t="shared" si="17"/>
        <v>0</v>
      </c>
      <c r="AZ24" s="691">
        <v>0</v>
      </c>
      <c r="BA24" s="691">
        <v>0</v>
      </c>
      <c r="BB24" s="691">
        <v>0</v>
      </c>
      <c r="BC24" s="692">
        <v>0</v>
      </c>
      <c r="BE24" s="20">
        <f t="shared" si="18"/>
        <v>0</v>
      </c>
      <c r="BF24" s="20">
        <f t="shared" si="19"/>
        <v>0</v>
      </c>
    </row>
    <row r="25" spans="1:58" x14ac:dyDescent="0.25">
      <c r="A25" s="4">
        <f t="shared" si="0"/>
        <v>19</v>
      </c>
      <c r="B25" s="69" t="s">
        <v>367</v>
      </c>
      <c r="C25" s="18" t="s">
        <v>6</v>
      </c>
      <c r="D25" s="649">
        <v>-3.5800000000000005E-2</v>
      </c>
      <c r="E25" s="649">
        <v>-3.9990000000000005E-2</v>
      </c>
      <c r="F25" s="402">
        <f>+'Allocation equal ¢ per therm'!H25</f>
        <v>-2.6290000000000001E-2</v>
      </c>
      <c r="G25" s="402">
        <f>+'Allocation equal ¢ per therm'!K25</f>
        <v>-2.6839999999999999E-2</v>
      </c>
      <c r="H25" s="402">
        <f>+'Allocation equal ¢ per therm'!N25</f>
        <v>0</v>
      </c>
      <c r="I25" s="402">
        <f t="shared" si="10"/>
        <v>-5.3129999999999997E-2</v>
      </c>
      <c r="J25" s="402">
        <f t="shared" si="11"/>
        <v>-1.3139999999999992E-2</v>
      </c>
      <c r="K25" s="402">
        <f>+'Allocation = % of margin'!P25</f>
        <v>0</v>
      </c>
      <c r="L25" s="402">
        <f>+'Allocation = % of margin'!S25</f>
        <v>3.5100000000000001E-3</v>
      </c>
      <c r="M25" s="564">
        <v>0</v>
      </c>
      <c r="N25" s="564">
        <v>0</v>
      </c>
      <c r="O25" s="20"/>
      <c r="P25" s="20"/>
      <c r="Q25" s="20"/>
      <c r="R25" s="20"/>
      <c r="S25" s="20"/>
      <c r="T25" s="20"/>
      <c r="U25" s="20"/>
      <c r="V25" s="20">
        <f>+'Allocation = % of margin'!V25</f>
        <v>8.1999999999999998E-4</v>
      </c>
      <c r="W25" s="20">
        <f>+'Allocation = % of margin'!Y25</f>
        <v>-5.1999999999999995E-4</v>
      </c>
      <c r="X25" s="20"/>
      <c r="Y25" s="20"/>
      <c r="Z25" s="20"/>
      <c r="AA25" s="20"/>
      <c r="AB25" s="20"/>
      <c r="AC25" s="20"/>
      <c r="AD25" s="20">
        <f t="shared" si="12"/>
        <v>-4.9319999999999996E-2</v>
      </c>
      <c r="AE25" s="20">
        <f>+AD25-D25</f>
        <v>-1.351999999999999E-2</v>
      </c>
      <c r="AF25" s="20"/>
      <c r="AG25" s="202">
        <f t="shared" ref="AG25:AG28" si="22">+AD25-K25</f>
        <v>-4.9319999999999996E-2</v>
      </c>
      <c r="AH25" s="202">
        <f t="shared" si="1"/>
        <v>3.81E-3</v>
      </c>
      <c r="AI25" s="202">
        <f t="shared" si="20"/>
        <v>-2.6290000000000001E-2</v>
      </c>
      <c r="AJ25" s="202">
        <f t="shared" si="21"/>
        <v>-2.6839999999999999E-2</v>
      </c>
      <c r="AK25" s="677">
        <f t="shared" si="15"/>
        <v>4.3300000000000005E-3</v>
      </c>
      <c r="AL25" s="202">
        <f t="shared" si="4"/>
        <v>-4.8799999999999996E-2</v>
      </c>
      <c r="AM25" s="20">
        <f t="shared" si="5"/>
        <v>5.1999999999999963E-4</v>
      </c>
      <c r="AN25" s="20">
        <f t="shared" si="16"/>
        <v>-5.3129999999999997E-2</v>
      </c>
      <c r="AO25" s="20">
        <f t="shared" si="6"/>
        <v>-5.1999999999999995E-4</v>
      </c>
      <c r="AQ25" s="20">
        <f t="shared" si="7"/>
        <v>0</v>
      </c>
      <c r="AS25" s="20">
        <f>+'Rates in detail'!U25</f>
        <v>0</v>
      </c>
      <c r="AT25" s="20"/>
      <c r="AU25" s="20"/>
      <c r="AV25" s="20">
        <f t="shared" si="8"/>
        <v>3.5100000000000001E-3</v>
      </c>
      <c r="AW25" s="20">
        <f t="shared" si="9"/>
        <v>8.1999999999999998E-4</v>
      </c>
      <c r="AX25" s="20">
        <f t="shared" si="17"/>
        <v>4.3300000000000005E-3</v>
      </c>
      <c r="AZ25" s="691">
        <v>0</v>
      </c>
      <c r="BA25" s="691">
        <v>4.1900000000000001E-3</v>
      </c>
      <c r="BB25" s="691">
        <v>-3.9990000000000005E-2</v>
      </c>
      <c r="BC25" s="692">
        <v>0</v>
      </c>
      <c r="BE25" s="20">
        <f t="shared" si="18"/>
        <v>4.3300000000000005E-3</v>
      </c>
      <c r="BF25" s="20">
        <f t="shared" si="19"/>
        <v>-4.8799999999999996E-2</v>
      </c>
    </row>
    <row r="26" spans="1:58" x14ac:dyDescent="0.25">
      <c r="A26" s="4">
        <f t="shared" si="0"/>
        <v>20</v>
      </c>
      <c r="B26" s="74"/>
      <c r="C26" s="22" t="s">
        <v>7</v>
      </c>
      <c r="D26" s="647">
        <v>-3.6290000000000003E-2</v>
      </c>
      <c r="E26" s="647">
        <v>-3.9990000000000005E-2</v>
      </c>
      <c r="F26" s="380">
        <f>+'Allocation equal ¢ per therm'!H26</f>
        <v>-2.6290000000000001E-2</v>
      </c>
      <c r="G26" s="380">
        <f>+'Allocation equal ¢ per therm'!K26</f>
        <v>-2.6839999999999999E-2</v>
      </c>
      <c r="H26" s="380">
        <f>+'Allocation equal ¢ per therm'!N26</f>
        <v>0</v>
      </c>
      <c r="I26" s="380">
        <f t="shared" si="10"/>
        <v>-5.3129999999999997E-2</v>
      </c>
      <c r="J26" s="380">
        <f t="shared" si="11"/>
        <v>-1.3139999999999992E-2</v>
      </c>
      <c r="K26" s="380">
        <f>+'Allocation = % of margin'!P26</f>
        <v>0</v>
      </c>
      <c r="L26" s="380">
        <f>+'Allocation = % of margin'!S26</f>
        <v>3.0899999999999999E-3</v>
      </c>
      <c r="M26" s="575">
        <v>0</v>
      </c>
      <c r="N26" s="575">
        <v>0</v>
      </c>
      <c r="O26" s="14"/>
      <c r="P26" s="14"/>
      <c r="Q26" s="14"/>
      <c r="R26" s="14"/>
      <c r="S26" s="14"/>
      <c r="T26" s="14"/>
      <c r="U26" s="14"/>
      <c r="V26" s="14">
        <f>+'Allocation = % of margin'!V26</f>
        <v>7.2000000000000005E-4</v>
      </c>
      <c r="W26" s="14">
        <f>+'Allocation = % of margin'!Y26</f>
        <v>-4.6000000000000001E-4</v>
      </c>
      <c r="X26" s="14"/>
      <c r="Y26" s="14"/>
      <c r="Z26" s="14"/>
      <c r="AA26" s="14"/>
      <c r="AB26" s="14"/>
      <c r="AC26" s="14"/>
      <c r="AD26" s="14">
        <f t="shared" si="12"/>
        <v>-4.9779999999999998E-2</v>
      </c>
      <c r="AE26" s="14">
        <f>+AD26-D26</f>
        <v>-1.3489999999999995E-2</v>
      </c>
      <c r="AF26" s="20"/>
      <c r="AG26" s="202">
        <f t="shared" si="22"/>
        <v>-4.9779999999999998E-2</v>
      </c>
      <c r="AH26" s="202">
        <f t="shared" si="1"/>
        <v>3.3499999999999997E-3</v>
      </c>
      <c r="AI26" s="202">
        <f t="shared" si="20"/>
        <v>-2.6290000000000001E-2</v>
      </c>
      <c r="AJ26" s="202">
        <f t="shared" si="21"/>
        <v>-2.6839999999999999E-2</v>
      </c>
      <c r="AK26" s="677">
        <f t="shared" si="15"/>
        <v>3.81E-3</v>
      </c>
      <c r="AL26" s="202">
        <f t="shared" si="4"/>
        <v>-4.9319999999999996E-2</v>
      </c>
      <c r="AM26" s="20">
        <f t="shared" si="5"/>
        <v>4.6000000000000034E-4</v>
      </c>
      <c r="AN26" s="20">
        <f t="shared" si="16"/>
        <v>-5.3129999999999997E-2</v>
      </c>
      <c r="AO26" s="20">
        <f t="shared" si="6"/>
        <v>-4.6000000000000001E-4</v>
      </c>
      <c r="AQ26" s="20">
        <f t="shared" si="7"/>
        <v>0</v>
      </c>
      <c r="AS26" s="20">
        <f>+'Rates in detail'!U26</f>
        <v>0</v>
      </c>
      <c r="AT26" s="20"/>
      <c r="AU26" s="20"/>
      <c r="AV26" s="20">
        <f t="shared" si="8"/>
        <v>3.0899999999999999E-3</v>
      </c>
      <c r="AW26" s="20">
        <f t="shared" si="9"/>
        <v>7.2000000000000005E-4</v>
      </c>
      <c r="AX26" s="20">
        <f t="shared" si="17"/>
        <v>3.81E-3</v>
      </c>
      <c r="AZ26" s="691">
        <v>0</v>
      </c>
      <c r="BA26" s="691">
        <v>3.7000000000000002E-3</v>
      </c>
      <c r="BB26" s="691">
        <v>-3.9990000000000005E-2</v>
      </c>
      <c r="BC26" s="692">
        <v>0</v>
      </c>
      <c r="BE26" s="20">
        <f t="shared" si="18"/>
        <v>3.81E-3</v>
      </c>
      <c r="BF26" s="20">
        <f t="shared" si="19"/>
        <v>-4.9319999999999996E-2</v>
      </c>
    </row>
    <row r="27" spans="1:58" x14ac:dyDescent="0.25">
      <c r="A27" s="4">
        <f t="shared" si="0"/>
        <v>21</v>
      </c>
      <c r="B27" s="69" t="s">
        <v>368</v>
      </c>
      <c r="C27" s="18" t="s">
        <v>6</v>
      </c>
      <c r="D27" s="649">
        <v>-1.2569999999999998E-2</v>
      </c>
      <c r="E27" s="649">
        <v>-1.6559999999999998E-2</v>
      </c>
      <c r="F27" s="402">
        <f>+'Allocation equal ¢ per therm'!H27</f>
        <v>-2.6290000000000001E-2</v>
      </c>
      <c r="G27" s="402">
        <f>+'Allocation equal ¢ per therm'!K27</f>
        <v>0</v>
      </c>
      <c r="H27" s="402">
        <f>+'Allocation equal ¢ per therm'!N27</f>
        <v>-9.3699999999999999E-3</v>
      </c>
      <c r="I27" s="402">
        <f t="shared" si="10"/>
        <v>-3.5659999999999997E-2</v>
      </c>
      <c r="J27" s="402">
        <f t="shared" si="11"/>
        <v>-1.9099999999999999E-2</v>
      </c>
      <c r="K27" s="402">
        <f>+'Allocation = % of margin'!P27</f>
        <v>0</v>
      </c>
      <c r="L27" s="402">
        <f>+'Allocation = % of margin'!S27</f>
        <v>3.4199999999999999E-3</v>
      </c>
      <c r="M27" s="564">
        <v>0</v>
      </c>
      <c r="N27" s="564">
        <v>0</v>
      </c>
      <c r="O27" s="20"/>
      <c r="P27" s="20"/>
      <c r="Q27" s="20"/>
      <c r="R27" s="20"/>
      <c r="S27" s="20"/>
      <c r="T27" s="20"/>
      <c r="U27" s="20"/>
      <c r="V27" s="20">
        <f>+'Allocation = % of margin'!V27</f>
        <v>8.0000000000000004E-4</v>
      </c>
      <c r="W27" s="20">
        <f>+'Allocation = % of margin'!Y27</f>
        <v>-5.2999999999999998E-4</v>
      </c>
      <c r="X27" s="20"/>
      <c r="Y27" s="20"/>
      <c r="Z27" s="20"/>
      <c r="AA27" s="20"/>
      <c r="AB27" s="20"/>
      <c r="AC27" s="20"/>
      <c r="AD27" s="20">
        <f t="shared" si="12"/>
        <v>-3.1969999999999998E-2</v>
      </c>
      <c r="AE27" s="20">
        <f t="shared" si="13"/>
        <v>-1.9400000000000001E-2</v>
      </c>
      <c r="AF27" s="20"/>
      <c r="AG27" s="202">
        <f t="shared" si="22"/>
        <v>-3.1969999999999998E-2</v>
      </c>
      <c r="AH27" s="202">
        <f t="shared" si="1"/>
        <v>3.6899999999999997E-3</v>
      </c>
      <c r="AI27" s="202">
        <f t="shared" si="20"/>
        <v>-2.6290000000000001E-2</v>
      </c>
      <c r="AJ27" s="202">
        <f t="shared" si="21"/>
        <v>-9.3699999999999999E-3</v>
      </c>
      <c r="AK27" s="677">
        <f t="shared" si="15"/>
        <v>4.2199999999999998E-3</v>
      </c>
      <c r="AL27" s="202">
        <f t="shared" si="4"/>
        <v>-3.1439999999999996E-2</v>
      </c>
      <c r="AM27" s="20">
        <f t="shared" si="5"/>
        <v>5.3000000000000009E-4</v>
      </c>
      <c r="AN27" s="20">
        <f t="shared" si="16"/>
        <v>-3.5659999999999997E-2</v>
      </c>
      <c r="AO27" s="20">
        <f t="shared" si="6"/>
        <v>-5.2999999999999998E-4</v>
      </c>
      <c r="AQ27" s="20">
        <f t="shared" si="7"/>
        <v>0</v>
      </c>
      <c r="AS27" s="20">
        <f>+'Rates in detail'!U27</f>
        <v>0</v>
      </c>
      <c r="AT27" s="20"/>
      <c r="AU27" s="20"/>
      <c r="AV27" s="20">
        <f t="shared" si="8"/>
        <v>3.4199999999999999E-3</v>
      </c>
      <c r="AW27" s="20">
        <f t="shared" si="9"/>
        <v>8.0000000000000004E-4</v>
      </c>
      <c r="AX27" s="20">
        <f t="shared" si="17"/>
        <v>4.2199999999999998E-3</v>
      </c>
      <c r="AZ27" s="691">
        <v>0</v>
      </c>
      <c r="BA27" s="691">
        <v>3.9900000000000005E-3</v>
      </c>
      <c r="BB27" s="691">
        <v>-1.6559999999999998E-2</v>
      </c>
      <c r="BC27" s="692">
        <v>0</v>
      </c>
      <c r="BE27" s="20">
        <f t="shared" si="18"/>
        <v>4.2199999999999998E-3</v>
      </c>
      <c r="BF27" s="20">
        <f t="shared" si="19"/>
        <v>-3.1439999999999996E-2</v>
      </c>
    </row>
    <row r="28" spans="1:58" x14ac:dyDescent="0.25">
      <c r="A28" s="4">
        <f t="shared" si="0"/>
        <v>22</v>
      </c>
      <c r="B28" s="74"/>
      <c r="C28" s="22" t="s">
        <v>7</v>
      </c>
      <c r="D28" s="647">
        <v>-1.3039999999999998E-2</v>
      </c>
      <c r="E28" s="647">
        <v>-1.6559999999999998E-2</v>
      </c>
      <c r="F28" s="380">
        <f>+'Allocation equal ¢ per therm'!H28</f>
        <v>-2.6290000000000001E-2</v>
      </c>
      <c r="G28" s="380">
        <f>+'Allocation equal ¢ per therm'!K28</f>
        <v>0</v>
      </c>
      <c r="H28" s="380">
        <f>+'Allocation equal ¢ per therm'!N28</f>
        <v>-9.3699999999999999E-3</v>
      </c>
      <c r="I28" s="380">
        <f t="shared" si="10"/>
        <v>-3.5659999999999997E-2</v>
      </c>
      <c r="J28" s="380">
        <f t="shared" si="11"/>
        <v>-1.9099999999999999E-2</v>
      </c>
      <c r="K28" s="380">
        <f>+'Allocation = % of margin'!P28</f>
        <v>0</v>
      </c>
      <c r="L28" s="380">
        <f>+'Allocation = % of margin'!S28</f>
        <v>3.0100000000000001E-3</v>
      </c>
      <c r="M28" s="575">
        <v>0</v>
      </c>
      <c r="N28" s="575">
        <v>0</v>
      </c>
      <c r="O28" s="14"/>
      <c r="P28" s="14"/>
      <c r="Q28" s="14"/>
      <c r="R28" s="14"/>
      <c r="S28" s="14"/>
      <c r="T28" s="14"/>
      <c r="U28" s="14"/>
      <c r="V28" s="14">
        <f>+'Allocation = % of margin'!V28</f>
        <v>7.1000000000000002E-4</v>
      </c>
      <c r="W28" s="14">
        <f>+'Allocation = % of margin'!Y28</f>
        <v>-4.6999999999999999E-4</v>
      </c>
      <c r="X28" s="14"/>
      <c r="Y28" s="14"/>
      <c r="Z28" s="14"/>
      <c r="AA28" s="14"/>
      <c r="AB28" s="14"/>
      <c r="AC28" s="14"/>
      <c r="AD28" s="14">
        <f t="shared" si="12"/>
        <v>-3.2409999999999994E-2</v>
      </c>
      <c r="AE28" s="14">
        <f t="shared" si="13"/>
        <v>-1.9369999999999998E-2</v>
      </c>
      <c r="AF28" s="20"/>
      <c r="AG28" s="202">
        <f t="shared" si="22"/>
        <v>-3.2409999999999994E-2</v>
      </c>
      <c r="AH28" s="202">
        <f t="shared" si="1"/>
        <v>3.2500000000000003E-3</v>
      </c>
      <c r="AI28" s="202">
        <f t="shared" si="20"/>
        <v>-2.6290000000000001E-2</v>
      </c>
      <c r="AJ28" s="202">
        <f t="shared" si="21"/>
        <v>-9.3699999999999999E-3</v>
      </c>
      <c r="AK28" s="677">
        <f t="shared" si="15"/>
        <v>3.7200000000000002E-3</v>
      </c>
      <c r="AL28" s="202">
        <f t="shared" si="4"/>
        <v>-3.1939999999999996E-2</v>
      </c>
      <c r="AM28" s="20">
        <f t="shared" si="5"/>
        <v>4.6999999999999993E-4</v>
      </c>
      <c r="AN28" s="20">
        <f t="shared" si="16"/>
        <v>-3.5659999999999997E-2</v>
      </c>
      <c r="AO28" s="20">
        <f t="shared" si="6"/>
        <v>-4.6999999999999999E-4</v>
      </c>
      <c r="AQ28" s="20">
        <f t="shared" si="7"/>
        <v>0</v>
      </c>
      <c r="AS28" s="20">
        <f>+'Rates in detail'!U28</f>
        <v>0</v>
      </c>
      <c r="AT28" s="20"/>
      <c r="AU28" s="20"/>
      <c r="AV28" s="20">
        <f t="shared" si="8"/>
        <v>3.0100000000000001E-3</v>
      </c>
      <c r="AW28" s="20">
        <f t="shared" si="9"/>
        <v>7.1000000000000002E-4</v>
      </c>
      <c r="AX28" s="20">
        <f t="shared" si="17"/>
        <v>3.7200000000000002E-3</v>
      </c>
      <c r="AZ28" s="691">
        <v>0</v>
      </c>
      <c r="BA28" s="691">
        <v>3.5200000000000001E-3</v>
      </c>
      <c r="BB28" s="691">
        <v>-1.6559999999999998E-2</v>
      </c>
      <c r="BC28" s="692">
        <v>0</v>
      </c>
      <c r="BE28" s="20">
        <f t="shared" si="18"/>
        <v>3.7200000000000002E-3</v>
      </c>
      <c r="BF28" s="20">
        <f t="shared" si="19"/>
        <v>-3.1939999999999996E-2</v>
      </c>
    </row>
    <row r="29" spans="1:58" x14ac:dyDescent="0.25">
      <c r="A29" s="4">
        <f t="shared" si="0"/>
        <v>23</v>
      </c>
      <c r="B29" s="69" t="s">
        <v>163</v>
      </c>
      <c r="C29" s="18" t="s">
        <v>6</v>
      </c>
      <c r="D29" s="649">
        <v>-2.3180000000000006E-2</v>
      </c>
      <c r="E29" s="649">
        <v>-3.9990000000000005E-2</v>
      </c>
      <c r="F29" s="402">
        <f>+'Allocation equal ¢ per therm'!H29</f>
        <v>-2.6290000000000001E-2</v>
      </c>
      <c r="G29" s="402">
        <f>+'Allocation equal ¢ per therm'!K29</f>
        <v>-2.6839999999999999E-2</v>
      </c>
      <c r="H29" s="402">
        <f>+'Allocation equal ¢ per therm'!N29</f>
        <v>0</v>
      </c>
      <c r="I29" s="402">
        <f t="shared" si="10"/>
        <v>-5.3129999999999997E-2</v>
      </c>
      <c r="J29" s="402">
        <f t="shared" si="11"/>
        <v>-1.3139999999999992E-2</v>
      </c>
      <c r="K29" s="402">
        <f>+'Allocation = % of margin'!P29</f>
        <v>1.3010000000000001E-2</v>
      </c>
      <c r="L29" s="402">
        <f>+'Allocation = % of margin'!S29</f>
        <v>1.9599999999999999E-3</v>
      </c>
      <c r="M29" s="564">
        <v>0</v>
      </c>
      <c r="N29" s="564">
        <v>0</v>
      </c>
      <c r="O29" s="20"/>
      <c r="P29" s="20"/>
      <c r="Q29" s="20"/>
      <c r="R29" s="20"/>
      <c r="S29" s="20"/>
      <c r="T29" s="20"/>
      <c r="U29" s="20"/>
      <c r="V29" s="20">
        <f>+'Allocation = % of margin'!V29</f>
        <v>4.6000000000000001E-4</v>
      </c>
      <c r="W29" s="20">
        <f>+'Allocation = % of margin'!Y29</f>
        <v>-2.9E-4</v>
      </c>
      <c r="X29" s="20"/>
      <c r="Y29" s="20"/>
      <c r="Z29" s="20"/>
      <c r="AA29" s="20"/>
      <c r="AB29" s="20"/>
      <c r="AC29" s="20"/>
      <c r="AD29" s="20">
        <f t="shared" si="12"/>
        <v>-3.7989999999999996E-2</v>
      </c>
      <c r="AE29" s="20">
        <f t="shared" si="13"/>
        <v>-1.480999999999999E-2</v>
      </c>
      <c r="AF29" s="20"/>
      <c r="AG29" s="202">
        <f t="shared" ref="AG29:AG46" si="23">+AD29-K29</f>
        <v>-5.0999999999999997E-2</v>
      </c>
      <c r="AH29" s="202">
        <f t="shared" si="1"/>
        <v>2.1299999999999999E-3</v>
      </c>
      <c r="AI29" s="202">
        <f t="shared" si="20"/>
        <v>-2.6290000000000001E-2</v>
      </c>
      <c r="AJ29" s="202">
        <f t="shared" si="21"/>
        <v>-2.6839999999999999E-2</v>
      </c>
      <c r="AK29" s="677">
        <f t="shared" si="15"/>
        <v>1.5430000000000001E-2</v>
      </c>
      <c r="AL29" s="202">
        <f t="shared" si="4"/>
        <v>-3.7699999999999997E-2</v>
      </c>
      <c r="AM29" s="20">
        <f t="shared" si="5"/>
        <v>2.9000000000000076E-4</v>
      </c>
      <c r="AN29" s="20">
        <f t="shared" si="16"/>
        <v>-5.3129999999999997E-2</v>
      </c>
      <c r="AO29" s="20">
        <f t="shared" si="6"/>
        <v>-2.9E-4</v>
      </c>
      <c r="AQ29" s="20">
        <f t="shared" si="7"/>
        <v>1.3010000000000001E-2</v>
      </c>
      <c r="AS29" s="20">
        <f>+'Rates in detail'!U29</f>
        <v>0</v>
      </c>
      <c r="AT29" s="20"/>
      <c r="AU29" s="20"/>
      <c r="AV29" s="20">
        <f t="shared" si="8"/>
        <v>1.9599999999999999E-3</v>
      </c>
      <c r="AW29" s="20">
        <f t="shared" si="9"/>
        <v>4.6000000000000001E-4</v>
      </c>
      <c r="AX29" s="20">
        <f t="shared" si="17"/>
        <v>2.4199999999999998E-3</v>
      </c>
      <c r="AZ29" s="709">
        <v>1.4E-2</v>
      </c>
      <c r="BA29" s="691">
        <v>2.81E-3</v>
      </c>
      <c r="BB29" s="691">
        <v>-3.9990000000000005E-2</v>
      </c>
      <c r="BC29" s="692">
        <v>0</v>
      </c>
      <c r="BE29" s="20">
        <f t="shared" si="18"/>
        <v>2.4200000000000003E-3</v>
      </c>
      <c r="BF29" s="20">
        <f t="shared" si="19"/>
        <v>-5.0709999999999998E-2</v>
      </c>
    </row>
    <row r="30" spans="1:58" x14ac:dyDescent="0.25">
      <c r="A30" s="4">
        <f t="shared" si="0"/>
        <v>24</v>
      </c>
      <c r="B30" s="69"/>
      <c r="C30" s="18" t="s">
        <v>7</v>
      </c>
      <c r="D30" s="649">
        <v>-2.4940000000000004E-2</v>
      </c>
      <c r="E30" s="649">
        <v>-3.9990000000000005E-2</v>
      </c>
      <c r="F30" s="402">
        <f>+'Allocation equal ¢ per therm'!H30</f>
        <v>-2.6290000000000001E-2</v>
      </c>
      <c r="G30" s="402">
        <f>+'Allocation equal ¢ per therm'!K30</f>
        <v>-2.6839999999999999E-2</v>
      </c>
      <c r="H30" s="402">
        <f>+'Allocation equal ¢ per therm'!N30</f>
        <v>0</v>
      </c>
      <c r="I30" s="402">
        <f t="shared" si="10"/>
        <v>-5.3129999999999997E-2</v>
      </c>
      <c r="J30" s="402">
        <f t="shared" si="11"/>
        <v>-1.3139999999999992E-2</v>
      </c>
      <c r="K30" s="402">
        <f>+'Allocation = % of margin'!P30</f>
        <v>1.1650000000000001E-2</v>
      </c>
      <c r="L30" s="402">
        <f>+'Allocation = % of margin'!S30</f>
        <v>1.75E-3</v>
      </c>
      <c r="M30" s="564">
        <v>0</v>
      </c>
      <c r="N30" s="564">
        <v>0</v>
      </c>
      <c r="O30" s="20"/>
      <c r="P30" s="20"/>
      <c r="Q30" s="20"/>
      <c r="R30" s="20"/>
      <c r="S30" s="20"/>
      <c r="T30" s="20"/>
      <c r="U30" s="20"/>
      <c r="V30" s="20">
        <f>+'Allocation = % of margin'!V30</f>
        <v>4.0999999999999999E-4</v>
      </c>
      <c r="W30" s="20">
        <f>+'Allocation = % of margin'!Y30</f>
        <v>-2.5999999999999998E-4</v>
      </c>
      <c r="X30" s="20"/>
      <c r="Y30" s="20"/>
      <c r="Z30" s="20"/>
      <c r="AA30" s="20"/>
      <c r="AB30" s="20"/>
      <c r="AC30" s="20"/>
      <c r="AD30" s="20">
        <f t="shared" si="12"/>
        <v>-3.9579999999999997E-2</v>
      </c>
      <c r="AE30" s="20">
        <f t="shared" si="13"/>
        <v>-1.4639999999999993E-2</v>
      </c>
      <c r="AF30" s="20"/>
      <c r="AG30" s="202">
        <f t="shared" si="23"/>
        <v>-5.1229999999999998E-2</v>
      </c>
      <c r="AH30" s="202">
        <f t="shared" si="1"/>
        <v>1.9E-3</v>
      </c>
      <c r="AI30" s="202">
        <f t="shared" si="20"/>
        <v>-2.6290000000000001E-2</v>
      </c>
      <c r="AJ30" s="202">
        <f t="shared" si="21"/>
        <v>-2.6839999999999999E-2</v>
      </c>
      <c r="AK30" s="677">
        <f t="shared" si="15"/>
        <v>1.3810000000000001E-2</v>
      </c>
      <c r="AL30" s="202">
        <f t="shared" si="4"/>
        <v>-3.9319999999999994E-2</v>
      </c>
      <c r="AM30" s="20">
        <f t="shared" si="5"/>
        <v>2.6000000000000025E-4</v>
      </c>
      <c r="AN30" s="20">
        <f t="shared" si="16"/>
        <v>-5.3129999999999997E-2</v>
      </c>
      <c r="AO30" s="20">
        <f t="shared" si="6"/>
        <v>-2.5999999999999998E-4</v>
      </c>
      <c r="AQ30" s="20">
        <f t="shared" si="7"/>
        <v>1.1650000000000001E-2</v>
      </c>
      <c r="AS30" s="20">
        <f>+'Rates in detail'!U30</f>
        <v>0</v>
      </c>
      <c r="AT30" s="20"/>
      <c r="AU30" s="20"/>
      <c r="AV30" s="20">
        <f t="shared" si="8"/>
        <v>1.75E-3</v>
      </c>
      <c r="AW30" s="20">
        <f t="shared" si="9"/>
        <v>4.0999999999999999E-4</v>
      </c>
      <c r="AX30" s="20">
        <f t="shared" si="17"/>
        <v>2.16E-3</v>
      </c>
      <c r="AZ30" s="691">
        <v>1.2540000000000001E-2</v>
      </c>
      <c r="BA30" s="691">
        <v>2.5100000000000001E-3</v>
      </c>
      <c r="BB30" s="691">
        <v>-3.9990000000000005E-2</v>
      </c>
      <c r="BC30" s="692">
        <v>0</v>
      </c>
      <c r="BE30" s="20">
        <f t="shared" si="18"/>
        <v>2.1600000000000005E-3</v>
      </c>
      <c r="BF30" s="20">
        <f t="shared" si="19"/>
        <v>-5.0969999999999994E-2</v>
      </c>
    </row>
    <row r="31" spans="1:58" x14ac:dyDescent="0.25">
      <c r="A31" s="4">
        <f t="shared" si="0"/>
        <v>25</v>
      </c>
      <c r="B31" s="69"/>
      <c r="C31" s="18" t="s">
        <v>8</v>
      </c>
      <c r="D31" s="649">
        <v>-2.8450000000000003E-2</v>
      </c>
      <c r="E31" s="649">
        <v>-3.9990000000000005E-2</v>
      </c>
      <c r="F31" s="402">
        <f>+'Allocation equal ¢ per therm'!H31</f>
        <v>-2.6290000000000001E-2</v>
      </c>
      <c r="G31" s="402">
        <f>+'Allocation equal ¢ per therm'!K31</f>
        <v>-2.6839999999999999E-2</v>
      </c>
      <c r="H31" s="402">
        <f>+'Allocation equal ¢ per therm'!N31</f>
        <v>0</v>
      </c>
      <c r="I31" s="402">
        <f t="shared" si="10"/>
        <v>-5.3129999999999997E-2</v>
      </c>
      <c r="J31" s="402">
        <f t="shared" si="11"/>
        <v>-1.3139999999999992E-2</v>
      </c>
      <c r="K31" s="402">
        <f>+'Allocation = % of margin'!P31</f>
        <v>8.9300000000000004E-3</v>
      </c>
      <c r="L31" s="402">
        <f>+'Allocation = % of margin'!S31</f>
        <v>1.3500000000000001E-3</v>
      </c>
      <c r="M31" s="564">
        <v>0</v>
      </c>
      <c r="N31" s="564">
        <v>0</v>
      </c>
      <c r="O31" s="20"/>
      <c r="P31" s="20"/>
      <c r="Q31" s="20"/>
      <c r="R31" s="20"/>
      <c r="S31" s="20"/>
      <c r="T31" s="20"/>
      <c r="U31" s="20"/>
      <c r="V31" s="20">
        <f>+'Allocation = % of margin'!V31</f>
        <v>3.2000000000000003E-4</v>
      </c>
      <c r="W31" s="20">
        <f>+'Allocation = % of margin'!Y31</f>
        <v>-2.0000000000000001E-4</v>
      </c>
      <c r="X31" s="20"/>
      <c r="Y31" s="20"/>
      <c r="Z31" s="20"/>
      <c r="AA31" s="20"/>
      <c r="AB31" s="20"/>
      <c r="AC31" s="20"/>
      <c r="AD31" s="20">
        <f t="shared" si="12"/>
        <v>-4.2729999999999997E-2</v>
      </c>
      <c r="AE31" s="20">
        <f t="shared" si="13"/>
        <v>-1.4279999999999994E-2</v>
      </c>
      <c r="AF31" s="20"/>
      <c r="AG31" s="202">
        <f t="shared" si="23"/>
        <v>-5.1659999999999998E-2</v>
      </c>
      <c r="AH31" s="202">
        <f t="shared" si="1"/>
        <v>1.4700000000000002E-3</v>
      </c>
      <c r="AI31" s="202">
        <f t="shared" si="20"/>
        <v>-2.6290000000000001E-2</v>
      </c>
      <c r="AJ31" s="202">
        <f t="shared" si="21"/>
        <v>-2.6839999999999999E-2</v>
      </c>
      <c r="AK31" s="677">
        <f t="shared" si="15"/>
        <v>1.0600000000000002E-2</v>
      </c>
      <c r="AL31" s="202">
        <f t="shared" si="4"/>
        <v>-4.2529999999999998E-2</v>
      </c>
      <c r="AM31" s="20">
        <f t="shared" si="5"/>
        <v>2.0000000000000183E-4</v>
      </c>
      <c r="AN31" s="20">
        <f t="shared" si="16"/>
        <v>-5.3129999999999997E-2</v>
      </c>
      <c r="AO31" s="20">
        <f t="shared" si="6"/>
        <v>-2.0000000000000001E-4</v>
      </c>
      <c r="AQ31" s="20">
        <f t="shared" si="7"/>
        <v>8.9300000000000004E-3</v>
      </c>
      <c r="AS31" s="20">
        <f>+'Rates in detail'!U31</f>
        <v>0</v>
      </c>
      <c r="AT31" s="20"/>
      <c r="AU31" s="20"/>
      <c r="AV31" s="20">
        <f t="shared" si="8"/>
        <v>1.3500000000000001E-3</v>
      </c>
      <c r="AW31" s="20">
        <f t="shared" si="9"/>
        <v>3.2000000000000003E-4</v>
      </c>
      <c r="AX31" s="20">
        <f t="shared" si="17"/>
        <v>1.67E-3</v>
      </c>
      <c r="AZ31" s="691">
        <v>9.6100000000000005E-3</v>
      </c>
      <c r="BA31" s="691">
        <v>1.9299999999999999E-3</v>
      </c>
      <c r="BB31" s="691">
        <v>-3.9990000000000005E-2</v>
      </c>
      <c r="BC31" s="692">
        <v>0</v>
      </c>
      <c r="BE31" s="20">
        <f t="shared" si="18"/>
        <v>1.6700000000000013E-3</v>
      </c>
      <c r="BF31" s="20">
        <f t="shared" si="19"/>
        <v>-5.1459999999999999E-2</v>
      </c>
    </row>
    <row r="32" spans="1:58" x14ac:dyDescent="0.25">
      <c r="A32" s="4">
        <f t="shared" si="0"/>
        <v>26</v>
      </c>
      <c r="B32" s="69"/>
      <c r="C32" s="18" t="s">
        <v>9</v>
      </c>
      <c r="D32" s="649">
        <v>-3.0760000000000003E-2</v>
      </c>
      <c r="E32" s="649">
        <v>-3.9990000000000005E-2</v>
      </c>
      <c r="F32" s="402">
        <f>+'Allocation equal ¢ per therm'!H32</f>
        <v>-2.6290000000000001E-2</v>
      </c>
      <c r="G32" s="402">
        <f>+'Allocation equal ¢ per therm'!K32</f>
        <v>-2.6839999999999999E-2</v>
      </c>
      <c r="H32" s="402">
        <f>+'Allocation equal ¢ per therm'!N32</f>
        <v>0</v>
      </c>
      <c r="I32" s="402">
        <f t="shared" si="10"/>
        <v>-5.3129999999999997E-2</v>
      </c>
      <c r="J32" s="402">
        <f t="shared" si="11"/>
        <v>-1.3139999999999992E-2</v>
      </c>
      <c r="K32" s="402">
        <f>+'Allocation = % of margin'!P32</f>
        <v>7.1500000000000001E-3</v>
      </c>
      <c r="L32" s="402">
        <f>+'Allocation = % of margin'!S32</f>
        <v>1.08E-3</v>
      </c>
      <c r="M32" s="564">
        <v>0</v>
      </c>
      <c r="N32" s="564">
        <v>0</v>
      </c>
      <c r="O32" s="20"/>
      <c r="P32" s="20"/>
      <c r="Q32" s="20"/>
      <c r="R32" s="20"/>
      <c r="S32" s="20"/>
      <c r="T32" s="20"/>
      <c r="U32" s="20"/>
      <c r="V32" s="20">
        <f>+'Allocation = % of margin'!V32</f>
        <v>2.5000000000000001E-4</v>
      </c>
      <c r="W32" s="20">
        <f>+'Allocation = % of margin'!Y32</f>
        <v>-1.6000000000000001E-4</v>
      </c>
      <c r="X32" s="20"/>
      <c r="Y32" s="20"/>
      <c r="Z32" s="20"/>
      <c r="AA32" s="20"/>
      <c r="AB32" s="20"/>
      <c r="AC32" s="20"/>
      <c r="AD32" s="20">
        <f t="shared" si="12"/>
        <v>-4.4809999999999996E-2</v>
      </c>
      <c r="AE32" s="20">
        <f t="shared" si="13"/>
        <v>-1.4049999999999993E-2</v>
      </c>
      <c r="AF32" s="20"/>
      <c r="AG32" s="202">
        <f t="shared" si="23"/>
        <v>-5.1959999999999992E-2</v>
      </c>
      <c r="AH32" s="202">
        <f t="shared" si="1"/>
        <v>1.17E-3</v>
      </c>
      <c r="AI32" s="202">
        <f t="shared" si="20"/>
        <v>-2.6290000000000001E-2</v>
      </c>
      <c r="AJ32" s="202">
        <f t="shared" si="21"/>
        <v>-2.6839999999999999E-2</v>
      </c>
      <c r="AK32" s="677">
        <f t="shared" si="15"/>
        <v>8.4799999999999997E-3</v>
      </c>
      <c r="AL32" s="202">
        <f t="shared" si="4"/>
        <v>-4.4649999999999995E-2</v>
      </c>
      <c r="AM32" s="20">
        <f t="shared" si="5"/>
        <v>1.5999999999999999E-4</v>
      </c>
      <c r="AN32" s="20">
        <f t="shared" si="16"/>
        <v>-5.3129999999999997E-2</v>
      </c>
      <c r="AO32" s="20">
        <f t="shared" si="6"/>
        <v>-1.6000000000000001E-4</v>
      </c>
      <c r="AQ32" s="20">
        <f t="shared" si="7"/>
        <v>7.1500000000000001E-3</v>
      </c>
      <c r="AS32" s="20">
        <f>+'Rates in detail'!U32</f>
        <v>0</v>
      </c>
      <c r="AT32" s="20"/>
      <c r="AU32" s="20"/>
      <c r="AV32" s="20">
        <f t="shared" si="8"/>
        <v>1.08E-3</v>
      </c>
      <c r="AW32" s="20">
        <f t="shared" si="9"/>
        <v>2.5000000000000001E-4</v>
      </c>
      <c r="AX32" s="20">
        <f t="shared" si="17"/>
        <v>1.33E-3</v>
      </c>
      <c r="AZ32" s="691">
        <v>7.6899999999999998E-3</v>
      </c>
      <c r="BA32" s="691">
        <v>1.5400000000000001E-3</v>
      </c>
      <c r="BB32" s="691">
        <v>-3.9990000000000005E-2</v>
      </c>
      <c r="BC32" s="692">
        <v>0</v>
      </c>
      <c r="BE32" s="20">
        <f t="shared" si="18"/>
        <v>1.3299999999999996E-3</v>
      </c>
      <c r="BF32" s="20">
        <f t="shared" si="19"/>
        <v>-5.1799999999999999E-2</v>
      </c>
    </row>
    <row r="33" spans="1:58" x14ac:dyDescent="0.25">
      <c r="A33" s="4">
        <f t="shared" si="0"/>
        <v>27</v>
      </c>
      <c r="B33" s="69"/>
      <c r="C33" s="18" t="s">
        <v>10</v>
      </c>
      <c r="D33" s="649">
        <v>-3.3830000000000006E-2</v>
      </c>
      <c r="E33" s="649">
        <v>-3.9990000000000005E-2</v>
      </c>
      <c r="F33" s="402">
        <f>+'Allocation equal ¢ per therm'!H33</f>
        <v>-2.6290000000000001E-2</v>
      </c>
      <c r="G33" s="402">
        <f>+'Allocation equal ¢ per therm'!K33</f>
        <v>-2.6839999999999999E-2</v>
      </c>
      <c r="H33" s="402">
        <f>+'Allocation equal ¢ per therm'!N33</f>
        <v>0</v>
      </c>
      <c r="I33" s="402">
        <f t="shared" si="10"/>
        <v>-5.3129999999999997E-2</v>
      </c>
      <c r="J33" s="402">
        <f t="shared" si="11"/>
        <v>-1.3139999999999992E-2</v>
      </c>
      <c r="K33" s="402">
        <f>+'Allocation = % of margin'!P33</f>
        <v>4.7600000000000003E-3</v>
      </c>
      <c r="L33" s="402">
        <f>+'Allocation = % of margin'!S33</f>
        <v>7.2000000000000005E-4</v>
      </c>
      <c r="M33" s="564">
        <v>0</v>
      </c>
      <c r="N33" s="564">
        <v>0</v>
      </c>
      <c r="O33" s="20"/>
      <c r="P33" s="20"/>
      <c r="Q33" s="20"/>
      <c r="R33" s="20"/>
      <c r="S33" s="20"/>
      <c r="T33" s="20"/>
      <c r="U33" s="20"/>
      <c r="V33" s="20">
        <f>+'Allocation = % of margin'!V33</f>
        <v>1.7000000000000001E-4</v>
      </c>
      <c r="W33" s="20">
        <f>+'Allocation = % of margin'!Y33</f>
        <v>-1.1E-4</v>
      </c>
      <c r="X33" s="20"/>
      <c r="Y33" s="20"/>
      <c r="Z33" s="20"/>
      <c r="AA33" s="20"/>
      <c r="AB33" s="20"/>
      <c r="AC33" s="20"/>
      <c r="AD33" s="20">
        <f t="shared" si="12"/>
        <v>-4.7589999999999993E-2</v>
      </c>
      <c r="AE33" s="20">
        <f t="shared" si="13"/>
        <v>-1.3759999999999988E-2</v>
      </c>
      <c r="AF33" s="20"/>
      <c r="AG33" s="202">
        <f t="shared" si="23"/>
        <v>-5.2349999999999994E-2</v>
      </c>
      <c r="AH33" s="202">
        <f t="shared" si="1"/>
        <v>7.8000000000000009E-4</v>
      </c>
      <c r="AI33" s="202">
        <f t="shared" si="20"/>
        <v>-2.6290000000000001E-2</v>
      </c>
      <c r="AJ33" s="202">
        <f t="shared" si="21"/>
        <v>-2.6839999999999999E-2</v>
      </c>
      <c r="AK33" s="677">
        <f t="shared" si="15"/>
        <v>5.6500000000000005E-3</v>
      </c>
      <c r="AL33" s="202">
        <f t="shared" si="4"/>
        <v>-4.7479999999999994E-2</v>
      </c>
      <c r="AM33" s="20">
        <f t="shared" si="5"/>
        <v>1.0999999999999996E-4</v>
      </c>
      <c r="AN33" s="20">
        <f t="shared" si="16"/>
        <v>-5.3129999999999997E-2</v>
      </c>
      <c r="AO33" s="20">
        <f t="shared" si="6"/>
        <v>-1.1E-4</v>
      </c>
      <c r="AQ33" s="20">
        <f t="shared" si="7"/>
        <v>4.7600000000000003E-3</v>
      </c>
      <c r="AS33" s="20">
        <f>+'Rates in detail'!U33</f>
        <v>0</v>
      </c>
      <c r="AT33" s="20"/>
      <c r="AU33" s="20"/>
      <c r="AV33" s="20">
        <f t="shared" si="8"/>
        <v>7.2000000000000005E-4</v>
      </c>
      <c r="AW33" s="20">
        <f t="shared" si="9"/>
        <v>1.7000000000000001E-4</v>
      </c>
      <c r="AX33" s="20">
        <f t="shared" si="17"/>
        <v>8.9000000000000006E-4</v>
      </c>
      <c r="AZ33" s="691">
        <v>5.13E-3</v>
      </c>
      <c r="BA33" s="691">
        <v>1.0300000000000001E-3</v>
      </c>
      <c r="BB33" s="691">
        <v>-3.9990000000000005E-2</v>
      </c>
      <c r="BC33" s="692">
        <v>0</v>
      </c>
      <c r="BE33" s="20">
        <f t="shared" si="18"/>
        <v>8.9000000000000017E-4</v>
      </c>
      <c r="BF33" s="20">
        <f t="shared" si="19"/>
        <v>-5.2239999999999995E-2</v>
      </c>
    </row>
    <row r="34" spans="1:58" x14ac:dyDescent="0.25">
      <c r="A34" s="4">
        <f t="shared" si="0"/>
        <v>28</v>
      </c>
      <c r="B34" s="74"/>
      <c r="C34" s="22" t="s">
        <v>11</v>
      </c>
      <c r="D34" s="647">
        <v>-3.7680000000000005E-2</v>
      </c>
      <c r="E34" s="647">
        <v>-3.9990000000000005E-2</v>
      </c>
      <c r="F34" s="380">
        <f>+'Allocation equal ¢ per therm'!H34</f>
        <v>-2.6290000000000001E-2</v>
      </c>
      <c r="G34" s="380">
        <f>+'Allocation equal ¢ per therm'!K34</f>
        <v>-2.6839999999999999E-2</v>
      </c>
      <c r="H34" s="380">
        <f>+'Allocation equal ¢ per therm'!N34</f>
        <v>0</v>
      </c>
      <c r="I34" s="380">
        <f t="shared" si="10"/>
        <v>-5.3129999999999997E-2</v>
      </c>
      <c r="J34" s="380">
        <f t="shared" si="11"/>
        <v>-1.3139999999999992E-2</v>
      </c>
      <c r="K34" s="380">
        <f>+'Allocation = % of margin'!P34</f>
        <v>1.7899999999999999E-3</v>
      </c>
      <c r="L34" s="380">
        <f>+'Allocation = % of margin'!S34</f>
        <v>2.7E-4</v>
      </c>
      <c r="M34" s="575">
        <v>0</v>
      </c>
      <c r="N34" s="575">
        <v>0</v>
      </c>
      <c r="O34" s="14"/>
      <c r="P34" s="14"/>
      <c r="Q34" s="14"/>
      <c r="R34" s="14"/>
      <c r="S34" s="14"/>
      <c r="T34" s="14"/>
      <c r="U34" s="14"/>
      <c r="V34" s="14">
        <f>+'Allocation = % of margin'!V34</f>
        <v>6.0000000000000002E-5</v>
      </c>
      <c r="W34" s="14">
        <f>+'Allocation = % of margin'!Y34</f>
        <v>-4.0000000000000003E-5</v>
      </c>
      <c r="X34" s="14"/>
      <c r="Y34" s="14"/>
      <c r="Z34" s="14"/>
      <c r="AA34" s="14"/>
      <c r="AB34" s="14"/>
      <c r="AC34" s="14"/>
      <c r="AD34" s="14">
        <f t="shared" si="12"/>
        <v>-5.1049999999999998E-2</v>
      </c>
      <c r="AE34" s="14">
        <f t="shared" si="13"/>
        <v>-1.3369999999999993E-2</v>
      </c>
      <c r="AF34" s="20"/>
      <c r="AG34" s="202">
        <f t="shared" si="23"/>
        <v>-5.2839999999999998E-2</v>
      </c>
      <c r="AH34" s="202">
        <f t="shared" si="1"/>
        <v>2.9E-4</v>
      </c>
      <c r="AI34" s="202">
        <f t="shared" si="20"/>
        <v>-2.6290000000000001E-2</v>
      </c>
      <c r="AJ34" s="202">
        <f t="shared" si="21"/>
        <v>-2.6839999999999999E-2</v>
      </c>
      <c r="AK34" s="677">
        <f t="shared" si="15"/>
        <v>2.1199999999999999E-3</v>
      </c>
      <c r="AL34" s="202">
        <f t="shared" si="4"/>
        <v>-5.101E-2</v>
      </c>
      <c r="AM34" s="20">
        <f t="shared" si="5"/>
        <v>4.0000000000000105E-5</v>
      </c>
      <c r="AN34" s="20">
        <f t="shared" si="16"/>
        <v>-5.3129999999999997E-2</v>
      </c>
      <c r="AO34" s="20">
        <f t="shared" si="6"/>
        <v>-4.0000000000000003E-5</v>
      </c>
      <c r="AQ34" s="20">
        <f t="shared" si="7"/>
        <v>1.7899999999999999E-3</v>
      </c>
      <c r="AS34" s="20">
        <f>+'Rates in detail'!U34</f>
        <v>0</v>
      </c>
      <c r="AT34" s="20"/>
      <c r="AU34" s="20"/>
      <c r="AV34" s="20">
        <f t="shared" si="8"/>
        <v>2.7E-4</v>
      </c>
      <c r="AW34" s="20">
        <f t="shared" si="9"/>
        <v>6.0000000000000002E-5</v>
      </c>
      <c r="AX34" s="20">
        <f t="shared" si="17"/>
        <v>3.3E-4</v>
      </c>
      <c r="AZ34" s="691">
        <v>1.92E-3</v>
      </c>
      <c r="BA34" s="691">
        <v>3.8999999999999999E-4</v>
      </c>
      <c r="BB34" s="691">
        <v>-3.9990000000000005E-2</v>
      </c>
      <c r="BC34" s="692">
        <v>0</v>
      </c>
      <c r="BE34" s="20">
        <f t="shared" si="18"/>
        <v>3.3E-4</v>
      </c>
      <c r="BF34" s="20">
        <f t="shared" si="19"/>
        <v>-5.28E-2</v>
      </c>
    </row>
    <row r="35" spans="1:58" x14ac:dyDescent="0.25">
      <c r="A35" s="4">
        <f t="shared" si="0"/>
        <v>29</v>
      </c>
      <c r="B35" s="69" t="s">
        <v>164</v>
      </c>
      <c r="C35" s="18" t="s">
        <v>6</v>
      </c>
      <c r="D35" s="649">
        <v>-3.7480000000000006E-2</v>
      </c>
      <c r="E35" s="649">
        <v>-3.9990000000000005E-2</v>
      </c>
      <c r="F35" s="402">
        <f>+'Allocation equal ¢ per therm'!H35</f>
        <v>-2.6290000000000001E-2</v>
      </c>
      <c r="G35" s="402">
        <f>+'Allocation equal ¢ per therm'!K35</f>
        <v>-2.6839999999999999E-2</v>
      </c>
      <c r="H35" s="402">
        <f>+'Allocation equal ¢ per therm'!N35</f>
        <v>0</v>
      </c>
      <c r="I35" s="402">
        <f t="shared" si="10"/>
        <v>-5.3129999999999997E-2</v>
      </c>
      <c r="J35" s="402">
        <f t="shared" si="11"/>
        <v>-1.3139999999999992E-2</v>
      </c>
      <c r="K35" s="402">
        <f>+'Allocation = % of margin'!P35</f>
        <v>0</v>
      </c>
      <c r="L35" s="402">
        <f>+'Allocation = % of margin'!S35</f>
        <v>2.0799999999999998E-3</v>
      </c>
      <c r="M35" s="564">
        <v>0</v>
      </c>
      <c r="N35" s="564">
        <v>0</v>
      </c>
      <c r="O35" s="20"/>
      <c r="P35" s="20"/>
      <c r="Q35" s="20"/>
      <c r="R35" s="20"/>
      <c r="S35" s="20"/>
      <c r="T35" s="20"/>
      <c r="U35" s="20"/>
      <c r="V35" s="20">
        <f>+'Allocation = % of margin'!V35</f>
        <v>4.8999999999999998E-4</v>
      </c>
      <c r="W35" s="20">
        <f>+'Allocation = % of margin'!Y35</f>
        <v>-3.1E-4</v>
      </c>
      <c r="X35" s="20"/>
      <c r="Y35" s="20"/>
      <c r="Z35" s="20"/>
      <c r="AA35" s="20"/>
      <c r="AB35" s="20"/>
      <c r="AC35" s="20"/>
      <c r="AD35" s="20">
        <f t="shared" si="12"/>
        <v>-5.0869999999999999E-2</v>
      </c>
      <c r="AE35" s="20">
        <f t="shared" si="13"/>
        <v>-1.3389999999999992E-2</v>
      </c>
      <c r="AF35" s="20"/>
      <c r="AG35" s="202">
        <f t="shared" si="23"/>
        <v>-5.0869999999999999E-2</v>
      </c>
      <c r="AH35" s="202">
        <f t="shared" si="1"/>
        <v>2.2599999999999999E-3</v>
      </c>
      <c r="AI35" s="202">
        <f t="shared" si="20"/>
        <v>-2.6290000000000001E-2</v>
      </c>
      <c r="AJ35" s="202">
        <f t="shared" si="21"/>
        <v>-2.6839999999999999E-2</v>
      </c>
      <c r="AK35" s="677">
        <f t="shared" si="15"/>
        <v>2.5699999999999998E-3</v>
      </c>
      <c r="AL35" s="202">
        <f t="shared" si="4"/>
        <v>-5.0559999999999994E-2</v>
      </c>
      <c r="AM35" s="20">
        <f t="shared" si="5"/>
        <v>3.0999999999999995E-4</v>
      </c>
      <c r="AN35" s="20">
        <f t="shared" si="16"/>
        <v>-5.3129999999999997E-2</v>
      </c>
      <c r="AO35" s="20">
        <f t="shared" si="6"/>
        <v>-3.1E-4</v>
      </c>
      <c r="AQ35" s="20">
        <f t="shared" si="7"/>
        <v>0</v>
      </c>
      <c r="AS35" s="20">
        <f>+'Rates in detail'!U35</f>
        <v>0</v>
      </c>
      <c r="AT35" s="20"/>
      <c r="AU35" s="20"/>
      <c r="AV35" s="20">
        <f t="shared" si="8"/>
        <v>2.0799999999999998E-3</v>
      </c>
      <c r="AW35" s="20">
        <f t="shared" si="9"/>
        <v>4.8999999999999998E-4</v>
      </c>
      <c r="AX35" s="20">
        <f t="shared" si="17"/>
        <v>2.5699999999999998E-3</v>
      </c>
      <c r="AZ35" s="691">
        <v>0</v>
      </c>
      <c r="BA35" s="691">
        <v>2.5100000000000001E-3</v>
      </c>
      <c r="BB35" s="691">
        <v>-3.9990000000000005E-2</v>
      </c>
      <c r="BC35" s="692">
        <v>0</v>
      </c>
      <c r="BE35" s="20">
        <f t="shared" si="18"/>
        <v>2.5699999999999998E-3</v>
      </c>
      <c r="BF35" s="20">
        <f t="shared" si="19"/>
        <v>-5.0559999999999994E-2</v>
      </c>
    </row>
    <row r="36" spans="1:58" x14ac:dyDescent="0.25">
      <c r="A36" s="4">
        <f t="shared" si="0"/>
        <v>30</v>
      </c>
      <c r="B36" s="69"/>
      <c r="C36" s="18" t="s">
        <v>7</v>
      </c>
      <c r="D36" s="649">
        <v>-3.7750000000000006E-2</v>
      </c>
      <c r="E36" s="649">
        <v>-3.9990000000000005E-2</v>
      </c>
      <c r="F36" s="402">
        <f>+'Allocation equal ¢ per therm'!H36</f>
        <v>-2.6290000000000001E-2</v>
      </c>
      <c r="G36" s="402">
        <f>+'Allocation equal ¢ per therm'!K36</f>
        <v>-2.6839999999999999E-2</v>
      </c>
      <c r="H36" s="402">
        <f>+'Allocation equal ¢ per therm'!N36</f>
        <v>0</v>
      </c>
      <c r="I36" s="402">
        <f t="shared" si="10"/>
        <v>-5.3129999999999997E-2</v>
      </c>
      <c r="J36" s="402">
        <f t="shared" si="11"/>
        <v>-1.3139999999999992E-2</v>
      </c>
      <c r="K36" s="402">
        <f>+'Allocation = % of margin'!P36</f>
        <v>0</v>
      </c>
      <c r="L36" s="402">
        <f>+'Allocation = % of margin'!S36</f>
        <v>1.8600000000000001E-3</v>
      </c>
      <c r="M36" s="564">
        <v>0</v>
      </c>
      <c r="N36" s="564">
        <v>0</v>
      </c>
      <c r="O36" s="20"/>
      <c r="P36" s="20"/>
      <c r="Q36" s="20"/>
      <c r="R36" s="20"/>
      <c r="S36" s="20"/>
      <c r="T36" s="20"/>
      <c r="U36" s="20"/>
      <c r="V36" s="20">
        <f>+'Allocation = % of margin'!V36</f>
        <v>4.4000000000000002E-4</v>
      </c>
      <c r="W36" s="20">
        <f>+'Allocation = % of margin'!Y36</f>
        <v>-2.7E-4</v>
      </c>
      <c r="X36" s="20"/>
      <c r="Y36" s="20"/>
      <c r="Z36" s="20"/>
      <c r="AA36" s="20"/>
      <c r="AB36" s="20"/>
      <c r="AC36" s="20"/>
      <c r="AD36" s="20">
        <f t="shared" si="12"/>
        <v>-5.11E-2</v>
      </c>
      <c r="AE36" s="20">
        <f t="shared" si="13"/>
        <v>-1.3349999999999994E-2</v>
      </c>
      <c r="AF36" s="20"/>
      <c r="AG36" s="202">
        <f t="shared" si="23"/>
        <v>-5.11E-2</v>
      </c>
      <c r="AH36" s="202">
        <f t="shared" si="1"/>
        <v>2.0300000000000001E-3</v>
      </c>
      <c r="AI36" s="202">
        <f t="shared" si="20"/>
        <v>-2.6290000000000001E-2</v>
      </c>
      <c r="AJ36" s="202">
        <f t="shared" si="21"/>
        <v>-2.6839999999999999E-2</v>
      </c>
      <c r="AK36" s="677">
        <f t="shared" si="15"/>
        <v>2.3E-3</v>
      </c>
      <c r="AL36" s="202">
        <f t="shared" si="4"/>
        <v>-5.083E-2</v>
      </c>
      <c r="AM36" s="20">
        <f t="shared" si="5"/>
        <v>2.6999999999999984E-4</v>
      </c>
      <c r="AN36" s="20">
        <f t="shared" si="16"/>
        <v>-5.3129999999999997E-2</v>
      </c>
      <c r="AO36" s="20">
        <f t="shared" si="6"/>
        <v>-2.7E-4</v>
      </c>
      <c r="AQ36" s="20">
        <f t="shared" si="7"/>
        <v>0</v>
      </c>
      <c r="AS36" s="20">
        <f>+'Rates in detail'!U36</f>
        <v>0</v>
      </c>
      <c r="AT36" s="20"/>
      <c r="AU36" s="20"/>
      <c r="AV36" s="20">
        <f t="shared" si="8"/>
        <v>1.8600000000000001E-3</v>
      </c>
      <c r="AW36" s="20">
        <f t="shared" si="9"/>
        <v>4.4000000000000002E-4</v>
      </c>
      <c r="AX36" s="20">
        <f t="shared" si="17"/>
        <v>2.3E-3</v>
      </c>
      <c r="AZ36" s="691">
        <v>0</v>
      </c>
      <c r="BA36" s="691">
        <v>2.2399999999999998E-3</v>
      </c>
      <c r="BB36" s="691">
        <v>-3.9990000000000005E-2</v>
      </c>
      <c r="BC36" s="692">
        <v>0</v>
      </c>
      <c r="BE36" s="20">
        <f t="shared" si="18"/>
        <v>2.3E-3</v>
      </c>
      <c r="BF36" s="20">
        <f t="shared" si="19"/>
        <v>-5.083E-2</v>
      </c>
    </row>
    <row r="37" spans="1:58" x14ac:dyDescent="0.25">
      <c r="A37" s="4">
        <f t="shared" si="0"/>
        <v>31</v>
      </c>
      <c r="B37" s="69"/>
      <c r="C37" s="18" t="s">
        <v>8</v>
      </c>
      <c r="D37" s="649">
        <v>-3.8270000000000005E-2</v>
      </c>
      <c r="E37" s="649">
        <v>-3.9990000000000005E-2</v>
      </c>
      <c r="F37" s="402">
        <f>+'Allocation equal ¢ per therm'!H37</f>
        <v>-2.6290000000000001E-2</v>
      </c>
      <c r="G37" s="402">
        <f>+'Allocation equal ¢ per therm'!K37</f>
        <v>-2.6839999999999999E-2</v>
      </c>
      <c r="H37" s="402">
        <f>+'Allocation equal ¢ per therm'!N37</f>
        <v>0</v>
      </c>
      <c r="I37" s="402">
        <f t="shared" si="10"/>
        <v>-5.3129999999999997E-2</v>
      </c>
      <c r="J37" s="402">
        <f t="shared" si="11"/>
        <v>-1.3139999999999992E-2</v>
      </c>
      <c r="K37" s="402">
        <f>+'Allocation = % of margin'!P37</f>
        <v>0</v>
      </c>
      <c r="L37" s="402">
        <f>+'Allocation = % of margin'!S37</f>
        <v>1.4300000000000001E-3</v>
      </c>
      <c r="M37" s="564">
        <v>0</v>
      </c>
      <c r="N37" s="564">
        <v>0</v>
      </c>
      <c r="O37" s="20"/>
      <c r="P37" s="20"/>
      <c r="Q37" s="20"/>
      <c r="R37" s="20"/>
      <c r="S37" s="20"/>
      <c r="T37" s="20"/>
      <c r="U37" s="20"/>
      <c r="V37" s="20">
        <f>+'Allocation = % of margin'!V37</f>
        <v>3.3E-4</v>
      </c>
      <c r="W37" s="20">
        <f>+'Allocation = % of margin'!Y37</f>
        <v>-2.1000000000000001E-4</v>
      </c>
      <c r="X37" s="20"/>
      <c r="Y37" s="20"/>
      <c r="Z37" s="20"/>
      <c r="AA37" s="20"/>
      <c r="AB37" s="20"/>
      <c r="AC37" s="20"/>
      <c r="AD37" s="20">
        <f t="shared" si="12"/>
        <v>-5.1579999999999994E-2</v>
      </c>
      <c r="AE37" s="20">
        <f t="shared" si="13"/>
        <v>-1.3309999999999989E-2</v>
      </c>
      <c r="AF37" s="20"/>
      <c r="AG37" s="202">
        <f t="shared" si="23"/>
        <v>-5.1579999999999994E-2</v>
      </c>
      <c r="AH37" s="202">
        <f t="shared" si="1"/>
        <v>1.5500000000000002E-3</v>
      </c>
      <c r="AI37" s="202">
        <f t="shared" si="20"/>
        <v>-2.6290000000000001E-2</v>
      </c>
      <c r="AJ37" s="202">
        <f t="shared" si="21"/>
        <v>-2.6839999999999999E-2</v>
      </c>
      <c r="AK37" s="677">
        <f t="shared" si="15"/>
        <v>1.7600000000000001E-3</v>
      </c>
      <c r="AL37" s="202">
        <f t="shared" si="4"/>
        <v>-5.1369999999999999E-2</v>
      </c>
      <c r="AM37" s="20">
        <f t="shared" si="5"/>
        <v>2.099999999999999E-4</v>
      </c>
      <c r="AN37" s="20">
        <f t="shared" si="16"/>
        <v>-5.3129999999999997E-2</v>
      </c>
      <c r="AO37" s="20">
        <f t="shared" si="6"/>
        <v>-2.1000000000000001E-4</v>
      </c>
      <c r="AQ37" s="20">
        <f t="shared" si="7"/>
        <v>0</v>
      </c>
      <c r="AS37" s="20">
        <f>+'Rates in detail'!U37</f>
        <v>0</v>
      </c>
      <c r="AT37" s="20"/>
      <c r="AU37" s="20"/>
      <c r="AV37" s="20">
        <f t="shared" si="8"/>
        <v>1.4300000000000001E-3</v>
      </c>
      <c r="AW37" s="20">
        <f t="shared" si="9"/>
        <v>3.3E-4</v>
      </c>
      <c r="AX37" s="20">
        <f t="shared" si="17"/>
        <v>1.7600000000000001E-3</v>
      </c>
      <c r="AZ37" s="691">
        <v>0</v>
      </c>
      <c r="BA37" s="691">
        <v>1.72E-3</v>
      </c>
      <c r="BB37" s="691">
        <v>-3.9990000000000005E-2</v>
      </c>
      <c r="BC37" s="692">
        <v>0</v>
      </c>
      <c r="BE37" s="20">
        <f t="shared" si="18"/>
        <v>1.7600000000000001E-3</v>
      </c>
      <c r="BF37" s="20">
        <f t="shared" si="19"/>
        <v>-5.1369999999999999E-2</v>
      </c>
    </row>
    <row r="38" spans="1:58" x14ac:dyDescent="0.25">
      <c r="A38" s="4">
        <f t="shared" si="0"/>
        <v>32</v>
      </c>
      <c r="B38" s="69"/>
      <c r="C38" s="18" t="s">
        <v>9</v>
      </c>
      <c r="D38" s="649">
        <v>-3.8610000000000005E-2</v>
      </c>
      <c r="E38" s="649">
        <v>-3.9990000000000005E-2</v>
      </c>
      <c r="F38" s="402">
        <f>+'Allocation equal ¢ per therm'!H38</f>
        <v>-2.6290000000000001E-2</v>
      </c>
      <c r="G38" s="402">
        <f>+'Allocation equal ¢ per therm'!K38</f>
        <v>-2.6839999999999999E-2</v>
      </c>
      <c r="H38" s="402">
        <f>+'Allocation equal ¢ per therm'!N38</f>
        <v>0</v>
      </c>
      <c r="I38" s="402">
        <f t="shared" si="10"/>
        <v>-5.3129999999999997E-2</v>
      </c>
      <c r="J38" s="402">
        <f t="shared" si="11"/>
        <v>-1.3139999999999992E-2</v>
      </c>
      <c r="K38" s="402">
        <f>+'Allocation = % of margin'!P38</f>
        <v>0</v>
      </c>
      <c r="L38" s="402">
        <f>+'Allocation = % of margin'!S38</f>
        <v>1.14E-3</v>
      </c>
      <c r="M38" s="564">
        <v>0</v>
      </c>
      <c r="N38" s="564">
        <v>0</v>
      </c>
      <c r="O38" s="20"/>
      <c r="P38" s="20"/>
      <c r="Q38" s="20"/>
      <c r="R38" s="20"/>
      <c r="S38" s="20"/>
      <c r="T38" s="20"/>
      <c r="U38" s="20"/>
      <c r="V38" s="20">
        <f>+'Allocation = % of margin'!V38</f>
        <v>2.7E-4</v>
      </c>
      <c r="W38" s="20">
        <f>+'Allocation = % of margin'!Y38</f>
        <v>-1.7000000000000001E-4</v>
      </c>
      <c r="X38" s="20"/>
      <c r="Y38" s="20"/>
      <c r="Z38" s="20"/>
      <c r="AA38" s="20"/>
      <c r="AB38" s="20"/>
      <c r="AC38" s="20"/>
      <c r="AD38" s="20">
        <f t="shared" si="12"/>
        <v>-5.1889999999999999E-2</v>
      </c>
      <c r="AE38" s="20">
        <f t="shared" si="13"/>
        <v>-1.3279999999999993E-2</v>
      </c>
      <c r="AF38" s="20"/>
      <c r="AG38" s="202">
        <f t="shared" si="23"/>
        <v>-5.1889999999999999E-2</v>
      </c>
      <c r="AH38" s="202">
        <f t="shared" si="1"/>
        <v>1.24E-3</v>
      </c>
      <c r="AI38" s="202">
        <f t="shared" si="20"/>
        <v>-2.6290000000000001E-2</v>
      </c>
      <c r="AJ38" s="202">
        <f t="shared" si="21"/>
        <v>-2.6839999999999999E-2</v>
      </c>
      <c r="AK38" s="677">
        <f t="shared" si="15"/>
        <v>1.41E-3</v>
      </c>
      <c r="AL38" s="202">
        <f t="shared" si="4"/>
        <v>-5.1719999999999995E-2</v>
      </c>
      <c r="AM38" s="20">
        <f t="shared" si="5"/>
        <v>1.7000000000000001E-4</v>
      </c>
      <c r="AN38" s="20">
        <f t="shared" si="16"/>
        <v>-5.3129999999999997E-2</v>
      </c>
      <c r="AO38" s="20">
        <f t="shared" si="6"/>
        <v>-1.7000000000000001E-4</v>
      </c>
      <c r="AQ38" s="20">
        <f t="shared" si="7"/>
        <v>0</v>
      </c>
      <c r="AS38" s="20">
        <f>+'Rates in detail'!U38</f>
        <v>0</v>
      </c>
      <c r="AT38" s="20"/>
      <c r="AU38" s="20"/>
      <c r="AV38" s="20">
        <f t="shared" si="8"/>
        <v>1.14E-3</v>
      </c>
      <c r="AW38" s="20">
        <f t="shared" si="9"/>
        <v>2.7E-4</v>
      </c>
      <c r="AX38" s="20">
        <f t="shared" si="17"/>
        <v>1.41E-3</v>
      </c>
      <c r="AZ38" s="691">
        <v>0</v>
      </c>
      <c r="BA38" s="691">
        <v>1.3800000000000002E-3</v>
      </c>
      <c r="BB38" s="691">
        <v>-3.9990000000000005E-2</v>
      </c>
      <c r="BC38" s="692">
        <v>0</v>
      </c>
      <c r="BE38" s="20">
        <f t="shared" si="18"/>
        <v>1.41E-3</v>
      </c>
      <c r="BF38" s="20">
        <f t="shared" si="19"/>
        <v>-5.1719999999999995E-2</v>
      </c>
    </row>
    <row r="39" spans="1:58" x14ac:dyDescent="0.25">
      <c r="A39" s="4">
        <f t="shared" si="0"/>
        <v>33</v>
      </c>
      <c r="B39" s="69"/>
      <c r="C39" s="18" t="s">
        <v>10</v>
      </c>
      <c r="D39" s="649">
        <v>-3.9070000000000008E-2</v>
      </c>
      <c r="E39" s="649">
        <v>-3.9990000000000005E-2</v>
      </c>
      <c r="F39" s="402">
        <f>+'Allocation equal ¢ per therm'!H39</f>
        <v>-2.6290000000000001E-2</v>
      </c>
      <c r="G39" s="402">
        <f>+'Allocation equal ¢ per therm'!K39</f>
        <v>-2.6839999999999999E-2</v>
      </c>
      <c r="H39" s="402">
        <f>+'Allocation equal ¢ per therm'!N39</f>
        <v>0</v>
      </c>
      <c r="I39" s="402">
        <f t="shared" si="10"/>
        <v>-5.3129999999999997E-2</v>
      </c>
      <c r="J39" s="402">
        <f t="shared" si="11"/>
        <v>-1.3139999999999992E-2</v>
      </c>
      <c r="K39" s="402">
        <f>+'Allocation = % of margin'!P39</f>
        <v>0</v>
      </c>
      <c r="L39" s="402">
        <f>+'Allocation = % of margin'!S39</f>
        <v>7.6000000000000004E-4</v>
      </c>
      <c r="M39" s="564">
        <v>0</v>
      </c>
      <c r="N39" s="564">
        <v>0</v>
      </c>
      <c r="O39" s="20"/>
      <c r="P39" s="20"/>
      <c r="Q39" s="20"/>
      <c r="R39" s="20"/>
      <c r="S39" s="20"/>
      <c r="T39" s="20"/>
      <c r="U39" s="20"/>
      <c r="V39" s="20">
        <f>+'Allocation = % of margin'!V39</f>
        <v>1.8000000000000001E-4</v>
      </c>
      <c r="W39" s="20">
        <f>+'Allocation = % of margin'!Y39</f>
        <v>-1.1E-4</v>
      </c>
      <c r="X39" s="20"/>
      <c r="Y39" s="20"/>
      <c r="Z39" s="20"/>
      <c r="AA39" s="20"/>
      <c r="AB39" s="20"/>
      <c r="AC39" s="20"/>
      <c r="AD39" s="20">
        <f t="shared" si="12"/>
        <v>-5.2299999999999999E-2</v>
      </c>
      <c r="AE39" s="20">
        <f t="shared" si="13"/>
        <v>-1.3229999999999992E-2</v>
      </c>
      <c r="AF39" s="20"/>
      <c r="AG39" s="202">
        <f t="shared" si="23"/>
        <v>-5.2299999999999999E-2</v>
      </c>
      <c r="AH39" s="202">
        <f t="shared" si="1"/>
        <v>8.3000000000000001E-4</v>
      </c>
      <c r="AI39" s="202">
        <f t="shared" si="20"/>
        <v>-2.6290000000000001E-2</v>
      </c>
      <c r="AJ39" s="202">
        <f t="shared" si="21"/>
        <v>-2.6839999999999999E-2</v>
      </c>
      <c r="AK39" s="677">
        <f t="shared" si="15"/>
        <v>9.4000000000000008E-4</v>
      </c>
      <c r="AL39" s="202">
        <f t="shared" si="4"/>
        <v>-5.2189999999999993E-2</v>
      </c>
      <c r="AM39" s="20">
        <f t="shared" si="5"/>
        <v>1.1000000000000007E-4</v>
      </c>
      <c r="AN39" s="20">
        <f t="shared" si="16"/>
        <v>-5.3129999999999997E-2</v>
      </c>
      <c r="AO39" s="20">
        <f t="shared" si="6"/>
        <v>-1.1E-4</v>
      </c>
      <c r="AQ39" s="20">
        <f t="shared" si="7"/>
        <v>0</v>
      </c>
      <c r="AS39" s="20">
        <f>+'Rates in detail'!U39</f>
        <v>0</v>
      </c>
      <c r="AT39" s="20"/>
      <c r="AU39" s="20"/>
      <c r="AV39" s="20">
        <f t="shared" si="8"/>
        <v>7.6000000000000004E-4</v>
      </c>
      <c r="AW39" s="20">
        <f t="shared" si="9"/>
        <v>1.8000000000000001E-4</v>
      </c>
      <c r="AX39" s="20">
        <f t="shared" si="17"/>
        <v>9.4000000000000008E-4</v>
      </c>
      <c r="AZ39" s="691">
        <v>0</v>
      </c>
      <c r="BA39" s="691">
        <v>9.2000000000000003E-4</v>
      </c>
      <c r="BB39" s="691">
        <v>-3.9990000000000005E-2</v>
      </c>
      <c r="BC39" s="692">
        <v>0</v>
      </c>
      <c r="BE39" s="20">
        <f t="shared" si="18"/>
        <v>9.4000000000000008E-4</v>
      </c>
      <c r="BF39" s="20">
        <f t="shared" si="19"/>
        <v>-5.2189999999999993E-2</v>
      </c>
    </row>
    <row r="40" spans="1:58" x14ac:dyDescent="0.25">
      <c r="A40" s="4">
        <f t="shared" si="0"/>
        <v>34</v>
      </c>
      <c r="B40" s="74"/>
      <c r="C40" s="22" t="s">
        <v>11</v>
      </c>
      <c r="D40" s="647">
        <v>-3.9640000000000002E-2</v>
      </c>
      <c r="E40" s="647">
        <v>-3.9990000000000005E-2</v>
      </c>
      <c r="F40" s="380">
        <f>+'Allocation equal ¢ per therm'!H40</f>
        <v>-2.6290000000000001E-2</v>
      </c>
      <c r="G40" s="380">
        <f>+'Allocation equal ¢ per therm'!K40</f>
        <v>-2.6839999999999999E-2</v>
      </c>
      <c r="H40" s="380">
        <f>+'Allocation equal ¢ per therm'!N40</f>
        <v>0</v>
      </c>
      <c r="I40" s="380">
        <f t="shared" si="10"/>
        <v>-5.3129999999999997E-2</v>
      </c>
      <c r="J40" s="380">
        <f t="shared" si="11"/>
        <v>-1.3139999999999992E-2</v>
      </c>
      <c r="K40" s="380">
        <f>+'Allocation = % of margin'!P40</f>
        <v>0</v>
      </c>
      <c r="L40" s="380">
        <f>+'Allocation = % of margin'!S40</f>
        <v>2.9E-4</v>
      </c>
      <c r="M40" s="575">
        <v>0</v>
      </c>
      <c r="N40" s="575">
        <v>0</v>
      </c>
      <c r="O40" s="14"/>
      <c r="P40" s="14"/>
      <c r="Q40" s="14"/>
      <c r="R40" s="14"/>
      <c r="S40" s="14"/>
      <c r="T40" s="14"/>
      <c r="U40" s="14"/>
      <c r="V40" s="14">
        <f>+'Allocation = % of margin'!V40</f>
        <v>6.9999999999999994E-5</v>
      </c>
      <c r="W40" s="14">
        <f>+'Allocation = % of margin'!Y40</f>
        <v>-4.0000000000000003E-5</v>
      </c>
      <c r="X40" s="14"/>
      <c r="Y40" s="14"/>
      <c r="Z40" s="14"/>
      <c r="AA40" s="14"/>
      <c r="AB40" s="14"/>
      <c r="AC40" s="14"/>
      <c r="AD40" s="14">
        <f t="shared" si="12"/>
        <v>-5.2809999999999996E-2</v>
      </c>
      <c r="AE40" s="14">
        <f t="shared" si="13"/>
        <v>-1.3169999999999994E-2</v>
      </c>
      <c r="AF40" s="20"/>
      <c r="AG40" s="202">
        <f t="shared" si="23"/>
        <v>-5.2809999999999996E-2</v>
      </c>
      <c r="AH40" s="202">
        <f t="shared" si="1"/>
        <v>3.1999999999999997E-4</v>
      </c>
      <c r="AI40" s="202">
        <f t="shared" si="20"/>
        <v>-2.6290000000000001E-2</v>
      </c>
      <c r="AJ40" s="202">
        <f t="shared" si="21"/>
        <v>-2.6839999999999999E-2</v>
      </c>
      <c r="AK40" s="677">
        <f t="shared" si="15"/>
        <v>3.5999999999999997E-4</v>
      </c>
      <c r="AL40" s="202">
        <f t="shared" si="4"/>
        <v>-5.2769999999999997E-2</v>
      </c>
      <c r="AM40" s="20">
        <f t="shared" si="5"/>
        <v>3.9999999999999996E-5</v>
      </c>
      <c r="AN40" s="20">
        <f t="shared" si="16"/>
        <v>-5.3129999999999997E-2</v>
      </c>
      <c r="AO40" s="20">
        <f t="shared" si="6"/>
        <v>-4.0000000000000003E-5</v>
      </c>
      <c r="AQ40" s="20">
        <f t="shared" si="7"/>
        <v>0</v>
      </c>
      <c r="AS40" s="20">
        <f>+'Rates in detail'!U40</f>
        <v>0</v>
      </c>
      <c r="AT40" s="20"/>
      <c r="AU40" s="20"/>
      <c r="AV40" s="20">
        <f t="shared" si="8"/>
        <v>2.9E-4</v>
      </c>
      <c r="AW40" s="20">
        <f t="shared" si="9"/>
        <v>6.9999999999999994E-5</v>
      </c>
      <c r="AX40" s="20">
        <f t="shared" si="17"/>
        <v>3.5999999999999997E-4</v>
      </c>
      <c r="AZ40" s="691">
        <v>0</v>
      </c>
      <c r="BA40" s="691">
        <v>3.5E-4</v>
      </c>
      <c r="BB40" s="691">
        <v>-3.9990000000000005E-2</v>
      </c>
      <c r="BC40" s="692">
        <v>0</v>
      </c>
      <c r="BE40" s="20">
        <f t="shared" si="18"/>
        <v>3.5999999999999997E-4</v>
      </c>
      <c r="BF40" s="20">
        <f t="shared" si="19"/>
        <v>-5.2769999999999997E-2</v>
      </c>
    </row>
    <row r="41" spans="1:58" x14ac:dyDescent="0.25">
      <c r="A41" s="4">
        <f t="shared" si="0"/>
        <v>35</v>
      </c>
      <c r="B41" s="69" t="s">
        <v>165</v>
      </c>
      <c r="C41" s="18" t="s">
        <v>6</v>
      </c>
      <c r="D41" s="649">
        <v>0</v>
      </c>
      <c r="E41" s="649">
        <v>0</v>
      </c>
      <c r="F41" s="402">
        <f>+'Allocation equal ¢ per therm'!H41</f>
        <v>0</v>
      </c>
      <c r="G41" s="402">
        <f>+'Allocation equal ¢ per therm'!K41</f>
        <v>0</v>
      </c>
      <c r="H41" s="402">
        <f>+'Allocation equal ¢ per therm'!N41</f>
        <v>0</v>
      </c>
      <c r="I41" s="402">
        <f t="shared" si="10"/>
        <v>0</v>
      </c>
      <c r="J41" s="402">
        <f t="shared" si="11"/>
        <v>0</v>
      </c>
      <c r="K41" s="402">
        <f>+'Allocation = % of margin'!P41</f>
        <v>0</v>
      </c>
      <c r="L41" s="402">
        <f>+'Allocation = % of margin'!S41</f>
        <v>0</v>
      </c>
      <c r="M41" s="564">
        <v>0</v>
      </c>
      <c r="N41" s="564">
        <v>0</v>
      </c>
      <c r="O41" s="20"/>
      <c r="P41" s="20"/>
      <c r="Q41" s="20"/>
      <c r="R41" s="20"/>
      <c r="S41" s="20"/>
      <c r="T41" s="20"/>
      <c r="U41" s="20"/>
      <c r="V41" s="20">
        <f>+'Allocation = % of margin'!V41</f>
        <v>0</v>
      </c>
      <c r="W41" s="20">
        <f>+'Allocation = % of margin'!Y41</f>
        <v>-2.3000000000000001E-4</v>
      </c>
      <c r="X41" s="20"/>
      <c r="Y41" s="20"/>
      <c r="Z41" s="20"/>
      <c r="AA41" s="20"/>
      <c r="AB41" s="20"/>
      <c r="AC41" s="20"/>
      <c r="AD41" s="20">
        <f t="shared" si="12"/>
        <v>-2.3000000000000001E-4</v>
      </c>
      <c r="AE41" s="20">
        <f t="shared" si="13"/>
        <v>-2.3000000000000001E-4</v>
      </c>
      <c r="AF41" s="20"/>
      <c r="AG41" s="202">
        <f t="shared" si="23"/>
        <v>-2.3000000000000001E-4</v>
      </c>
      <c r="AH41" s="202">
        <f t="shared" si="1"/>
        <v>-2.3000000000000001E-4</v>
      </c>
      <c r="AI41" s="202">
        <f t="shared" si="20"/>
        <v>0</v>
      </c>
      <c r="AJ41" s="202">
        <f t="shared" si="21"/>
        <v>0</v>
      </c>
      <c r="AK41" s="677">
        <f t="shared" si="15"/>
        <v>0</v>
      </c>
      <c r="AL41" s="202">
        <f t="shared" si="4"/>
        <v>0</v>
      </c>
      <c r="AM41" s="20">
        <f t="shared" si="5"/>
        <v>2.3000000000000001E-4</v>
      </c>
      <c r="AN41" s="20">
        <f t="shared" si="16"/>
        <v>0</v>
      </c>
      <c r="AO41" s="20">
        <f t="shared" si="6"/>
        <v>-2.3000000000000001E-4</v>
      </c>
      <c r="AQ41" s="20">
        <f t="shared" si="7"/>
        <v>0</v>
      </c>
      <c r="AS41" s="20">
        <f>+'Rates in detail'!U41</f>
        <v>0</v>
      </c>
      <c r="AT41" s="20"/>
      <c r="AU41" s="20"/>
      <c r="AV41" s="20">
        <f t="shared" si="8"/>
        <v>0</v>
      </c>
      <c r="AW41" s="20">
        <f t="shared" si="9"/>
        <v>0</v>
      </c>
      <c r="AX41" s="20">
        <f t="shared" si="17"/>
        <v>0</v>
      </c>
      <c r="AZ41" s="691">
        <v>0</v>
      </c>
      <c r="BA41" s="691">
        <v>0</v>
      </c>
      <c r="BB41" s="691">
        <v>0</v>
      </c>
      <c r="BC41" s="692">
        <v>0</v>
      </c>
      <c r="BE41" s="20">
        <f t="shared" si="18"/>
        <v>0</v>
      </c>
      <c r="BF41" s="20">
        <f t="shared" si="19"/>
        <v>0</v>
      </c>
    </row>
    <row r="42" spans="1:58" x14ac:dyDescent="0.25">
      <c r="A42" s="4">
        <f t="shared" si="0"/>
        <v>36</v>
      </c>
      <c r="B42" s="69"/>
      <c r="C42" s="18" t="s">
        <v>7</v>
      </c>
      <c r="D42" s="649">
        <v>0</v>
      </c>
      <c r="E42" s="649">
        <v>0</v>
      </c>
      <c r="F42" s="402">
        <f>+'Allocation equal ¢ per therm'!H42</f>
        <v>0</v>
      </c>
      <c r="G42" s="402">
        <f>+'Allocation equal ¢ per therm'!K42</f>
        <v>0</v>
      </c>
      <c r="H42" s="402">
        <f>+'Allocation equal ¢ per therm'!N42</f>
        <v>0</v>
      </c>
      <c r="I42" s="402">
        <f t="shared" si="10"/>
        <v>0</v>
      </c>
      <c r="J42" s="402">
        <f t="shared" si="11"/>
        <v>0</v>
      </c>
      <c r="K42" s="402">
        <f>+'Allocation = % of margin'!P42</f>
        <v>0</v>
      </c>
      <c r="L42" s="402">
        <f>+'Allocation = % of margin'!S42</f>
        <v>0</v>
      </c>
      <c r="M42" s="564">
        <v>0</v>
      </c>
      <c r="N42" s="564">
        <v>0</v>
      </c>
      <c r="O42" s="20"/>
      <c r="P42" s="20"/>
      <c r="Q42" s="20"/>
      <c r="R42" s="20"/>
      <c r="S42" s="20"/>
      <c r="T42" s="20"/>
      <c r="U42" s="20"/>
      <c r="V42" s="20">
        <f>+'Allocation = % of margin'!V42</f>
        <v>0</v>
      </c>
      <c r="W42" s="20">
        <f>+'Allocation = % of margin'!Y42</f>
        <v>-2.1000000000000001E-4</v>
      </c>
      <c r="X42" s="20"/>
      <c r="Y42" s="20"/>
      <c r="Z42" s="20"/>
      <c r="AA42" s="20"/>
      <c r="AB42" s="20"/>
      <c r="AC42" s="20"/>
      <c r="AD42" s="20">
        <f t="shared" si="12"/>
        <v>-2.1000000000000001E-4</v>
      </c>
      <c r="AE42" s="20">
        <f t="shared" si="13"/>
        <v>-2.1000000000000001E-4</v>
      </c>
      <c r="AF42" s="20"/>
      <c r="AG42" s="202">
        <f t="shared" si="23"/>
        <v>-2.1000000000000001E-4</v>
      </c>
      <c r="AH42" s="202">
        <f t="shared" si="1"/>
        <v>-2.1000000000000001E-4</v>
      </c>
      <c r="AI42" s="202">
        <f t="shared" si="20"/>
        <v>0</v>
      </c>
      <c r="AJ42" s="202">
        <f t="shared" si="21"/>
        <v>0</v>
      </c>
      <c r="AK42" s="677">
        <f t="shared" si="15"/>
        <v>0</v>
      </c>
      <c r="AL42" s="202">
        <f t="shared" si="4"/>
        <v>0</v>
      </c>
      <c r="AM42" s="20">
        <f t="shared" si="5"/>
        <v>2.1000000000000001E-4</v>
      </c>
      <c r="AN42" s="20">
        <f t="shared" si="16"/>
        <v>0</v>
      </c>
      <c r="AO42" s="20">
        <f t="shared" si="6"/>
        <v>-2.1000000000000001E-4</v>
      </c>
      <c r="AQ42" s="20">
        <f t="shared" si="7"/>
        <v>0</v>
      </c>
      <c r="AS42" s="20">
        <f>+'Rates in detail'!U42</f>
        <v>0</v>
      </c>
      <c r="AT42" s="20"/>
      <c r="AU42" s="20"/>
      <c r="AV42" s="20">
        <f t="shared" si="8"/>
        <v>0</v>
      </c>
      <c r="AW42" s="20">
        <f t="shared" si="9"/>
        <v>0</v>
      </c>
      <c r="AX42" s="20">
        <f t="shared" si="17"/>
        <v>0</v>
      </c>
      <c r="AZ42" s="691">
        <v>0</v>
      </c>
      <c r="BA42" s="691">
        <v>0</v>
      </c>
      <c r="BB42" s="691">
        <v>0</v>
      </c>
      <c r="BC42" s="692">
        <v>0</v>
      </c>
      <c r="BE42" s="20">
        <f t="shared" si="18"/>
        <v>0</v>
      </c>
      <c r="BF42" s="20">
        <f t="shared" si="19"/>
        <v>0</v>
      </c>
    </row>
    <row r="43" spans="1:58" x14ac:dyDescent="0.25">
      <c r="A43" s="4">
        <f t="shared" si="0"/>
        <v>37</v>
      </c>
      <c r="B43" s="69"/>
      <c r="C43" s="18" t="s">
        <v>8</v>
      </c>
      <c r="D43" s="649">
        <v>0</v>
      </c>
      <c r="E43" s="649">
        <v>0</v>
      </c>
      <c r="F43" s="402">
        <f>+'Allocation equal ¢ per therm'!H43</f>
        <v>0</v>
      </c>
      <c r="G43" s="402">
        <f>+'Allocation equal ¢ per therm'!K43</f>
        <v>0</v>
      </c>
      <c r="H43" s="402">
        <f>+'Allocation equal ¢ per therm'!N43</f>
        <v>0</v>
      </c>
      <c r="I43" s="402">
        <f t="shared" si="10"/>
        <v>0</v>
      </c>
      <c r="J43" s="402">
        <f t="shared" si="11"/>
        <v>0</v>
      </c>
      <c r="K43" s="402">
        <f>+'Allocation = % of margin'!P43</f>
        <v>0</v>
      </c>
      <c r="L43" s="402">
        <f>+'Allocation = % of margin'!S43</f>
        <v>0</v>
      </c>
      <c r="M43" s="564">
        <v>0</v>
      </c>
      <c r="N43" s="564">
        <v>0</v>
      </c>
      <c r="O43" s="20"/>
      <c r="P43" s="20"/>
      <c r="Q43" s="20"/>
      <c r="R43" s="20"/>
      <c r="S43" s="20"/>
      <c r="T43" s="20"/>
      <c r="U43" s="20"/>
      <c r="V43" s="20">
        <f>+'Allocation = % of margin'!V43</f>
        <v>0</v>
      </c>
      <c r="W43" s="20">
        <f>+'Allocation = % of margin'!Y43</f>
        <v>-1.6000000000000001E-4</v>
      </c>
      <c r="X43" s="20"/>
      <c r="Y43" s="20"/>
      <c r="Z43" s="20"/>
      <c r="AA43" s="20"/>
      <c r="AB43" s="20"/>
      <c r="AC43" s="20"/>
      <c r="AD43" s="20">
        <f t="shared" si="12"/>
        <v>-1.6000000000000001E-4</v>
      </c>
      <c r="AE43" s="20">
        <f t="shared" si="13"/>
        <v>-1.6000000000000001E-4</v>
      </c>
      <c r="AF43" s="20"/>
      <c r="AG43" s="202">
        <f t="shared" si="23"/>
        <v>-1.6000000000000001E-4</v>
      </c>
      <c r="AH43" s="202">
        <f t="shared" si="1"/>
        <v>-1.6000000000000001E-4</v>
      </c>
      <c r="AI43" s="202">
        <f t="shared" si="20"/>
        <v>0</v>
      </c>
      <c r="AJ43" s="202">
        <f t="shared" si="21"/>
        <v>0</v>
      </c>
      <c r="AK43" s="677">
        <f t="shared" si="15"/>
        <v>0</v>
      </c>
      <c r="AL43" s="202">
        <f t="shared" si="4"/>
        <v>0</v>
      </c>
      <c r="AM43" s="20">
        <f t="shared" si="5"/>
        <v>1.6000000000000001E-4</v>
      </c>
      <c r="AN43" s="20">
        <f t="shared" si="16"/>
        <v>0</v>
      </c>
      <c r="AO43" s="20">
        <f t="shared" si="6"/>
        <v>-1.6000000000000001E-4</v>
      </c>
      <c r="AQ43" s="20">
        <f t="shared" si="7"/>
        <v>0</v>
      </c>
      <c r="AS43" s="20">
        <f>+'Rates in detail'!U43</f>
        <v>0</v>
      </c>
      <c r="AT43" s="20"/>
      <c r="AU43" s="20"/>
      <c r="AV43" s="20">
        <f t="shared" si="8"/>
        <v>0</v>
      </c>
      <c r="AW43" s="20">
        <f t="shared" si="9"/>
        <v>0</v>
      </c>
      <c r="AX43" s="20">
        <f t="shared" si="17"/>
        <v>0</v>
      </c>
      <c r="AZ43" s="691">
        <v>0</v>
      </c>
      <c r="BA43" s="691">
        <v>0</v>
      </c>
      <c r="BB43" s="691">
        <v>0</v>
      </c>
      <c r="BC43" s="692">
        <v>0</v>
      </c>
      <c r="BE43" s="20">
        <f t="shared" si="18"/>
        <v>0</v>
      </c>
      <c r="BF43" s="20">
        <f t="shared" si="19"/>
        <v>0</v>
      </c>
    </row>
    <row r="44" spans="1:58" x14ac:dyDescent="0.25">
      <c r="A44" s="4">
        <f t="shared" si="0"/>
        <v>38</v>
      </c>
      <c r="B44" s="69"/>
      <c r="C44" s="18" t="s">
        <v>9</v>
      </c>
      <c r="D44" s="649">
        <v>0</v>
      </c>
      <c r="E44" s="649">
        <v>0</v>
      </c>
      <c r="F44" s="402">
        <f>+'Allocation equal ¢ per therm'!H44</f>
        <v>0</v>
      </c>
      <c r="G44" s="402">
        <f>+'Allocation equal ¢ per therm'!K44</f>
        <v>0</v>
      </c>
      <c r="H44" s="402">
        <f>+'Allocation equal ¢ per therm'!N44</f>
        <v>0</v>
      </c>
      <c r="I44" s="402">
        <f t="shared" si="10"/>
        <v>0</v>
      </c>
      <c r="J44" s="402">
        <f t="shared" si="11"/>
        <v>0</v>
      </c>
      <c r="K44" s="402">
        <f>+'Allocation = % of margin'!P44</f>
        <v>0</v>
      </c>
      <c r="L44" s="402">
        <f>+'Allocation = % of margin'!S44</f>
        <v>0</v>
      </c>
      <c r="M44" s="564">
        <v>0</v>
      </c>
      <c r="N44" s="564">
        <v>0</v>
      </c>
      <c r="O44" s="20"/>
      <c r="P44" s="20"/>
      <c r="Q44" s="20"/>
      <c r="R44" s="20"/>
      <c r="S44" s="20"/>
      <c r="T44" s="20"/>
      <c r="U44" s="20"/>
      <c r="V44" s="20">
        <f>+'Allocation = % of margin'!V44</f>
        <v>0</v>
      </c>
      <c r="W44" s="20">
        <f>+'Allocation = % of margin'!Y44</f>
        <v>-1.2999999999999999E-4</v>
      </c>
      <c r="X44" s="20"/>
      <c r="Y44" s="20"/>
      <c r="Z44" s="20"/>
      <c r="AA44" s="20"/>
      <c r="AB44" s="20"/>
      <c r="AC44" s="20"/>
      <c r="AD44" s="20">
        <f t="shared" si="12"/>
        <v>-1.2999999999999999E-4</v>
      </c>
      <c r="AE44" s="20">
        <f t="shared" si="13"/>
        <v>-1.2999999999999999E-4</v>
      </c>
      <c r="AF44" s="20"/>
      <c r="AG44" s="202">
        <f t="shared" si="23"/>
        <v>-1.2999999999999999E-4</v>
      </c>
      <c r="AH44" s="202">
        <f t="shared" si="1"/>
        <v>-1.2999999999999999E-4</v>
      </c>
      <c r="AI44" s="202">
        <f t="shared" si="20"/>
        <v>0</v>
      </c>
      <c r="AJ44" s="202">
        <f t="shared" si="21"/>
        <v>0</v>
      </c>
      <c r="AK44" s="677">
        <f t="shared" si="15"/>
        <v>0</v>
      </c>
      <c r="AL44" s="202">
        <f t="shared" si="4"/>
        <v>0</v>
      </c>
      <c r="AM44" s="20">
        <f t="shared" si="5"/>
        <v>1.2999999999999999E-4</v>
      </c>
      <c r="AN44" s="20">
        <f t="shared" si="16"/>
        <v>0</v>
      </c>
      <c r="AO44" s="20">
        <f t="shared" si="6"/>
        <v>-1.2999999999999999E-4</v>
      </c>
      <c r="AQ44" s="20">
        <f t="shared" si="7"/>
        <v>0</v>
      </c>
      <c r="AS44" s="20">
        <f>+'Rates in detail'!U44</f>
        <v>0</v>
      </c>
      <c r="AT44" s="20"/>
      <c r="AU44" s="20"/>
      <c r="AV44" s="20">
        <f t="shared" si="8"/>
        <v>0</v>
      </c>
      <c r="AW44" s="20">
        <f t="shared" si="9"/>
        <v>0</v>
      </c>
      <c r="AX44" s="20">
        <f t="shared" si="17"/>
        <v>0</v>
      </c>
      <c r="AZ44" s="691">
        <v>0</v>
      </c>
      <c r="BA44" s="691">
        <v>0</v>
      </c>
      <c r="BB44" s="691">
        <v>0</v>
      </c>
      <c r="BC44" s="692">
        <v>0</v>
      </c>
      <c r="BE44" s="20">
        <f t="shared" si="18"/>
        <v>0</v>
      </c>
      <c r="BF44" s="20">
        <f t="shared" si="19"/>
        <v>0</v>
      </c>
    </row>
    <row r="45" spans="1:58" x14ac:dyDescent="0.25">
      <c r="A45" s="4">
        <f t="shared" si="0"/>
        <v>39</v>
      </c>
      <c r="B45" s="69"/>
      <c r="C45" s="18" t="s">
        <v>10</v>
      </c>
      <c r="D45" s="649">
        <v>0</v>
      </c>
      <c r="E45" s="649">
        <v>0</v>
      </c>
      <c r="F45" s="402">
        <f>+'Allocation equal ¢ per therm'!H45</f>
        <v>0</v>
      </c>
      <c r="G45" s="402">
        <f>+'Allocation equal ¢ per therm'!K45</f>
        <v>0</v>
      </c>
      <c r="H45" s="402">
        <f>+'Allocation equal ¢ per therm'!N45</f>
        <v>0</v>
      </c>
      <c r="I45" s="402">
        <f t="shared" si="10"/>
        <v>0</v>
      </c>
      <c r="J45" s="402">
        <f t="shared" si="11"/>
        <v>0</v>
      </c>
      <c r="K45" s="402">
        <f>+'Allocation = % of margin'!P45</f>
        <v>0</v>
      </c>
      <c r="L45" s="402">
        <f>+'Allocation = % of margin'!S45</f>
        <v>0</v>
      </c>
      <c r="M45" s="564">
        <v>0</v>
      </c>
      <c r="N45" s="564">
        <v>0</v>
      </c>
      <c r="O45" s="20"/>
      <c r="P45" s="20"/>
      <c r="Q45" s="20"/>
      <c r="R45" s="20"/>
      <c r="S45" s="20"/>
      <c r="T45" s="20"/>
      <c r="U45" s="20"/>
      <c r="V45" s="20">
        <f>+'Allocation = % of margin'!V45</f>
        <v>0</v>
      </c>
      <c r="W45" s="20">
        <f>+'Allocation = % of margin'!Y45</f>
        <v>-9.0000000000000006E-5</v>
      </c>
      <c r="X45" s="20"/>
      <c r="Y45" s="20"/>
      <c r="Z45" s="20"/>
      <c r="AA45" s="20"/>
      <c r="AB45" s="20"/>
      <c r="AC45" s="20"/>
      <c r="AD45" s="20">
        <f t="shared" si="12"/>
        <v>-9.0000000000000006E-5</v>
      </c>
      <c r="AE45" s="20">
        <f t="shared" si="13"/>
        <v>-9.0000000000000006E-5</v>
      </c>
      <c r="AF45" s="20"/>
      <c r="AG45" s="202">
        <f t="shared" si="23"/>
        <v>-9.0000000000000006E-5</v>
      </c>
      <c r="AH45" s="202">
        <f t="shared" si="1"/>
        <v>-9.0000000000000006E-5</v>
      </c>
      <c r="AI45" s="202">
        <f t="shared" si="20"/>
        <v>0</v>
      </c>
      <c r="AJ45" s="202">
        <f t="shared" si="21"/>
        <v>0</v>
      </c>
      <c r="AK45" s="677">
        <f t="shared" si="15"/>
        <v>0</v>
      </c>
      <c r="AL45" s="202">
        <f t="shared" ref="AL45:AL67" si="24">SUM(AI45:AK45)</f>
        <v>0</v>
      </c>
      <c r="AM45" s="20">
        <f t="shared" ref="AM45:AM67" si="25">+AK45-AO45-AQ45-AX45</f>
        <v>9.0000000000000006E-5</v>
      </c>
      <c r="AN45" s="20">
        <f t="shared" si="16"/>
        <v>0</v>
      </c>
      <c r="AO45" s="20">
        <f t="shared" ref="AO45:AO67" si="26">+W45</f>
        <v>-9.0000000000000006E-5</v>
      </c>
      <c r="AQ45" s="20">
        <f t="shared" ref="AQ45:AQ67" si="27">+K45</f>
        <v>0</v>
      </c>
      <c r="AS45" s="20">
        <f>+'Rates in detail'!U45</f>
        <v>0</v>
      </c>
      <c r="AT45" s="20"/>
      <c r="AU45" s="20"/>
      <c r="AV45" s="20">
        <f t="shared" ref="AV45:AV67" si="28">+L45</f>
        <v>0</v>
      </c>
      <c r="AW45" s="20">
        <f t="shared" ref="AW45:AW67" si="29">+V45</f>
        <v>0</v>
      </c>
      <c r="AX45" s="20">
        <f t="shared" si="17"/>
        <v>0</v>
      </c>
      <c r="AZ45" s="691">
        <v>0</v>
      </c>
      <c r="BA45" s="691">
        <v>0</v>
      </c>
      <c r="BB45" s="691">
        <v>0</v>
      </c>
      <c r="BC45" s="692">
        <v>0</v>
      </c>
      <c r="BE45" s="20">
        <f t="shared" si="18"/>
        <v>0</v>
      </c>
      <c r="BF45" s="20">
        <f t="shared" si="19"/>
        <v>0</v>
      </c>
    </row>
    <row r="46" spans="1:58" x14ac:dyDescent="0.25">
      <c r="A46" s="4">
        <f t="shared" si="0"/>
        <v>40</v>
      </c>
      <c r="B46" s="74"/>
      <c r="C46" s="22" t="s">
        <v>11</v>
      </c>
      <c r="D46" s="647">
        <v>0</v>
      </c>
      <c r="E46" s="647">
        <v>0</v>
      </c>
      <c r="F46" s="380">
        <f>+'Allocation equal ¢ per therm'!H46</f>
        <v>0</v>
      </c>
      <c r="G46" s="380">
        <f>+'Allocation equal ¢ per therm'!K46</f>
        <v>0</v>
      </c>
      <c r="H46" s="380">
        <f>+'Allocation equal ¢ per therm'!N46</f>
        <v>0</v>
      </c>
      <c r="I46" s="380">
        <f t="shared" si="10"/>
        <v>0</v>
      </c>
      <c r="J46" s="380">
        <f t="shared" si="11"/>
        <v>0</v>
      </c>
      <c r="K46" s="380">
        <f>+'Allocation = % of margin'!P46</f>
        <v>0</v>
      </c>
      <c r="L46" s="380">
        <f>+'Allocation = % of margin'!S46</f>
        <v>0</v>
      </c>
      <c r="M46" s="575">
        <v>0</v>
      </c>
      <c r="N46" s="575">
        <v>0</v>
      </c>
      <c r="O46" s="14"/>
      <c r="P46" s="14"/>
      <c r="Q46" s="14"/>
      <c r="R46" s="14"/>
      <c r="S46" s="14"/>
      <c r="T46" s="14"/>
      <c r="U46" s="14"/>
      <c r="V46" s="14">
        <f>+'Allocation = % of margin'!V46</f>
        <v>0</v>
      </c>
      <c r="W46" s="14">
        <f>+'Allocation = % of margin'!Y46</f>
        <v>-3.0000000000000001E-5</v>
      </c>
      <c r="X46" s="14"/>
      <c r="Y46" s="14"/>
      <c r="Z46" s="14"/>
      <c r="AA46" s="14"/>
      <c r="AB46" s="14"/>
      <c r="AC46" s="14"/>
      <c r="AD46" s="14">
        <f t="shared" si="12"/>
        <v>-3.0000000000000001E-5</v>
      </c>
      <c r="AE46" s="14">
        <f t="shared" si="13"/>
        <v>-3.0000000000000001E-5</v>
      </c>
      <c r="AF46" s="20"/>
      <c r="AG46" s="202">
        <f t="shared" si="23"/>
        <v>-3.0000000000000001E-5</v>
      </c>
      <c r="AH46" s="202">
        <f t="shared" si="1"/>
        <v>-3.0000000000000001E-5</v>
      </c>
      <c r="AI46" s="202">
        <f t="shared" si="20"/>
        <v>0</v>
      </c>
      <c r="AJ46" s="202">
        <f t="shared" si="21"/>
        <v>0</v>
      </c>
      <c r="AK46" s="677">
        <f t="shared" si="15"/>
        <v>0</v>
      </c>
      <c r="AL46" s="202">
        <f t="shared" si="24"/>
        <v>0</v>
      </c>
      <c r="AM46" s="20">
        <f t="shared" si="25"/>
        <v>3.0000000000000001E-5</v>
      </c>
      <c r="AN46" s="20">
        <f t="shared" si="16"/>
        <v>0</v>
      </c>
      <c r="AO46" s="20">
        <f t="shared" si="26"/>
        <v>-3.0000000000000001E-5</v>
      </c>
      <c r="AQ46" s="20">
        <f t="shared" si="27"/>
        <v>0</v>
      </c>
      <c r="AS46" s="20">
        <f>+'Rates in detail'!U46</f>
        <v>0</v>
      </c>
      <c r="AT46" s="20"/>
      <c r="AU46" s="20"/>
      <c r="AV46" s="20">
        <f t="shared" si="28"/>
        <v>0</v>
      </c>
      <c r="AW46" s="20">
        <f t="shared" si="29"/>
        <v>0</v>
      </c>
      <c r="AX46" s="20">
        <f t="shared" si="17"/>
        <v>0</v>
      </c>
      <c r="AZ46" s="691">
        <v>0</v>
      </c>
      <c r="BA46" s="691">
        <v>0</v>
      </c>
      <c r="BB46" s="691">
        <v>0</v>
      </c>
      <c r="BC46" s="692">
        <v>0</v>
      </c>
      <c r="BE46" s="20">
        <f t="shared" si="18"/>
        <v>0</v>
      </c>
      <c r="BF46" s="20">
        <f t="shared" si="19"/>
        <v>0</v>
      </c>
    </row>
    <row r="47" spans="1:58" x14ac:dyDescent="0.25">
      <c r="A47" s="4">
        <f t="shared" si="0"/>
        <v>41</v>
      </c>
      <c r="B47" s="69" t="s">
        <v>369</v>
      </c>
      <c r="C47" s="18" t="s">
        <v>6</v>
      </c>
      <c r="D47" s="649">
        <v>-7.6099999999999987E-3</v>
      </c>
      <c r="E47" s="649">
        <v>-1.6559999999999998E-2</v>
      </c>
      <c r="F47" s="402">
        <f>+'Allocation equal ¢ per therm'!H47</f>
        <v>-2.6290000000000001E-2</v>
      </c>
      <c r="G47" s="402">
        <f>+'Allocation equal ¢ per therm'!K47</f>
        <v>0</v>
      </c>
      <c r="H47" s="402">
        <f>+'Allocation equal ¢ per therm'!N47</f>
        <v>-9.3699999999999999E-3</v>
      </c>
      <c r="I47" s="402">
        <f t="shared" si="10"/>
        <v>-3.5659999999999997E-2</v>
      </c>
      <c r="J47" s="402">
        <f t="shared" si="11"/>
        <v>-1.9099999999999999E-2</v>
      </c>
      <c r="K47" s="402">
        <f>+'Allocation = % of margin'!P47</f>
        <v>1.076E-2</v>
      </c>
      <c r="L47" s="402">
        <f>+'Allocation = % of margin'!S47</f>
        <v>1.6199999999999999E-3</v>
      </c>
      <c r="M47" s="564">
        <v>0</v>
      </c>
      <c r="N47" s="564">
        <v>0</v>
      </c>
      <c r="O47" s="20"/>
      <c r="P47" s="20"/>
      <c r="Q47" s="20"/>
      <c r="R47" s="20"/>
      <c r="S47" s="20"/>
      <c r="T47" s="20"/>
      <c r="U47" s="20"/>
      <c r="V47" s="20">
        <f>+'Allocation = % of margin'!V47</f>
        <v>3.8000000000000002E-4</v>
      </c>
      <c r="W47" s="20">
        <f>+'Allocation = % of margin'!Y47</f>
        <v>-2.4000000000000001E-4</v>
      </c>
      <c r="X47" s="20"/>
      <c r="Y47" s="20"/>
      <c r="Z47" s="20"/>
      <c r="AA47" s="20"/>
      <c r="AB47" s="20"/>
      <c r="AC47" s="20"/>
      <c r="AD47" s="20">
        <f t="shared" si="12"/>
        <v>-2.3139999999999997E-2</v>
      </c>
      <c r="AE47" s="20">
        <f t="shared" ref="AE47:AE52" si="30">+AD47-D47</f>
        <v>-1.5529999999999999E-2</v>
      </c>
      <c r="AF47" s="20"/>
      <c r="AG47" s="202">
        <f t="shared" ref="AG47:AG66" si="31">+AD47-K47</f>
        <v>-3.39E-2</v>
      </c>
      <c r="AH47" s="202">
        <f t="shared" si="1"/>
        <v>1.7599999999999998E-3</v>
      </c>
      <c r="AI47" s="202">
        <f t="shared" si="20"/>
        <v>-2.6290000000000001E-2</v>
      </c>
      <c r="AJ47" s="202">
        <f t="shared" si="21"/>
        <v>-9.3699999999999999E-3</v>
      </c>
      <c r="AK47" s="677">
        <f t="shared" si="15"/>
        <v>1.2760000000000001E-2</v>
      </c>
      <c r="AL47" s="202">
        <f t="shared" si="24"/>
        <v>-2.2899999999999997E-2</v>
      </c>
      <c r="AM47" s="20">
        <f t="shared" si="25"/>
        <v>2.4000000000000063E-4</v>
      </c>
      <c r="AN47" s="20">
        <f t="shared" si="16"/>
        <v>-3.5659999999999997E-2</v>
      </c>
      <c r="AO47" s="20">
        <f t="shared" si="26"/>
        <v>-2.4000000000000001E-4</v>
      </c>
      <c r="AQ47" s="20">
        <f t="shared" si="27"/>
        <v>1.076E-2</v>
      </c>
      <c r="AS47" s="20">
        <f>+'Rates in detail'!U47</f>
        <v>0</v>
      </c>
      <c r="AT47" s="20"/>
      <c r="AU47" s="20"/>
      <c r="AV47" s="20">
        <f t="shared" si="28"/>
        <v>1.6199999999999999E-3</v>
      </c>
      <c r="AW47" s="20">
        <f t="shared" si="29"/>
        <v>3.8000000000000002E-4</v>
      </c>
      <c r="AX47" s="20">
        <f t="shared" si="17"/>
        <v>2E-3</v>
      </c>
      <c r="AZ47" s="691">
        <v>7.4599999999999996E-3</v>
      </c>
      <c r="BA47" s="691">
        <v>1.49E-3</v>
      </c>
      <c r="BB47" s="691">
        <v>-1.6559999999999998E-2</v>
      </c>
      <c r="BC47" s="692">
        <v>0</v>
      </c>
      <c r="BE47" s="20">
        <f t="shared" si="18"/>
        <v>2E-3</v>
      </c>
      <c r="BF47" s="20">
        <f t="shared" si="19"/>
        <v>-3.3659999999999995E-2</v>
      </c>
    </row>
    <row r="48" spans="1:58" x14ac:dyDescent="0.25">
      <c r="A48" s="4">
        <f t="shared" si="0"/>
        <v>42</v>
      </c>
      <c r="B48" s="69"/>
      <c r="C48" s="18" t="s">
        <v>7</v>
      </c>
      <c r="D48" s="649">
        <v>-8.5399999999999972E-3</v>
      </c>
      <c r="E48" s="649">
        <v>-1.6559999999999998E-2</v>
      </c>
      <c r="F48" s="402">
        <f>+'Allocation equal ¢ per therm'!H48</f>
        <v>-2.6290000000000001E-2</v>
      </c>
      <c r="G48" s="402">
        <f>+'Allocation equal ¢ per therm'!K48</f>
        <v>0</v>
      </c>
      <c r="H48" s="402">
        <f>+'Allocation equal ¢ per therm'!N48</f>
        <v>-9.3699999999999999E-3</v>
      </c>
      <c r="I48" s="402">
        <f t="shared" si="10"/>
        <v>-3.5659999999999997E-2</v>
      </c>
      <c r="J48" s="402">
        <f t="shared" si="11"/>
        <v>-1.9099999999999999E-2</v>
      </c>
      <c r="K48" s="402">
        <f>+'Allocation = % of margin'!P48</f>
        <v>9.6299999999999997E-3</v>
      </c>
      <c r="L48" s="402">
        <f>+'Allocation = % of margin'!S48</f>
        <v>1.4499999999999999E-3</v>
      </c>
      <c r="M48" s="564">
        <v>0</v>
      </c>
      <c r="N48" s="564">
        <v>0</v>
      </c>
      <c r="O48" s="20"/>
      <c r="P48" s="20"/>
      <c r="Q48" s="20"/>
      <c r="R48" s="20"/>
      <c r="S48" s="20"/>
      <c r="T48" s="20"/>
      <c r="U48" s="20"/>
      <c r="V48" s="20">
        <f>+'Allocation = % of margin'!V48</f>
        <v>3.4000000000000002E-4</v>
      </c>
      <c r="W48" s="20">
        <f>+'Allocation = % of margin'!Y48</f>
        <v>-2.1000000000000001E-4</v>
      </c>
      <c r="X48" s="20"/>
      <c r="Y48" s="20"/>
      <c r="Z48" s="20"/>
      <c r="AA48" s="20"/>
      <c r="AB48" s="20"/>
      <c r="AC48" s="20"/>
      <c r="AD48" s="20">
        <f t="shared" si="12"/>
        <v>-2.445E-2</v>
      </c>
      <c r="AE48" s="20">
        <f t="shared" si="30"/>
        <v>-1.5910000000000001E-2</v>
      </c>
      <c r="AF48" s="20"/>
      <c r="AG48" s="202">
        <f t="shared" si="31"/>
        <v>-3.4079999999999999E-2</v>
      </c>
      <c r="AH48" s="202">
        <f t="shared" si="1"/>
        <v>1.5799999999999998E-3</v>
      </c>
      <c r="AI48" s="202">
        <f t="shared" si="20"/>
        <v>-2.6290000000000001E-2</v>
      </c>
      <c r="AJ48" s="202">
        <f t="shared" si="21"/>
        <v>-9.3699999999999999E-3</v>
      </c>
      <c r="AK48" s="677">
        <f t="shared" si="15"/>
        <v>1.142E-2</v>
      </c>
      <c r="AL48" s="202">
        <f t="shared" si="24"/>
        <v>-2.4239999999999998E-2</v>
      </c>
      <c r="AM48" s="20">
        <f t="shared" si="25"/>
        <v>2.1000000000000012E-4</v>
      </c>
      <c r="AN48" s="20">
        <f t="shared" si="16"/>
        <v>-3.5659999999999997E-2</v>
      </c>
      <c r="AO48" s="20">
        <f t="shared" si="26"/>
        <v>-2.1000000000000001E-4</v>
      </c>
      <c r="AQ48" s="20">
        <f t="shared" si="27"/>
        <v>9.6299999999999997E-3</v>
      </c>
      <c r="AS48" s="20">
        <f>+'Rates in detail'!U48</f>
        <v>0</v>
      </c>
      <c r="AT48" s="20"/>
      <c r="AU48" s="20"/>
      <c r="AV48" s="20">
        <f t="shared" si="28"/>
        <v>1.4499999999999999E-3</v>
      </c>
      <c r="AW48" s="20">
        <f t="shared" si="29"/>
        <v>3.4000000000000002E-4</v>
      </c>
      <c r="AX48" s="20">
        <f t="shared" si="17"/>
        <v>1.7899999999999999E-3</v>
      </c>
      <c r="AZ48" s="691">
        <v>6.6800000000000002E-3</v>
      </c>
      <c r="BA48" s="691">
        <v>1.34E-3</v>
      </c>
      <c r="BB48" s="691">
        <v>-1.6559999999999998E-2</v>
      </c>
      <c r="BC48" s="692">
        <v>0</v>
      </c>
      <c r="BE48" s="20">
        <f t="shared" si="18"/>
        <v>1.7899999999999999E-3</v>
      </c>
      <c r="BF48" s="20">
        <f t="shared" si="19"/>
        <v>-3.3869999999999997E-2</v>
      </c>
    </row>
    <row r="49" spans="1:58" x14ac:dyDescent="0.25">
      <c r="A49" s="4">
        <f t="shared" si="0"/>
        <v>43</v>
      </c>
      <c r="B49" s="69"/>
      <c r="C49" s="18" t="s">
        <v>8</v>
      </c>
      <c r="D49" s="649">
        <v>-1.0419999999999999E-2</v>
      </c>
      <c r="E49" s="649">
        <v>-1.6559999999999998E-2</v>
      </c>
      <c r="F49" s="402">
        <f>+'Allocation equal ¢ per therm'!H49</f>
        <v>-2.6290000000000001E-2</v>
      </c>
      <c r="G49" s="402">
        <f>+'Allocation equal ¢ per therm'!K49</f>
        <v>0</v>
      </c>
      <c r="H49" s="402">
        <f>+'Allocation equal ¢ per therm'!N49</f>
        <v>-9.3699999999999999E-3</v>
      </c>
      <c r="I49" s="402">
        <f t="shared" si="10"/>
        <v>-3.5659999999999997E-2</v>
      </c>
      <c r="J49" s="402">
        <f t="shared" si="11"/>
        <v>-1.9099999999999999E-2</v>
      </c>
      <c r="K49" s="402">
        <f>+'Allocation = % of margin'!P49</f>
        <v>7.3800000000000003E-3</v>
      </c>
      <c r="L49" s="402">
        <f>+'Allocation = % of margin'!S49</f>
        <v>1.1100000000000001E-3</v>
      </c>
      <c r="M49" s="564">
        <v>0</v>
      </c>
      <c r="N49" s="564">
        <v>0</v>
      </c>
      <c r="O49" s="20"/>
      <c r="P49" s="20"/>
      <c r="Q49" s="20"/>
      <c r="R49" s="20"/>
      <c r="S49" s="20"/>
      <c r="T49" s="20"/>
      <c r="U49" s="20"/>
      <c r="V49" s="20">
        <f>+'Allocation = % of margin'!V49</f>
        <v>2.5999999999999998E-4</v>
      </c>
      <c r="W49" s="20">
        <f>+'Allocation = % of margin'!Y49</f>
        <v>-1.6000000000000001E-4</v>
      </c>
      <c r="X49" s="20"/>
      <c r="Y49" s="20"/>
      <c r="Z49" s="20"/>
      <c r="AA49" s="20"/>
      <c r="AB49" s="20"/>
      <c r="AC49" s="20"/>
      <c r="AD49" s="20">
        <f t="shared" si="12"/>
        <v>-2.7069999999999997E-2</v>
      </c>
      <c r="AE49" s="20">
        <f t="shared" si="30"/>
        <v>-1.6649999999999998E-2</v>
      </c>
      <c r="AF49" s="20"/>
      <c r="AG49" s="202">
        <f t="shared" si="31"/>
        <v>-3.4449999999999995E-2</v>
      </c>
      <c r="AH49" s="202">
        <f t="shared" si="1"/>
        <v>1.2100000000000001E-3</v>
      </c>
      <c r="AI49" s="202">
        <f t="shared" si="20"/>
        <v>-2.6290000000000001E-2</v>
      </c>
      <c r="AJ49" s="202">
        <f t="shared" si="21"/>
        <v>-9.3699999999999999E-3</v>
      </c>
      <c r="AK49" s="677">
        <f t="shared" si="15"/>
        <v>8.7500000000000008E-3</v>
      </c>
      <c r="AL49" s="202">
        <f t="shared" si="24"/>
        <v>-2.6909999999999996E-2</v>
      </c>
      <c r="AM49" s="20">
        <f t="shared" si="25"/>
        <v>1.6000000000000085E-4</v>
      </c>
      <c r="AN49" s="20">
        <f t="shared" si="16"/>
        <v>-3.5659999999999997E-2</v>
      </c>
      <c r="AO49" s="20">
        <f t="shared" si="26"/>
        <v>-1.6000000000000001E-4</v>
      </c>
      <c r="AQ49" s="20">
        <f t="shared" si="27"/>
        <v>7.3800000000000003E-3</v>
      </c>
      <c r="AS49" s="20">
        <f>+'Rates in detail'!U49</f>
        <v>0</v>
      </c>
      <c r="AT49" s="20"/>
      <c r="AU49" s="20"/>
      <c r="AV49" s="20">
        <f t="shared" si="28"/>
        <v>1.1100000000000001E-3</v>
      </c>
      <c r="AW49" s="20">
        <f t="shared" si="29"/>
        <v>2.5999999999999998E-4</v>
      </c>
      <c r="AX49" s="20">
        <f t="shared" si="17"/>
        <v>1.3700000000000001E-3</v>
      </c>
      <c r="AZ49" s="691">
        <v>5.1200000000000004E-3</v>
      </c>
      <c r="BA49" s="691">
        <v>1.0200000000000001E-3</v>
      </c>
      <c r="BB49" s="691">
        <v>-1.6559999999999998E-2</v>
      </c>
      <c r="BC49" s="692">
        <v>0</v>
      </c>
      <c r="BE49" s="20">
        <f t="shared" si="18"/>
        <v>1.3700000000000006E-3</v>
      </c>
      <c r="BF49" s="20">
        <f t="shared" si="19"/>
        <v>-3.4289999999999994E-2</v>
      </c>
    </row>
    <row r="50" spans="1:58" x14ac:dyDescent="0.25">
      <c r="A50" s="4">
        <f t="shared" si="0"/>
        <v>44</v>
      </c>
      <c r="B50" s="69"/>
      <c r="C50" s="18" t="s">
        <v>9</v>
      </c>
      <c r="D50" s="649">
        <v>-1.1639999999999998E-2</v>
      </c>
      <c r="E50" s="649">
        <v>-1.6559999999999998E-2</v>
      </c>
      <c r="F50" s="402">
        <f>+'Allocation equal ¢ per therm'!H50</f>
        <v>-2.6290000000000001E-2</v>
      </c>
      <c r="G50" s="402">
        <f>+'Allocation equal ¢ per therm'!K50</f>
        <v>0</v>
      </c>
      <c r="H50" s="402">
        <f>+'Allocation equal ¢ per therm'!N50</f>
        <v>-9.3699999999999999E-3</v>
      </c>
      <c r="I50" s="402">
        <f t="shared" si="10"/>
        <v>-3.5659999999999997E-2</v>
      </c>
      <c r="J50" s="402">
        <f t="shared" si="11"/>
        <v>-1.9099999999999999E-2</v>
      </c>
      <c r="K50" s="402">
        <f>+'Allocation = % of margin'!P50</f>
        <v>5.9100000000000003E-3</v>
      </c>
      <c r="L50" s="402">
        <f>+'Allocation = % of margin'!S50</f>
        <v>8.8999999999999995E-4</v>
      </c>
      <c r="M50" s="564">
        <v>0</v>
      </c>
      <c r="N50" s="564">
        <v>0</v>
      </c>
      <c r="O50" s="20"/>
      <c r="P50" s="20"/>
      <c r="Q50" s="20"/>
      <c r="R50" s="20"/>
      <c r="S50" s="20"/>
      <c r="T50" s="20"/>
      <c r="U50" s="20"/>
      <c r="V50" s="20">
        <f>+'Allocation = % of margin'!V50</f>
        <v>2.1000000000000001E-4</v>
      </c>
      <c r="W50" s="20">
        <f>+'Allocation = % of margin'!Y50</f>
        <v>-1.2999999999999999E-4</v>
      </c>
      <c r="X50" s="20"/>
      <c r="Y50" s="20"/>
      <c r="Z50" s="20"/>
      <c r="AA50" s="20"/>
      <c r="AB50" s="20"/>
      <c r="AC50" s="20"/>
      <c r="AD50" s="20">
        <f t="shared" si="12"/>
        <v>-2.8779999999999997E-2</v>
      </c>
      <c r="AE50" s="20">
        <f t="shared" si="30"/>
        <v>-1.7139999999999999E-2</v>
      </c>
      <c r="AF50" s="20"/>
      <c r="AG50" s="202">
        <f t="shared" si="31"/>
        <v>-3.4689999999999999E-2</v>
      </c>
      <c r="AH50" s="202">
        <f t="shared" si="1"/>
        <v>9.6999999999999994E-4</v>
      </c>
      <c r="AI50" s="202">
        <f t="shared" si="20"/>
        <v>-2.6290000000000001E-2</v>
      </c>
      <c r="AJ50" s="202">
        <f t="shared" si="21"/>
        <v>-9.3699999999999999E-3</v>
      </c>
      <c r="AK50" s="677">
        <f t="shared" si="15"/>
        <v>7.0100000000000006E-3</v>
      </c>
      <c r="AL50" s="202">
        <f t="shared" si="24"/>
        <v>-2.8649999999999995E-2</v>
      </c>
      <c r="AM50" s="20">
        <f t="shared" si="25"/>
        <v>1.3000000000000034E-4</v>
      </c>
      <c r="AN50" s="20">
        <f t="shared" si="16"/>
        <v>-3.5659999999999997E-2</v>
      </c>
      <c r="AO50" s="20">
        <f t="shared" si="26"/>
        <v>-1.2999999999999999E-4</v>
      </c>
      <c r="AQ50" s="20">
        <f t="shared" si="27"/>
        <v>5.9100000000000003E-3</v>
      </c>
      <c r="AS50" s="20">
        <f>+'Rates in detail'!U50</f>
        <v>0</v>
      </c>
      <c r="AT50" s="20"/>
      <c r="AU50" s="20"/>
      <c r="AV50" s="20">
        <f t="shared" si="28"/>
        <v>8.8999999999999995E-4</v>
      </c>
      <c r="AW50" s="20">
        <f t="shared" si="29"/>
        <v>2.1000000000000001E-4</v>
      </c>
      <c r="AX50" s="20">
        <f t="shared" si="17"/>
        <v>1.0999999999999998E-3</v>
      </c>
      <c r="AZ50" s="691">
        <v>4.1000000000000003E-3</v>
      </c>
      <c r="BA50" s="691">
        <v>8.1999999999999998E-4</v>
      </c>
      <c r="BB50" s="691">
        <v>-1.6559999999999998E-2</v>
      </c>
      <c r="BC50" s="692">
        <v>0</v>
      </c>
      <c r="BE50" s="20">
        <f t="shared" si="18"/>
        <v>1.1000000000000003E-3</v>
      </c>
      <c r="BF50" s="20">
        <f t="shared" si="19"/>
        <v>-3.4559999999999994E-2</v>
      </c>
    </row>
    <row r="51" spans="1:58" x14ac:dyDescent="0.25">
      <c r="A51" s="4">
        <f t="shared" si="0"/>
        <v>45</v>
      </c>
      <c r="B51" s="69"/>
      <c r="C51" s="18" t="s">
        <v>10</v>
      </c>
      <c r="D51" s="649">
        <v>-1.3279999999999998E-2</v>
      </c>
      <c r="E51" s="649">
        <v>-1.6559999999999998E-2</v>
      </c>
      <c r="F51" s="402">
        <f>+'Allocation equal ¢ per therm'!H51</f>
        <v>-2.6290000000000001E-2</v>
      </c>
      <c r="G51" s="402">
        <f>+'Allocation equal ¢ per therm'!K51</f>
        <v>0</v>
      </c>
      <c r="H51" s="402">
        <f>+'Allocation equal ¢ per therm'!N51</f>
        <v>-9.3699999999999999E-3</v>
      </c>
      <c r="I51" s="402">
        <f t="shared" si="10"/>
        <v>-3.5659999999999997E-2</v>
      </c>
      <c r="J51" s="402">
        <f t="shared" si="11"/>
        <v>-1.9099999999999999E-2</v>
      </c>
      <c r="K51" s="402">
        <f>+'Allocation = % of margin'!P51</f>
        <v>3.9399999999999999E-3</v>
      </c>
      <c r="L51" s="402">
        <f>+'Allocation = % of margin'!S51</f>
        <v>5.9000000000000003E-4</v>
      </c>
      <c r="M51" s="564">
        <v>0</v>
      </c>
      <c r="N51" s="564">
        <v>0</v>
      </c>
      <c r="O51" s="20"/>
      <c r="P51" s="20"/>
      <c r="Q51" s="20"/>
      <c r="R51" s="20"/>
      <c r="S51" s="20"/>
      <c r="T51" s="20"/>
      <c r="U51" s="20"/>
      <c r="V51" s="20">
        <f>+'Allocation = % of margin'!V51</f>
        <v>1.3999999999999999E-4</v>
      </c>
      <c r="W51" s="20">
        <f>+'Allocation = % of margin'!Y51</f>
        <v>-9.0000000000000006E-5</v>
      </c>
      <c r="X51" s="20"/>
      <c r="Y51" s="20"/>
      <c r="Z51" s="20"/>
      <c r="AA51" s="20"/>
      <c r="AB51" s="20"/>
      <c r="AC51" s="20"/>
      <c r="AD51" s="20">
        <f t="shared" si="12"/>
        <v>-3.1079999999999997E-2</v>
      </c>
      <c r="AE51" s="20">
        <f t="shared" si="30"/>
        <v>-1.7799999999999996E-2</v>
      </c>
      <c r="AF51" s="20"/>
      <c r="AG51" s="202">
        <f t="shared" si="31"/>
        <v>-3.5019999999999996E-2</v>
      </c>
      <c r="AH51" s="202">
        <f t="shared" si="1"/>
        <v>6.4000000000000005E-4</v>
      </c>
      <c r="AI51" s="202">
        <f t="shared" si="20"/>
        <v>-2.6290000000000001E-2</v>
      </c>
      <c r="AJ51" s="202">
        <f t="shared" si="21"/>
        <v>-9.3699999999999999E-3</v>
      </c>
      <c r="AK51" s="677">
        <f t="shared" si="15"/>
        <v>4.6700000000000005E-3</v>
      </c>
      <c r="AL51" s="202">
        <f t="shared" si="24"/>
        <v>-3.0989999999999997E-2</v>
      </c>
      <c r="AM51" s="20">
        <f t="shared" si="25"/>
        <v>9.0000000000000453E-5</v>
      </c>
      <c r="AN51" s="20">
        <f t="shared" si="16"/>
        <v>-3.5659999999999997E-2</v>
      </c>
      <c r="AO51" s="20">
        <f t="shared" si="26"/>
        <v>-9.0000000000000006E-5</v>
      </c>
      <c r="AQ51" s="20">
        <f t="shared" si="27"/>
        <v>3.9399999999999999E-3</v>
      </c>
      <c r="AS51" s="20">
        <f>+'Rates in detail'!U51</f>
        <v>0</v>
      </c>
      <c r="AT51" s="20"/>
      <c r="AU51" s="20"/>
      <c r="AV51" s="20">
        <f t="shared" si="28"/>
        <v>5.9000000000000003E-4</v>
      </c>
      <c r="AW51" s="20">
        <f t="shared" si="29"/>
        <v>1.3999999999999999E-4</v>
      </c>
      <c r="AX51" s="20">
        <f t="shared" si="17"/>
        <v>7.2999999999999996E-4</v>
      </c>
      <c r="AZ51" s="691">
        <v>2.7299999999999998E-3</v>
      </c>
      <c r="BA51" s="691">
        <v>5.5000000000000003E-4</v>
      </c>
      <c r="BB51" s="691">
        <v>-1.6559999999999998E-2</v>
      </c>
      <c r="BC51" s="692">
        <v>0</v>
      </c>
      <c r="BE51" s="20">
        <f t="shared" si="18"/>
        <v>7.3000000000000061E-4</v>
      </c>
      <c r="BF51" s="20">
        <f t="shared" si="19"/>
        <v>-3.4929999999999996E-2</v>
      </c>
    </row>
    <row r="52" spans="1:58" x14ac:dyDescent="0.25">
      <c r="A52" s="4">
        <f t="shared" si="0"/>
        <v>46</v>
      </c>
      <c r="B52" s="74"/>
      <c r="C52" s="22" t="s">
        <v>11</v>
      </c>
      <c r="D52" s="647">
        <v>-1.5319999999999999E-2</v>
      </c>
      <c r="E52" s="647">
        <v>-1.6559999999999998E-2</v>
      </c>
      <c r="F52" s="380">
        <f>+'Allocation equal ¢ per therm'!H52</f>
        <v>-2.6290000000000001E-2</v>
      </c>
      <c r="G52" s="380">
        <f>+'Allocation equal ¢ per therm'!K52</f>
        <v>0</v>
      </c>
      <c r="H52" s="380">
        <f>+'Allocation equal ¢ per therm'!N52</f>
        <v>-9.3699999999999999E-3</v>
      </c>
      <c r="I52" s="380">
        <f t="shared" si="10"/>
        <v>-3.5659999999999997E-2</v>
      </c>
      <c r="J52" s="380">
        <f t="shared" si="11"/>
        <v>-1.9099999999999999E-2</v>
      </c>
      <c r="K52" s="380">
        <f>+'Allocation = % of margin'!P52</f>
        <v>1.48E-3</v>
      </c>
      <c r="L52" s="380">
        <f>+'Allocation = % of margin'!S52</f>
        <v>2.2000000000000001E-4</v>
      </c>
      <c r="M52" s="575">
        <v>0</v>
      </c>
      <c r="N52" s="575">
        <v>0</v>
      </c>
      <c r="O52" s="14"/>
      <c r="P52" s="14"/>
      <c r="Q52" s="14"/>
      <c r="R52" s="14"/>
      <c r="S52" s="14"/>
      <c r="T52" s="14"/>
      <c r="U52" s="14"/>
      <c r="V52" s="14">
        <f>+'Allocation = % of margin'!V52</f>
        <v>5.0000000000000002E-5</v>
      </c>
      <c r="W52" s="14">
        <f>+'Allocation = % of margin'!Y52</f>
        <v>-3.0000000000000001E-5</v>
      </c>
      <c r="X52" s="14"/>
      <c r="Y52" s="14"/>
      <c r="Z52" s="14"/>
      <c r="AA52" s="14"/>
      <c r="AB52" s="14"/>
      <c r="AC52" s="14"/>
      <c r="AD52" s="14">
        <f t="shared" si="12"/>
        <v>-3.3939999999999998E-2</v>
      </c>
      <c r="AE52" s="14">
        <f t="shared" si="30"/>
        <v>-1.8619999999999998E-2</v>
      </c>
      <c r="AF52" s="20"/>
      <c r="AG52" s="202">
        <f t="shared" si="31"/>
        <v>-3.542E-2</v>
      </c>
      <c r="AH52" s="202">
        <f t="shared" si="1"/>
        <v>2.4000000000000001E-4</v>
      </c>
      <c r="AI52" s="202">
        <f t="shared" si="20"/>
        <v>-2.6290000000000001E-2</v>
      </c>
      <c r="AJ52" s="202">
        <f t="shared" si="21"/>
        <v>-9.3699999999999999E-3</v>
      </c>
      <c r="AK52" s="677">
        <f t="shared" si="15"/>
        <v>1.7499999999999998E-3</v>
      </c>
      <c r="AL52" s="202">
        <f t="shared" si="24"/>
        <v>-3.3909999999999996E-2</v>
      </c>
      <c r="AM52" s="20">
        <f t="shared" si="25"/>
        <v>2.9999999999999916E-5</v>
      </c>
      <c r="AN52" s="20">
        <f t="shared" si="16"/>
        <v>-3.5659999999999997E-2</v>
      </c>
      <c r="AO52" s="20">
        <f t="shared" si="26"/>
        <v>-3.0000000000000001E-5</v>
      </c>
      <c r="AQ52" s="20">
        <f t="shared" si="27"/>
        <v>1.48E-3</v>
      </c>
      <c r="AS52" s="20">
        <f>+'Rates in detail'!U52</f>
        <v>0</v>
      </c>
      <c r="AT52" s="20"/>
      <c r="AU52" s="20"/>
      <c r="AV52" s="20">
        <f t="shared" si="28"/>
        <v>2.2000000000000001E-4</v>
      </c>
      <c r="AW52" s="20">
        <f t="shared" si="29"/>
        <v>5.0000000000000002E-5</v>
      </c>
      <c r="AX52" s="20">
        <f t="shared" si="17"/>
        <v>2.7E-4</v>
      </c>
      <c r="AZ52" s="691">
        <v>1.0300000000000001E-3</v>
      </c>
      <c r="BA52" s="691">
        <v>2.0999999999999998E-4</v>
      </c>
      <c r="BB52" s="691">
        <v>-1.6559999999999998E-2</v>
      </c>
      <c r="BC52" s="692">
        <v>0</v>
      </c>
      <c r="BE52" s="20">
        <f t="shared" si="18"/>
        <v>2.6999999999999984E-4</v>
      </c>
      <c r="BF52" s="20">
        <f t="shared" si="19"/>
        <v>-3.5389999999999998E-2</v>
      </c>
    </row>
    <row r="53" spans="1:58" x14ac:dyDescent="0.25">
      <c r="A53" s="4">
        <f t="shared" si="0"/>
        <v>47</v>
      </c>
      <c r="B53" s="69" t="s">
        <v>370</v>
      </c>
      <c r="C53" s="18" t="s">
        <v>6</v>
      </c>
      <c r="D53" s="649">
        <v>-1.2379999999999999E-2</v>
      </c>
      <c r="E53" s="649">
        <v>-1.6559999999999998E-2</v>
      </c>
      <c r="F53" s="402">
        <f>+'Allocation equal ¢ per therm'!H53</f>
        <v>-2.6290000000000001E-2</v>
      </c>
      <c r="G53" s="402">
        <f>+'Allocation equal ¢ per therm'!K53</f>
        <v>0</v>
      </c>
      <c r="H53" s="402">
        <f>+'Allocation equal ¢ per therm'!N53</f>
        <v>-9.3699999999999999E-3</v>
      </c>
      <c r="I53" s="402">
        <f t="shared" si="10"/>
        <v>-3.5659999999999997E-2</v>
      </c>
      <c r="J53" s="402">
        <f t="shared" si="11"/>
        <v>-1.9099999999999999E-2</v>
      </c>
      <c r="K53" s="402">
        <f>+'Allocation = % of margin'!P53</f>
        <v>0</v>
      </c>
      <c r="L53" s="402">
        <f>+'Allocation = % of margin'!S53</f>
        <v>2.0899999999999998E-3</v>
      </c>
      <c r="M53" s="564">
        <v>0</v>
      </c>
      <c r="N53" s="564">
        <v>0</v>
      </c>
      <c r="O53" s="20"/>
      <c r="P53" s="20"/>
      <c r="Q53" s="20"/>
      <c r="R53" s="20"/>
      <c r="S53" s="20"/>
      <c r="T53" s="20"/>
      <c r="U53" s="20"/>
      <c r="V53" s="20">
        <f>+'Allocation = % of margin'!V53</f>
        <v>4.8999999999999998E-4</v>
      </c>
      <c r="W53" s="20">
        <f>+'Allocation = % of margin'!Y53</f>
        <v>-3.1E-4</v>
      </c>
      <c r="X53" s="20"/>
      <c r="Y53" s="20"/>
      <c r="Z53" s="20"/>
      <c r="AA53" s="20"/>
      <c r="AB53" s="20"/>
      <c r="AC53" s="20"/>
      <c r="AD53" s="20">
        <f t="shared" si="12"/>
        <v>-3.3389999999999996E-2</v>
      </c>
      <c r="AE53" s="20">
        <f t="shared" si="13"/>
        <v>-2.1009999999999997E-2</v>
      </c>
      <c r="AF53" s="20"/>
      <c r="AG53" s="202">
        <f t="shared" si="31"/>
        <v>-3.3389999999999996E-2</v>
      </c>
      <c r="AH53" s="202">
        <f t="shared" si="1"/>
        <v>2.2699999999999999E-3</v>
      </c>
      <c r="AI53" s="202">
        <f t="shared" si="20"/>
        <v>-2.6290000000000001E-2</v>
      </c>
      <c r="AJ53" s="202">
        <f t="shared" si="21"/>
        <v>-9.3699999999999999E-3</v>
      </c>
      <c r="AK53" s="677">
        <f t="shared" si="15"/>
        <v>2.5799999999999998E-3</v>
      </c>
      <c r="AL53" s="202">
        <f t="shared" si="24"/>
        <v>-3.3079999999999998E-2</v>
      </c>
      <c r="AM53" s="20">
        <f t="shared" si="25"/>
        <v>3.0999999999999995E-4</v>
      </c>
      <c r="AN53" s="20">
        <f t="shared" si="16"/>
        <v>-3.5659999999999997E-2</v>
      </c>
      <c r="AO53" s="20">
        <f t="shared" si="26"/>
        <v>-3.1E-4</v>
      </c>
      <c r="AQ53" s="20">
        <f t="shared" si="27"/>
        <v>0</v>
      </c>
      <c r="AS53" s="20">
        <f>+'Rates in detail'!U53</f>
        <v>0</v>
      </c>
      <c r="AT53" s="20"/>
      <c r="AU53" s="20"/>
      <c r="AV53" s="20">
        <f t="shared" si="28"/>
        <v>2.0899999999999998E-3</v>
      </c>
      <c r="AW53" s="20">
        <f t="shared" si="29"/>
        <v>4.8999999999999998E-4</v>
      </c>
      <c r="AX53" s="20">
        <f t="shared" si="17"/>
        <v>2.5799999999999998E-3</v>
      </c>
      <c r="AZ53" s="691">
        <v>0</v>
      </c>
      <c r="BA53" s="691">
        <v>4.1799999999999997E-3</v>
      </c>
      <c r="BB53" s="691">
        <v>-1.6559999999999998E-2</v>
      </c>
      <c r="BC53" s="692">
        <v>0</v>
      </c>
      <c r="BE53" s="20">
        <f t="shared" si="18"/>
        <v>2.5799999999999998E-3</v>
      </c>
      <c r="BF53" s="20">
        <f t="shared" si="19"/>
        <v>-3.3079999999999998E-2</v>
      </c>
    </row>
    <row r="54" spans="1:58" x14ac:dyDescent="0.25">
      <c r="A54" s="4">
        <f t="shared" si="0"/>
        <v>48</v>
      </c>
      <c r="B54" s="69"/>
      <c r="C54" s="18" t="s">
        <v>7</v>
      </c>
      <c r="D54" s="649">
        <v>-1.2819999999999998E-2</v>
      </c>
      <c r="E54" s="649">
        <v>-1.6559999999999998E-2</v>
      </c>
      <c r="F54" s="402">
        <f>+'Allocation equal ¢ per therm'!H54</f>
        <v>-2.6290000000000001E-2</v>
      </c>
      <c r="G54" s="402">
        <f>+'Allocation equal ¢ per therm'!K54</f>
        <v>0</v>
      </c>
      <c r="H54" s="402">
        <f>+'Allocation equal ¢ per therm'!N54</f>
        <v>-9.3699999999999999E-3</v>
      </c>
      <c r="I54" s="402">
        <f t="shared" si="10"/>
        <v>-3.5659999999999997E-2</v>
      </c>
      <c r="J54" s="402">
        <f t="shared" si="11"/>
        <v>-1.9099999999999999E-2</v>
      </c>
      <c r="K54" s="402">
        <f>+'Allocation = % of margin'!P54</f>
        <v>0</v>
      </c>
      <c r="L54" s="402">
        <f>+'Allocation = % of margin'!S54</f>
        <v>1.8699999999999999E-3</v>
      </c>
      <c r="M54" s="564">
        <v>0</v>
      </c>
      <c r="N54" s="564">
        <v>0</v>
      </c>
      <c r="O54" s="20"/>
      <c r="P54" s="20"/>
      <c r="Q54" s="20"/>
      <c r="R54" s="20"/>
      <c r="S54" s="20"/>
      <c r="T54" s="20"/>
      <c r="U54" s="20"/>
      <c r="V54" s="20">
        <f>+'Allocation = % of margin'!V54</f>
        <v>4.4000000000000002E-4</v>
      </c>
      <c r="W54" s="20">
        <f>+'Allocation = % of margin'!Y54</f>
        <v>-2.7999999999999998E-4</v>
      </c>
      <c r="X54" s="20"/>
      <c r="Y54" s="20"/>
      <c r="Z54" s="20"/>
      <c r="AA54" s="20"/>
      <c r="AB54" s="20"/>
      <c r="AC54" s="20"/>
      <c r="AD54" s="20">
        <f t="shared" si="12"/>
        <v>-3.363E-2</v>
      </c>
      <c r="AE54" s="20">
        <f t="shared" si="13"/>
        <v>-2.0810000000000002E-2</v>
      </c>
      <c r="AF54" s="20"/>
      <c r="AG54" s="202">
        <f t="shared" si="31"/>
        <v>-3.363E-2</v>
      </c>
      <c r="AH54" s="202">
        <f t="shared" si="1"/>
        <v>2.0300000000000001E-3</v>
      </c>
      <c r="AI54" s="202">
        <f t="shared" ref="AI54:AI67" si="32">+F54</f>
        <v>-2.6290000000000001E-2</v>
      </c>
      <c r="AJ54" s="202">
        <f t="shared" ref="AJ54:AJ67" si="33">+G54+H54</f>
        <v>-9.3699999999999999E-3</v>
      </c>
      <c r="AK54" s="677">
        <f t="shared" si="15"/>
        <v>2.31E-3</v>
      </c>
      <c r="AL54" s="202">
        <f t="shared" si="24"/>
        <v>-3.3349999999999998E-2</v>
      </c>
      <c r="AM54" s="20">
        <f t="shared" si="25"/>
        <v>2.7999999999999987E-4</v>
      </c>
      <c r="AN54" s="20">
        <f t="shared" si="16"/>
        <v>-3.5659999999999997E-2</v>
      </c>
      <c r="AO54" s="20">
        <f t="shared" si="26"/>
        <v>-2.7999999999999998E-4</v>
      </c>
      <c r="AQ54" s="20">
        <f t="shared" si="27"/>
        <v>0</v>
      </c>
      <c r="AS54" s="20">
        <f>+'Rates in detail'!U54</f>
        <v>0</v>
      </c>
      <c r="AT54" s="20"/>
      <c r="AU54" s="20"/>
      <c r="AV54" s="20">
        <f t="shared" si="28"/>
        <v>1.8699999999999999E-3</v>
      </c>
      <c r="AW54" s="20">
        <f t="shared" si="29"/>
        <v>4.4000000000000002E-4</v>
      </c>
      <c r="AX54" s="20">
        <f t="shared" si="17"/>
        <v>2.31E-3</v>
      </c>
      <c r="AZ54" s="691">
        <v>0</v>
      </c>
      <c r="BA54" s="691">
        <v>3.7400000000000003E-3</v>
      </c>
      <c r="BB54" s="691">
        <v>-1.6559999999999998E-2</v>
      </c>
      <c r="BC54" s="692">
        <v>0</v>
      </c>
      <c r="BE54" s="20">
        <f t="shared" si="18"/>
        <v>2.31E-3</v>
      </c>
      <c r="BF54" s="20">
        <f t="shared" si="19"/>
        <v>-3.3349999999999998E-2</v>
      </c>
    </row>
    <row r="55" spans="1:58" x14ac:dyDescent="0.25">
      <c r="A55" s="4">
        <f t="shared" ref="A55:A75" si="34">+A54+1</f>
        <v>49</v>
      </c>
      <c r="B55" s="69"/>
      <c r="C55" s="18" t="s">
        <v>8</v>
      </c>
      <c r="D55" s="649">
        <v>-1.3689999999999999E-2</v>
      </c>
      <c r="E55" s="649">
        <v>-1.6559999999999998E-2</v>
      </c>
      <c r="F55" s="402">
        <f>+'Allocation equal ¢ per therm'!H55</f>
        <v>-2.6290000000000001E-2</v>
      </c>
      <c r="G55" s="402">
        <f>+'Allocation equal ¢ per therm'!K55</f>
        <v>0</v>
      </c>
      <c r="H55" s="402">
        <f>+'Allocation equal ¢ per therm'!N55</f>
        <v>-9.3699999999999999E-3</v>
      </c>
      <c r="I55" s="402">
        <f t="shared" si="10"/>
        <v>-3.5659999999999997E-2</v>
      </c>
      <c r="J55" s="402">
        <f t="shared" si="11"/>
        <v>-1.9099999999999999E-2</v>
      </c>
      <c r="K55" s="402">
        <f>+'Allocation = % of margin'!P55</f>
        <v>0</v>
      </c>
      <c r="L55" s="402">
        <f>+'Allocation = % of margin'!S55</f>
        <v>1.4300000000000001E-3</v>
      </c>
      <c r="M55" s="564">
        <v>0</v>
      </c>
      <c r="N55" s="564">
        <v>0</v>
      </c>
      <c r="O55" s="20"/>
      <c r="P55" s="20"/>
      <c r="Q55" s="20"/>
      <c r="R55" s="20"/>
      <c r="S55" s="20"/>
      <c r="T55" s="20"/>
      <c r="U55" s="20"/>
      <c r="V55" s="20">
        <f>+'Allocation = % of margin'!V55</f>
        <v>3.4000000000000002E-4</v>
      </c>
      <c r="W55" s="20">
        <f>+'Allocation = % of margin'!Y55</f>
        <v>-2.1000000000000001E-4</v>
      </c>
      <c r="X55" s="20"/>
      <c r="Y55" s="20"/>
      <c r="Z55" s="20"/>
      <c r="AA55" s="20"/>
      <c r="AB55" s="20"/>
      <c r="AC55" s="20"/>
      <c r="AD55" s="20">
        <f t="shared" si="12"/>
        <v>-3.4099999999999998E-2</v>
      </c>
      <c r="AE55" s="20">
        <f t="shared" si="13"/>
        <v>-2.0409999999999998E-2</v>
      </c>
      <c r="AF55" s="20"/>
      <c r="AG55" s="202">
        <f t="shared" si="31"/>
        <v>-3.4099999999999998E-2</v>
      </c>
      <c r="AH55" s="202">
        <f t="shared" si="1"/>
        <v>1.5600000000000002E-3</v>
      </c>
      <c r="AI55" s="202">
        <f t="shared" si="32"/>
        <v>-2.6290000000000001E-2</v>
      </c>
      <c r="AJ55" s="202">
        <f t="shared" si="33"/>
        <v>-9.3699999999999999E-3</v>
      </c>
      <c r="AK55" s="677">
        <f t="shared" si="15"/>
        <v>1.7700000000000001E-3</v>
      </c>
      <c r="AL55" s="202">
        <f t="shared" si="24"/>
        <v>-3.3889999999999997E-2</v>
      </c>
      <c r="AM55" s="20">
        <f t="shared" si="25"/>
        <v>2.099999999999999E-4</v>
      </c>
      <c r="AN55" s="20">
        <f t="shared" si="16"/>
        <v>-3.5659999999999997E-2</v>
      </c>
      <c r="AO55" s="20">
        <f t="shared" si="26"/>
        <v>-2.1000000000000001E-4</v>
      </c>
      <c r="AQ55" s="20">
        <f t="shared" si="27"/>
        <v>0</v>
      </c>
      <c r="AS55" s="20">
        <f>+'Rates in detail'!U55</f>
        <v>0</v>
      </c>
      <c r="AT55" s="20"/>
      <c r="AU55" s="20"/>
      <c r="AV55" s="20">
        <f t="shared" si="28"/>
        <v>1.4300000000000001E-3</v>
      </c>
      <c r="AW55" s="20">
        <f t="shared" si="29"/>
        <v>3.4000000000000002E-4</v>
      </c>
      <c r="AX55" s="20">
        <f t="shared" si="17"/>
        <v>1.7700000000000001E-3</v>
      </c>
      <c r="AZ55" s="691">
        <v>0</v>
      </c>
      <c r="BA55" s="691">
        <v>2.8699999999999997E-3</v>
      </c>
      <c r="BB55" s="691">
        <v>-1.6559999999999998E-2</v>
      </c>
      <c r="BC55" s="692">
        <v>0</v>
      </c>
      <c r="BE55" s="20">
        <f t="shared" si="18"/>
        <v>1.7700000000000001E-3</v>
      </c>
      <c r="BF55" s="20">
        <f t="shared" si="19"/>
        <v>-3.3889999999999997E-2</v>
      </c>
    </row>
    <row r="56" spans="1:58" x14ac:dyDescent="0.25">
      <c r="A56" s="4">
        <f t="shared" si="34"/>
        <v>50</v>
      </c>
      <c r="B56" s="69"/>
      <c r="C56" s="18" t="s">
        <v>9</v>
      </c>
      <c r="D56" s="649">
        <v>-1.4259999999999998E-2</v>
      </c>
      <c r="E56" s="649">
        <v>-1.6559999999999998E-2</v>
      </c>
      <c r="F56" s="402">
        <f>+'Allocation equal ¢ per therm'!H56</f>
        <v>-2.6290000000000001E-2</v>
      </c>
      <c r="G56" s="402">
        <f>+'Allocation equal ¢ per therm'!K56</f>
        <v>0</v>
      </c>
      <c r="H56" s="402">
        <f>+'Allocation equal ¢ per therm'!N56</f>
        <v>-9.3699999999999999E-3</v>
      </c>
      <c r="I56" s="402">
        <f t="shared" si="10"/>
        <v>-3.5659999999999997E-2</v>
      </c>
      <c r="J56" s="402">
        <f t="shared" si="11"/>
        <v>-1.9099999999999999E-2</v>
      </c>
      <c r="K56" s="402">
        <f>+'Allocation = % of margin'!P56</f>
        <v>0</v>
      </c>
      <c r="L56" s="402">
        <f>+'Allocation = % of margin'!S56</f>
        <v>1.15E-3</v>
      </c>
      <c r="M56" s="564">
        <v>0</v>
      </c>
      <c r="N56" s="564">
        <v>0</v>
      </c>
      <c r="O56" s="20"/>
      <c r="P56" s="20"/>
      <c r="Q56" s="20"/>
      <c r="R56" s="20"/>
      <c r="S56" s="20"/>
      <c r="T56" s="20"/>
      <c r="U56" s="20"/>
      <c r="V56" s="20">
        <f>+'Allocation = % of margin'!V56</f>
        <v>2.7E-4</v>
      </c>
      <c r="W56" s="20">
        <f>+'Allocation = % of margin'!Y56</f>
        <v>-1.7000000000000001E-4</v>
      </c>
      <c r="X56" s="20"/>
      <c r="Y56" s="20"/>
      <c r="Z56" s="20"/>
      <c r="AA56" s="20"/>
      <c r="AB56" s="20"/>
      <c r="AC56" s="20"/>
      <c r="AD56" s="20">
        <f t="shared" si="12"/>
        <v>-3.4409999999999996E-2</v>
      </c>
      <c r="AE56" s="20">
        <f t="shared" si="13"/>
        <v>-2.0149999999999998E-2</v>
      </c>
      <c r="AF56" s="20"/>
      <c r="AG56" s="202">
        <f t="shared" si="31"/>
        <v>-3.4409999999999996E-2</v>
      </c>
      <c r="AH56" s="202">
        <f t="shared" si="1"/>
        <v>1.25E-3</v>
      </c>
      <c r="AI56" s="202">
        <f t="shared" si="32"/>
        <v>-2.6290000000000001E-2</v>
      </c>
      <c r="AJ56" s="202">
        <f t="shared" si="33"/>
        <v>-9.3699999999999999E-3</v>
      </c>
      <c r="AK56" s="677">
        <f t="shared" si="15"/>
        <v>1.42E-3</v>
      </c>
      <c r="AL56" s="202">
        <f t="shared" si="24"/>
        <v>-3.424E-2</v>
      </c>
      <c r="AM56" s="20">
        <f t="shared" si="25"/>
        <v>1.7000000000000001E-4</v>
      </c>
      <c r="AN56" s="20">
        <f t="shared" si="16"/>
        <v>-3.5659999999999997E-2</v>
      </c>
      <c r="AO56" s="20">
        <f t="shared" si="26"/>
        <v>-1.7000000000000001E-4</v>
      </c>
      <c r="AQ56" s="20">
        <f t="shared" si="27"/>
        <v>0</v>
      </c>
      <c r="AS56" s="20">
        <f>+'Rates in detail'!U56</f>
        <v>0</v>
      </c>
      <c r="AT56" s="20"/>
      <c r="AU56" s="20"/>
      <c r="AV56" s="20">
        <f t="shared" si="28"/>
        <v>1.15E-3</v>
      </c>
      <c r="AW56" s="20">
        <f t="shared" si="29"/>
        <v>2.7E-4</v>
      </c>
      <c r="AX56" s="20">
        <f t="shared" si="17"/>
        <v>1.42E-3</v>
      </c>
      <c r="AZ56" s="691">
        <v>0</v>
      </c>
      <c r="BA56" s="691">
        <v>2.3E-3</v>
      </c>
      <c r="BB56" s="691">
        <v>-1.6559999999999998E-2</v>
      </c>
      <c r="BC56" s="692">
        <v>0</v>
      </c>
      <c r="BE56" s="20">
        <f t="shared" si="18"/>
        <v>1.42E-3</v>
      </c>
      <c r="BF56" s="20">
        <f t="shared" si="19"/>
        <v>-3.424E-2</v>
      </c>
    </row>
    <row r="57" spans="1:58" x14ac:dyDescent="0.25">
      <c r="A57" s="4">
        <f t="shared" si="34"/>
        <v>51</v>
      </c>
      <c r="B57" s="69"/>
      <c r="C57" s="18" t="s">
        <v>10</v>
      </c>
      <c r="D57" s="649">
        <v>-1.5039999999999998E-2</v>
      </c>
      <c r="E57" s="649">
        <v>-1.6559999999999998E-2</v>
      </c>
      <c r="F57" s="402">
        <f>+'Allocation equal ¢ per therm'!H57</f>
        <v>-2.6290000000000001E-2</v>
      </c>
      <c r="G57" s="402">
        <f>+'Allocation equal ¢ per therm'!K57</f>
        <v>0</v>
      </c>
      <c r="H57" s="402">
        <f>+'Allocation equal ¢ per therm'!N57</f>
        <v>-9.3699999999999999E-3</v>
      </c>
      <c r="I57" s="402">
        <f t="shared" si="10"/>
        <v>-3.5659999999999997E-2</v>
      </c>
      <c r="J57" s="402">
        <f t="shared" si="11"/>
        <v>-1.9099999999999999E-2</v>
      </c>
      <c r="K57" s="402">
        <f>+'Allocation = % of margin'!P57</f>
        <v>0</v>
      </c>
      <c r="L57" s="402">
        <f>+'Allocation = % of margin'!S57</f>
        <v>7.6000000000000004E-4</v>
      </c>
      <c r="M57" s="564">
        <v>0</v>
      </c>
      <c r="N57" s="564">
        <v>0</v>
      </c>
      <c r="O57" s="20"/>
      <c r="P57" s="20"/>
      <c r="Q57" s="20"/>
      <c r="R57" s="20"/>
      <c r="S57" s="20"/>
      <c r="T57" s="20"/>
      <c r="U57" s="20"/>
      <c r="V57" s="20">
        <f>+'Allocation = % of margin'!V57</f>
        <v>1.8000000000000001E-4</v>
      </c>
      <c r="W57" s="20">
        <f>+'Allocation = % of margin'!Y57</f>
        <v>-1.1E-4</v>
      </c>
      <c r="X57" s="20"/>
      <c r="Y57" s="20"/>
      <c r="Z57" s="20"/>
      <c r="AA57" s="20"/>
      <c r="AB57" s="20"/>
      <c r="AC57" s="20"/>
      <c r="AD57" s="20">
        <f t="shared" si="12"/>
        <v>-3.483E-2</v>
      </c>
      <c r="AE57" s="20">
        <f t="shared" si="13"/>
        <v>-1.9790000000000002E-2</v>
      </c>
      <c r="AF57" s="20"/>
      <c r="AG57" s="202">
        <f t="shared" si="31"/>
        <v>-3.483E-2</v>
      </c>
      <c r="AH57" s="202">
        <f t="shared" si="1"/>
        <v>8.3000000000000001E-4</v>
      </c>
      <c r="AI57" s="202">
        <f t="shared" si="32"/>
        <v>-2.6290000000000001E-2</v>
      </c>
      <c r="AJ57" s="202">
        <f t="shared" si="33"/>
        <v>-9.3699999999999999E-3</v>
      </c>
      <c r="AK57" s="677">
        <f t="shared" si="15"/>
        <v>9.4000000000000008E-4</v>
      </c>
      <c r="AL57" s="202">
        <f t="shared" si="24"/>
        <v>-3.4719999999999994E-2</v>
      </c>
      <c r="AM57" s="20">
        <f t="shared" si="25"/>
        <v>1.1000000000000007E-4</v>
      </c>
      <c r="AN57" s="20">
        <f t="shared" si="16"/>
        <v>-3.5659999999999997E-2</v>
      </c>
      <c r="AO57" s="20">
        <f t="shared" si="26"/>
        <v>-1.1E-4</v>
      </c>
      <c r="AQ57" s="20">
        <f t="shared" si="27"/>
        <v>0</v>
      </c>
      <c r="AS57" s="20">
        <f>+'Rates in detail'!U57</f>
        <v>0</v>
      </c>
      <c r="AT57" s="20"/>
      <c r="AU57" s="20"/>
      <c r="AV57" s="20">
        <f t="shared" si="28"/>
        <v>7.6000000000000004E-4</v>
      </c>
      <c r="AW57" s="20">
        <f t="shared" si="29"/>
        <v>1.8000000000000001E-4</v>
      </c>
      <c r="AX57" s="20">
        <f t="shared" si="17"/>
        <v>9.4000000000000008E-4</v>
      </c>
      <c r="AZ57" s="691">
        <v>0</v>
      </c>
      <c r="BA57" s="691">
        <v>1.5200000000000001E-3</v>
      </c>
      <c r="BB57" s="691">
        <v>-1.6559999999999998E-2</v>
      </c>
      <c r="BC57" s="692">
        <v>0</v>
      </c>
      <c r="BE57" s="20">
        <f t="shared" si="18"/>
        <v>9.4000000000000008E-4</v>
      </c>
      <c r="BF57" s="20">
        <f t="shared" si="19"/>
        <v>-3.4719999999999994E-2</v>
      </c>
    </row>
    <row r="58" spans="1:58" x14ac:dyDescent="0.25">
      <c r="A58" s="4">
        <f t="shared" si="34"/>
        <v>52</v>
      </c>
      <c r="B58" s="74"/>
      <c r="C58" s="22" t="s">
        <v>11</v>
      </c>
      <c r="D58" s="647">
        <v>-1.5989999999999997E-2</v>
      </c>
      <c r="E58" s="647">
        <v>-1.6559999999999998E-2</v>
      </c>
      <c r="F58" s="380">
        <f>+'Allocation equal ¢ per therm'!H58</f>
        <v>-2.6290000000000001E-2</v>
      </c>
      <c r="G58" s="380">
        <f>+'Allocation equal ¢ per therm'!K58</f>
        <v>0</v>
      </c>
      <c r="H58" s="380">
        <f>+'Allocation equal ¢ per therm'!N58</f>
        <v>-9.3699999999999999E-3</v>
      </c>
      <c r="I58" s="380">
        <f t="shared" si="10"/>
        <v>-3.5659999999999997E-2</v>
      </c>
      <c r="J58" s="380">
        <f t="shared" si="11"/>
        <v>-1.9099999999999999E-2</v>
      </c>
      <c r="K58" s="380">
        <f>+'Allocation = % of margin'!P58</f>
        <v>0</v>
      </c>
      <c r="L58" s="380">
        <f>+'Allocation = % of margin'!S58</f>
        <v>2.9E-4</v>
      </c>
      <c r="M58" s="575">
        <v>0</v>
      </c>
      <c r="N58" s="575">
        <v>0</v>
      </c>
      <c r="O58" s="14"/>
      <c r="P58" s="14"/>
      <c r="Q58" s="14"/>
      <c r="R58" s="14"/>
      <c r="S58" s="14"/>
      <c r="T58" s="14"/>
      <c r="U58" s="14"/>
      <c r="V58" s="14">
        <f>+'Allocation = % of margin'!V58</f>
        <v>6.9999999999999994E-5</v>
      </c>
      <c r="W58" s="14">
        <f>+'Allocation = % of margin'!Y58</f>
        <v>-4.0000000000000003E-5</v>
      </c>
      <c r="X58" s="14"/>
      <c r="Y58" s="14"/>
      <c r="Z58" s="14"/>
      <c r="AA58" s="14"/>
      <c r="AB58" s="14"/>
      <c r="AC58" s="14"/>
      <c r="AD58" s="14">
        <f t="shared" si="12"/>
        <v>-3.5339999999999996E-2</v>
      </c>
      <c r="AE58" s="14">
        <f t="shared" si="13"/>
        <v>-1.9349999999999999E-2</v>
      </c>
      <c r="AF58" s="20"/>
      <c r="AG58" s="202">
        <f t="shared" si="31"/>
        <v>-3.5339999999999996E-2</v>
      </c>
      <c r="AH58" s="202">
        <f t="shared" ref="AH58:AH66" si="35">+W58+V58+L58</f>
        <v>3.1999999999999997E-4</v>
      </c>
      <c r="AI58" s="202">
        <f t="shared" si="32"/>
        <v>-2.6290000000000001E-2</v>
      </c>
      <c r="AJ58" s="202">
        <f t="shared" si="33"/>
        <v>-9.3699999999999999E-3</v>
      </c>
      <c r="AK58" s="677">
        <f t="shared" si="15"/>
        <v>3.5999999999999997E-4</v>
      </c>
      <c r="AL58" s="202">
        <f t="shared" si="24"/>
        <v>-3.5299999999999998E-2</v>
      </c>
      <c r="AM58" s="20">
        <f t="shared" si="25"/>
        <v>3.9999999999999996E-5</v>
      </c>
      <c r="AN58" s="20">
        <f t="shared" si="16"/>
        <v>-3.5659999999999997E-2</v>
      </c>
      <c r="AO58" s="20">
        <f t="shared" si="26"/>
        <v>-4.0000000000000003E-5</v>
      </c>
      <c r="AQ58" s="20">
        <f t="shared" si="27"/>
        <v>0</v>
      </c>
      <c r="AS58" s="20">
        <f>+'Rates in detail'!U58</f>
        <v>0</v>
      </c>
      <c r="AT58" s="20"/>
      <c r="AU58" s="20"/>
      <c r="AV58" s="20">
        <f t="shared" si="28"/>
        <v>2.9E-4</v>
      </c>
      <c r="AW58" s="20">
        <f t="shared" si="29"/>
        <v>6.9999999999999994E-5</v>
      </c>
      <c r="AX58" s="20">
        <f t="shared" si="17"/>
        <v>3.5999999999999997E-4</v>
      </c>
      <c r="AZ58" s="691">
        <v>0</v>
      </c>
      <c r="BA58" s="691">
        <v>5.6999999999999998E-4</v>
      </c>
      <c r="BB58" s="691">
        <v>-1.6559999999999998E-2</v>
      </c>
      <c r="BC58" s="692">
        <v>0</v>
      </c>
      <c r="BE58" s="20">
        <f t="shared" si="18"/>
        <v>3.5999999999999997E-4</v>
      </c>
      <c r="BF58" s="20">
        <f t="shared" si="19"/>
        <v>-3.5299999999999998E-2</v>
      </c>
    </row>
    <row r="59" spans="1:58" x14ac:dyDescent="0.25">
      <c r="A59" s="4">
        <f t="shared" si="34"/>
        <v>53</v>
      </c>
      <c r="B59" s="69" t="s">
        <v>166</v>
      </c>
      <c r="C59" s="18" t="s">
        <v>6</v>
      </c>
      <c r="D59" s="649">
        <v>0</v>
      </c>
      <c r="E59" s="649">
        <v>0</v>
      </c>
      <c r="F59" s="402">
        <f>+'Allocation equal ¢ per therm'!H59</f>
        <v>0</v>
      </c>
      <c r="G59" s="402">
        <f>+'Allocation equal ¢ per therm'!K59</f>
        <v>0</v>
      </c>
      <c r="H59" s="402">
        <f>+'Allocation equal ¢ per therm'!N59</f>
        <v>0</v>
      </c>
      <c r="I59" s="402">
        <f t="shared" si="10"/>
        <v>0</v>
      </c>
      <c r="J59" s="402">
        <f t="shared" si="11"/>
        <v>0</v>
      </c>
      <c r="K59" s="402">
        <f>+'Allocation = % of margin'!P59</f>
        <v>0</v>
      </c>
      <c r="L59" s="402">
        <f>+'Allocation = % of margin'!S59</f>
        <v>0</v>
      </c>
      <c r="M59" s="564">
        <v>0</v>
      </c>
      <c r="N59" s="564">
        <v>0</v>
      </c>
      <c r="O59" s="20"/>
      <c r="P59" s="20"/>
      <c r="Q59" s="20"/>
      <c r="R59" s="20"/>
      <c r="S59" s="20"/>
      <c r="T59" s="20"/>
      <c r="U59" s="20"/>
      <c r="V59" s="20">
        <f>+'Allocation = % of margin'!V59</f>
        <v>0</v>
      </c>
      <c r="W59" s="20">
        <f>+'Allocation = % of margin'!Y59</f>
        <v>-2.1000000000000001E-4</v>
      </c>
      <c r="X59" s="20"/>
      <c r="Y59" s="20"/>
      <c r="Z59" s="20"/>
      <c r="AA59" s="20"/>
      <c r="AB59" s="20"/>
      <c r="AC59" s="20"/>
      <c r="AD59" s="20">
        <f t="shared" si="12"/>
        <v>-2.1000000000000001E-4</v>
      </c>
      <c r="AE59" s="20">
        <f t="shared" si="13"/>
        <v>-2.1000000000000001E-4</v>
      </c>
      <c r="AF59" s="20"/>
      <c r="AG59" s="202">
        <f t="shared" si="31"/>
        <v>-2.1000000000000001E-4</v>
      </c>
      <c r="AH59" s="202">
        <f t="shared" si="35"/>
        <v>-2.1000000000000001E-4</v>
      </c>
      <c r="AI59" s="202">
        <f t="shared" si="32"/>
        <v>0</v>
      </c>
      <c r="AJ59" s="202">
        <f t="shared" si="33"/>
        <v>0</v>
      </c>
      <c r="AK59" s="677">
        <f t="shared" si="15"/>
        <v>0</v>
      </c>
      <c r="AL59" s="202">
        <f t="shared" si="24"/>
        <v>0</v>
      </c>
      <c r="AM59" s="20">
        <f t="shared" si="25"/>
        <v>2.1000000000000001E-4</v>
      </c>
      <c r="AN59" s="20">
        <f t="shared" si="16"/>
        <v>0</v>
      </c>
      <c r="AO59" s="20">
        <f t="shared" si="26"/>
        <v>-2.1000000000000001E-4</v>
      </c>
      <c r="AQ59" s="20">
        <f t="shared" si="27"/>
        <v>0</v>
      </c>
      <c r="AS59" s="20">
        <f>+'Rates in detail'!U59</f>
        <v>0</v>
      </c>
      <c r="AT59" s="20"/>
      <c r="AU59" s="20"/>
      <c r="AV59" s="20">
        <f t="shared" si="28"/>
        <v>0</v>
      </c>
      <c r="AW59" s="20">
        <f t="shared" si="29"/>
        <v>0</v>
      </c>
      <c r="AX59" s="20">
        <f t="shared" si="17"/>
        <v>0</v>
      </c>
      <c r="AZ59" s="691">
        <v>0</v>
      </c>
      <c r="BA59" s="691">
        <v>0</v>
      </c>
      <c r="BB59" s="691">
        <v>0</v>
      </c>
      <c r="BC59" s="692">
        <v>0</v>
      </c>
      <c r="BE59" s="20">
        <f t="shared" si="18"/>
        <v>0</v>
      </c>
      <c r="BF59" s="20">
        <f t="shared" si="19"/>
        <v>0</v>
      </c>
    </row>
    <row r="60" spans="1:58" x14ac:dyDescent="0.25">
      <c r="A60" s="4">
        <f t="shared" si="34"/>
        <v>54</v>
      </c>
      <c r="B60" s="69"/>
      <c r="C60" s="18" t="s">
        <v>7</v>
      </c>
      <c r="D60" s="649">
        <v>0</v>
      </c>
      <c r="E60" s="649">
        <v>0</v>
      </c>
      <c r="F60" s="402">
        <f>+'Allocation equal ¢ per therm'!H60</f>
        <v>0</v>
      </c>
      <c r="G60" s="402">
        <f>+'Allocation equal ¢ per therm'!K60</f>
        <v>0</v>
      </c>
      <c r="H60" s="402">
        <f>+'Allocation equal ¢ per therm'!N60</f>
        <v>0</v>
      </c>
      <c r="I60" s="402">
        <f t="shared" si="10"/>
        <v>0</v>
      </c>
      <c r="J60" s="402">
        <f t="shared" si="11"/>
        <v>0</v>
      </c>
      <c r="K60" s="402">
        <f>+'Allocation = % of margin'!P60</f>
        <v>0</v>
      </c>
      <c r="L60" s="402">
        <f>+'Allocation = % of margin'!S60</f>
        <v>0</v>
      </c>
      <c r="M60" s="564">
        <v>0</v>
      </c>
      <c r="N60" s="564">
        <v>0</v>
      </c>
      <c r="O60" s="20"/>
      <c r="P60" s="20"/>
      <c r="Q60" s="20"/>
      <c r="R60" s="20"/>
      <c r="S60" s="20"/>
      <c r="T60" s="20"/>
      <c r="U60" s="20"/>
      <c r="V60" s="20">
        <f>+'Allocation = % of margin'!V60</f>
        <v>0</v>
      </c>
      <c r="W60" s="20">
        <f>+'Allocation = % of margin'!Y60</f>
        <v>-1.9000000000000001E-4</v>
      </c>
      <c r="X60" s="20"/>
      <c r="Y60" s="20"/>
      <c r="Z60" s="20"/>
      <c r="AA60" s="20"/>
      <c r="AB60" s="20"/>
      <c r="AC60" s="20"/>
      <c r="AD60" s="20">
        <f t="shared" si="12"/>
        <v>-1.9000000000000001E-4</v>
      </c>
      <c r="AE60" s="20">
        <f t="shared" si="13"/>
        <v>-1.9000000000000001E-4</v>
      </c>
      <c r="AF60" s="20"/>
      <c r="AG60" s="202">
        <f t="shared" si="31"/>
        <v>-1.9000000000000001E-4</v>
      </c>
      <c r="AH60" s="202">
        <f t="shared" si="35"/>
        <v>-1.9000000000000001E-4</v>
      </c>
      <c r="AI60" s="202">
        <f t="shared" si="32"/>
        <v>0</v>
      </c>
      <c r="AJ60" s="202">
        <f t="shared" si="33"/>
        <v>0</v>
      </c>
      <c r="AK60" s="677">
        <f t="shared" si="15"/>
        <v>0</v>
      </c>
      <c r="AL60" s="202">
        <f t="shared" si="24"/>
        <v>0</v>
      </c>
      <c r="AM60" s="20">
        <f t="shared" si="25"/>
        <v>1.9000000000000001E-4</v>
      </c>
      <c r="AN60" s="20">
        <f t="shared" si="16"/>
        <v>0</v>
      </c>
      <c r="AO60" s="20">
        <f t="shared" si="26"/>
        <v>-1.9000000000000001E-4</v>
      </c>
      <c r="AQ60" s="20">
        <f t="shared" si="27"/>
        <v>0</v>
      </c>
      <c r="AS60" s="20">
        <f>+'Rates in detail'!U60</f>
        <v>0</v>
      </c>
      <c r="AT60" s="20"/>
      <c r="AU60" s="20"/>
      <c r="AV60" s="20">
        <f t="shared" si="28"/>
        <v>0</v>
      </c>
      <c r="AW60" s="20">
        <f t="shared" si="29"/>
        <v>0</v>
      </c>
      <c r="AX60" s="20">
        <f t="shared" si="17"/>
        <v>0</v>
      </c>
      <c r="AZ60" s="691">
        <v>0</v>
      </c>
      <c r="BA60" s="691">
        <v>0</v>
      </c>
      <c r="BB60" s="691">
        <v>0</v>
      </c>
      <c r="BC60" s="692">
        <v>0</v>
      </c>
      <c r="BE60" s="20">
        <f t="shared" si="18"/>
        <v>0</v>
      </c>
      <c r="BF60" s="20">
        <f t="shared" si="19"/>
        <v>0</v>
      </c>
    </row>
    <row r="61" spans="1:58" x14ac:dyDescent="0.25">
      <c r="A61" s="4">
        <f t="shared" si="34"/>
        <v>55</v>
      </c>
      <c r="B61" s="69"/>
      <c r="C61" s="18" t="s">
        <v>8</v>
      </c>
      <c r="D61" s="649">
        <v>0</v>
      </c>
      <c r="E61" s="649">
        <v>0</v>
      </c>
      <c r="F61" s="402">
        <f>+'Allocation equal ¢ per therm'!H61</f>
        <v>0</v>
      </c>
      <c r="G61" s="402">
        <f>+'Allocation equal ¢ per therm'!K61</f>
        <v>0</v>
      </c>
      <c r="H61" s="402">
        <f>+'Allocation equal ¢ per therm'!N61</f>
        <v>0</v>
      </c>
      <c r="I61" s="402">
        <f t="shared" si="10"/>
        <v>0</v>
      </c>
      <c r="J61" s="402">
        <f t="shared" si="11"/>
        <v>0</v>
      </c>
      <c r="K61" s="402">
        <f>+'Allocation = % of margin'!P61</f>
        <v>0</v>
      </c>
      <c r="L61" s="402">
        <f>+'Allocation = % of margin'!S61</f>
        <v>0</v>
      </c>
      <c r="M61" s="564">
        <v>0</v>
      </c>
      <c r="N61" s="564">
        <v>0</v>
      </c>
      <c r="O61" s="20"/>
      <c r="P61" s="20"/>
      <c r="Q61" s="20"/>
      <c r="R61" s="20"/>
      <c r="S61" s="20"/>
      <c r="T61" s="20"/>
      <c r="U61" s="20"/>
      <c r="V61" s="20">
        <f>+'Allocation = % of margin'!V61</f>
        <v>0</v>
      </c>
      <c r="W61" s="20">
        <f>+'Allocation = % of margin'!Y61</f>
        <v>-1.3999999999999999E-4</v>
      </c>
      <c r="X61" s="20"/>
      <c r="Y61" s="20"/>
      <c r="Z61" s="20"/>
      <c r="AA61" s="20"/>
      <c r="AB61" s="20"/>
      <c r="AC61" s="20"/>
      <c r="AD61" s="20">
        <f t="shared" si="12"/>
        <v>-1.3999999999999999E-4</v>
      </c>
      <c r="AE61" s="20">
        <f t="shared" si="13"/>
        <v>-1.3999999999999999E-4</v>
      </c>
      <c r="AF61" s="20"/>
      <c r="AG61" s="202">
        <f t="shared" si="31"/>
        <v>-1.3999999999999999E-4</v>
      </c>
      <c r="AH61" s="202">
        <f t="shared" si="35"/>
        <v>-1.3999999999999999E-4</v>
      </c>
      <c r="AI61" s="202">
        <f t="shared" si="32"/>
        <v>0</v>
      </c>
      <c r="AJ61" s="202">
        <f t="shared" si="33"/>
        <v>0</v>
      </c>
      <c r="AK61" s="677">
        <f t="shared" si="15"/>
        <v>0</v>
      </c>
      <c r="AL61" s="202">
        <f t="shared" si="24"/>
        <v>0</v>
      </c>
      <c r="AM61" s="20">
        <f t="shared" si="25"/>
        <v>1.3999999999999999E-4</v>
      </c>
      <c r="AN61" s="20">
        <f t="shared" si="16"/>
        <v>0</v>
      </c>
      <c r="AO61" s="20">
        <f t="shared" si="26"/>
        <v>-1.3999999999999999E-4</v>
      </c>
      <c r="AQ61" s="20">
        <f t="shared" si="27"/>
        <v>0</v>
      </c>
      <c r="AS61" s="20">
        <f>+'Rates in detail'!U61</f>
        <v>0</v>
      </c>
      <c r="AT61" s="20"/>
      <c r="AU61" s="20"/>
      <c r="AV61" s="20">
        <f t="shared" si="28"/>
        <v>0</v>
      </c>
      <c r="AW61" s="20">
        <f t="shared" si="29"/>
        <v>0</v>
      </c>
      <c r="AX61" s="20">
        <f t="shared" si="17"/>
        <v>0</v>
      </c>
      <c r="AZ61" s="691">
        <v>0</v>
      </c>
      <c r="BA61" s="691">
        <v>0</v>
      </c>
      <c r="BB61" s="691">
        <v>0</v>
      </c>
      <c r="BC61" s="692">
        <v>0</v>
      </c>
      <c r="BE61" s="20">
        <f t="shared" si="18"/>
        <v>0</v>
      </c>
      <c r="BF61" s="20">
        <f t="shared" si="19"/>
        <v>0</v>
      </c>
    </row>
    <row r="62" spans="1:58" x14ac:dyDescent="0.25">
      <c r="A62" s="4">
        <f t="shared" si="34"/>
        <v>56</v>
      </c>
      <c r="B62" s="69"/>
      <c r="C62" s="18" t="s">
        <v>9</v>
      </c>
      <c r="D62" s="649">
        <v>0</v>
      </c>
      <c r="E62" s="649">
        <v>0</v>
      </c>
      <c r="F62" s="402">
        <f>+'Allocation equal ¢ per therm'!H62</f>
        <v>0</v>
      </c>
      <c r="G62" s="402">
        <f>+'Allocation equal ¢ per therm'!K62</f>
        <v>0</v>
      </c>
      <c r="H62" s="402">
        <f>+'Allocation equal ¢ per therm'!N62</f>
        <v>0</v>
      </c>
      <c r="I62" s="402">
        <f t="shared" si="10"/>
        <v>0</v>
      </c>
      <c r="J62" s="402">
        <f t="shared" si="11"/>
        <v>0</v>
      </c>
      <c r="K62" s="402">
        <f>+'Allocation = % of margin'!P62</f>
        <v>0</v>
      </c>
      <c r="L62" s="402">
        <f>+'Allocation = % of margin'!S62</f>
        <v>0</v>
      </c>
      <c r="M62" s="564">
        <v>0</v>
      </c>
      <c r="N62" s="564">
        <v>0</v>
      </c>
      <c r="O62" s="20"/>
      <c r="P62" s="20"/>
      <c r="Q62" s="20"/>
      <c r="R62" s="20"/>
      <c r="S62" s="20"/>
      <c r="T62" s="20"/>
      <c r="U62" s="20"/>
      <c r="V62" s="20">
        <f>+'Allocation = % of margin'!V62</f>
        <v>0</v>
      </c>
      <c r="W62" s="20">
        <f>+'Allocation = % of margin'!Y62</f>
        <v>-1.1E-4</v>
      </c>
      <c r="X62" s="20"/>
      <c r="Y62" s="20"/>
      <c r="Z62" s="20"/>
      <c r="AA62" s="20"/>
      <c r="AB62" s="20"/>
      <c r="AC62" s="20"/>
      <c r="AD62" s="20">
        <f t="shared" si="12"/>
        <v>-1.1E-4</v>
      </c>
      <c r="AE62" s="20">
        <f t="shared" si="13"/>
        <v>-1.1E-4</v>
      </c>
      <c r="AF62" s="20"/>
      <c r="AG62" s="202">
        <f t="shared" si="31"/>
        <v>-1.1E-4</v>
      </c>
      <c r="AH62" s="202">
        <f t="shared" si="35"/>
        <v>-1.1E-4</v>
      </c>
      <c r="AI62" s="202">
        <f t="shared" si="32"/>
        <v>0</v>
      </c>
      <c r="AJ62" s="202">
        <f t="shared" si="33"/>
        <v>0</v>
      </c>
      <c r="AK62" s="677">
        <f t="shared" si="15"/>
        <v>0</v>
      </c>
      <c r="AL62" s="202">
        <f t="shared" si="24"/>
        <v>0</v>
      </c>
      <c r="AM62" s="20">
        <f t="shared" si="25"/>
        <v>1.1E-4</v>
      </c>
      <c r="AN62" s="20">
        <f t="shared" si="16"/>
        <v>0</v>
      </c>
      <c r="AO62" s="20">
        <f t="shared" si="26"/>
        <v>-1.1E-4</v>
      </c>
      <c r="AQ62" s="20">
        <f t="shared" si="27"/>
        <v>0</v>
      </c>
      <c r="AS62" s="20">
        <f>+'Rates in detail'!U62</f>
        <v>0</v>
      </c>
      <c r="AT62" s="20"/>
      <c r="AU62" s="20"/>
      <c r="AV62" s="20">
        <f t="shared" si="28"/>
        <v>0</v>
      </c>
      <c r="AW62" s="20">
        <f t="shared" si="29"/>
        <v>0</v>
      </c>
      <c r="AX62" s="20">
        <f t="shared" si="17"/>
        <v>0</v>
      </c>
      <c r="AZ62" s="691">
        <v>0</v>
      </c>
      <c r="BA62" s="691">
        <v>0</v>
      </c>
      <c r="BB62" s="691">
        <v>0</v>
      </c>
      <c r="BC62" s="692">
        <v>0</v>
      </c>
      <c r="BE62" s="20">
        <f t="shared" si="18"/>
        <v>0</v>
      </c>
      <c r="BF62" s="20">
        <f t="shared" si="19"/>
        <v>0</v>
      </c>
    </row>
    <row r="63" spans="1:58" x14ac:dyDescent="0.25">
      <c r="A63" s="4">
        <f t="shared" si="34"/>
        <v>57</v>
      </c>
      <c r="B63" s="69"/>
      <c r="C63" s="18" t="s">
        <v>10</v>
      </c>
      <c r="D63" s="649">
        <v>0</v>
      </c>
      <c r="E63" s="649">
        <v>0</v>
      </c>
      <c r="F63" s="402">
        <f>+'Allocation equal ¢ per therm'!H63</f>
        <v>0</v>
      </c>
      <c r="G63" s="402">
        <f>+'Allocation equal ¢ per therm'!K63</f>
        <v>0</v>
      </c>
      <c r="H63" s="402">
        <f>+'Allocation equal ¢ per therm'!N63</f>
        <v>0</v>
      </c>
      <c r="I63" s="402">
        <f t="shared" si="10"/>
        <v>0</v>
      </c>
      <c r="J63" s="402">
        <f t="shared" si="11"/>
        <v>0</v>
      </c>
      <c r="K63" s="402">
        <f>+'Allocation = % of margin'!P63</f>
        <v>0</v>
      </c>
      <c r="L63" s="402">
        <f>+'Allocation = % of margin'!S63</f>
        <v>0</v>
      </c>
      <c r="M63" s="564">
        <v>0</v>
      </c>
      <c r="N63" s="564">
        <v>0</v>
      </c>
      <c r="O63" s="20"/>
      <c r="P63" s="20"/>
      <c r="Q63" s="20"/>
      <c r="R63" s="20"/>
      <c r="S63" s="20"/>
      <c r="T63" s="20"/>
      <c r="U63" s="20"/>
      <c r="V63" s="20">
        <f>+'Allocation = % of margin'!V63</f>
        <v>0</v>
      </c>
      <c r="W63" s="20">
        <f>+'Allocation = % of margin'!Y63</f>
        <v>-8.0000000000000007E-5</v>
      </c>
      <c r="X63" s="20"/>
      <c r="Y63" s="20"/>
      <c r="Z63" s="20"/>
      <c r="AA63" s="20"/>
      <c r="AB63" s="20"/>
      <c r="AC63" s="20"/>
      <c r="AD63" s="20">
        <f t="shared" si="12"/>
        <v>-8.0000000000000007E-5</v>
      </c>
      <c r="AE63" s="20">
        <f t="shared" si="13"/>
        <v>-8.0000000000000007E-5</v>
      </c>
      <c r="AF63" s="20"/>
      <c r="AG63" s="202">
        <f t="shared" si="31"/>
        <v>-8.0000000000000007E-5</v>
      </c>
      <c r="AH63" s="202">
        <f t="shared" si="35"/>
        <v>-8.0000000000000007E-5</v>
      </c>
      <c r="AI63" s="202">
        <f t="shared" si="32"/>
        <v>0</v>
      </c>
      <c r="AJ63" s="202">
        <f t="shared" si="33"/>
        <v>0</v>
      </c>
      <c r="AK63" s="677">
        <f t="shared" si="15"/>
        <v>0</v>
      </c>
      <c r="AL63" s="202">
        <f t="shared" si="24"/>
        <v>0</v>
      </c>
      <c r="AM63" s="20">
        <f t="shared" si="25"/>
        <v>8.0000000000000007E-5</v>
      </c>
      <c r="AN63" s="20">
        <f t="shared" si="16"/>
        <v>0</v>
      </c>
      <c r="AO63" s="20">
        <f t="shared" si="26"/>
        <v>-8.0000000000000007E-5</v>
      </c>
      <c r="AQ63" s="20">
        <f t="shared" si="27"/>
        <v>0</v>
      </c>
      <c r="AS63" s="20">
        <f>+'Rates in detail'!U63</f>
        <v>0</v>
      </c>
      <c r="AT63" s="20"/>
      <c r="AU63" s="20"/>
      <c r="AV63" s="20">
        <f t="shared" si="28"/>
        <v>0</v>
      </c>
      <c r="AW63" s="20">
        <f t="shared" si="29"/>
        <v>0</v>
      </c>
      <c r="AX63" s="20">
        <f t="shared" si="17"/>
        <v>0</v>
      </c>
      <c r="AZ63" s="691">
        <v>0</v>
      </c>
      <c r="BA63" s="691">
        <v>0</v>
      </c>
      <c r="BB63" s="691">
        <v>0</v>
      </c>
      <c r="BC63" s="692">
        <v>0</v>
      </c>
      <c r="BE63" s="20">
        <f t="shared" si="18"/>
        <v>0</v>
      </c>
      <c r="BF63" s="20">
        <f t="shared" si="19"/>
        <v>0</v>
      </c>
    </row>
    <row r="64" spans="1:58" x14ac:dyDescent="0.25">
      <c r="A64" s="4">
        <f t="shared" si="34"/>
        <v>58</v>
      </c>
      <c r="B64" s="74"/>
      <c r="C64" s="22" t="s">
        <v>11</v>
      </c>
      <c r="D64" s="647">
        <v>0</v>
      </c>
      <c r="E64" s="647">
        <v>0</v>
      </c>
      <c r="F64" s="380">
        <f>+'Allocation equal ¢ per therm'!H64</f>
        <v>0</v>
      </c>
      <c r="G64" s="380">
        <f>+'Allocation equal ¢ per therm'!K64</f>
        <v>0</v>
      </c>
      <c r="H64" s="380">
        <f>+'Allocation equal ¢ per therm'!N64</f>
        <v>0</v>
      </c>
      <c r="I64" s="380">
        <f t="shared" si="10"/>
        <v>0</v>
      </c>
      <c r="J64" s="380">
        <f t="shared" si="11"/>
        <v>0</v>
      </c>
      <c r="K64" s="380">
        <f>+'Allocation = % of margin'!P64</f>
        <v>0</v>
      </c>
      <c r="L64" s="380">
        <f>+'Allocation = % of margin'!S64</f>
        <v>0</v>
      </c>
      <c r="M64" s="575">
        <v>0</v>
      </c>
      <c r="N64" s="575">
        <v>0</v>
      </c>
      <c r="O64" s="14"/>
      <c r="P64" s="14"/>
      <c r="Q64" s="14"/>
      <c r="R64" s="14"/>
      <c r="S64" s="14"/>
      <c r="T64" s="14"/>
      <c r="U64" s="14"/>
      <c r="V64" s="14">
        <f>+'Allocation = % of margin'!V64</f>
        <v>0</v>
      </c>
      <c r="W64" s="14">
        <f>+'Allocation = % of margin'!Y64</f>
        <v>-3.0000000000000001E-5</v>
      </c>
      <c r="X64" s="14"/>
      <c r="Y64" s="14"/>
      <c r="Z64" s="14"/>
      <c r="AA64" s="14"/>
      <c r="AB64" s="14"/>
      <c r="AC64" s="14"/>
      <c r="AD64" s="14">
        <f t="shared" si="12"/>
        <v>-3.0000000000000001E-5</v>
      </c>
      <c r="AE64" s="14">
        <f t="shared" si="13"/>
        <v>-3.0000000000000001E-5</v>
      </c>
      <c r="AF64" s="20"/>
      <c r="AG64" s="202">
        <f t="shared" si="31"/>
        <v>-3.0000000000000001E-5</v>
      </c>
      <c r="AH64" s="202">
        <f t="shared" si="35"/>
        <v>-3.0000000000000001E-5</v>
      </c>
      <c r="AI64" s="202">
        <f t="shared" si="32"/>
        <v>0</v>
      </c>
      <c r="AJ64" s="202">
        <f t="shared" si="33"/>
        <v>0</v>
      </c>
      <c r="AK64" s="677">
        <f t="shared" si="15"/>
        <v>0</v>
      </c>
      <c r="AL64" s="202">
        <f t="shared" si="24"/>
        <v>0</v>
      </c>
      <c r="AM64" s="20">
        <f t="shared" si="25"/>
        <v>3.0000000000000001E-5</v>
      </c>
      <c r="AN64" s="20">
        <f t="shared" si="16"/>
        <v>0</v>
      </c>
      <c r="AO64" s="20">
        <f t="shared" si="26"/>
        <v>-3.0000000000000001E-5</v>
      </c>
      <c r="AQ64" s="20">
        <f t="shared" si="27"/>
        <v>0</v>
      </c>
      <c r="AS64" s="20">
        <f>+'Rates in detail'!U64</f>
        <v>0</v>
      </c>
      <c r="AT64" s="20"/>
      <c r="AU64" s="20"/>
      <c r="AV64" s="20">
        <f t="shared" si="28"/>
        <v>0</v>
      </c>
      <c r="AW64" s="20">
        <f t="shared" si="29"/>
        <v>0</v>
      </c>
      <c r="AX64" s="20">
        <f t="shared" si="17"/>
        <v>0</v>
      </c>
      <c r="AZ64" s="691">
        <v>0</v>
      </c>
      <c r="BA64" s="691">
        <v>0</v>
      </c>
      <c r="BB64" s="691">
        <v>0</v>
      </c>
      <c r="BC64" s="692">
        <v>0</v>
      </c>
      <c r="BE64" s="20">
        <f t="shared" si="18"/>
        <v>0</v>
      </c>
      <c r="BF64" s="20">
        <f t="shared" si="19"/>
        <v>0</v>
      </c>
    </row>
    <row r="65" spans="1:58" x14ac:dyDescent="0.25">
      <c r="A65" s="4">
        <f t="shared" si="34"/>
        <v>59</v>
      </c>
      <c r="B65" s="74" t="s">
        <v>167</v>
      </c>
      <c r="C65" s="21"/>
      <c r="D65" s="652">
        <v>0</v>
      </c>
      <c r="E65" s="652">
        <v>0</v>
      </c>
      <c r="F65" s="23">
        <f>+'Allocation equal ¢ per therm'!H65</f>
        <v>0</v>
      </c>
      <c r="G65" s="23">
        <f>+'Allocation equal ¢ per therm'!K65</f>
        <v>0</v>
      </c>
      <c r="H65" s="23">
        <f>+'Allocation equal ¢ per therm'!N65</f>
        <v>0</v>
      </c>
      <c r="I65" s="23">
        <f t="shared" si="10"/>
        <v>0</v>
      </c>
      <c r="J65" s="23">
        <f t="shared" si="11"/>
        <v>0</v>
      </c>
      <c r="K65" s="23">
        <f>+'Allocation = % of margin'!P65</f>
        <v>0</v>
      </c>
      <c r="L65" s="23">
        <f>+'Allocation = % of margin'!S65</f>
        <v>0</v>
      </c>
      <c r="M65" s="576">
        <v>0</v>
      </c>
      <c r="N65" s="576">
        <v>0</v>
      </c>
      <c r="O65" s="23"/>
      <c r="P65" s="23"/>
      <c r="Q65" s="23"/>
      <c r="R65" s="23"/>
      <c r="S65" s="23"/>
      <c r="T65" s="23"/>
      <c r="U65" s="23"/>
      <c r="V65" s="23">
        <f>+'Allocation = % of margin'!V65</f>
        <v>0</v>
      </c>
      <c r="W65" s="23">
        <f>+'Allocation = % of margin'!Y65</f>
        <v>-1.0000000000000001E-5</v>
      </c>
      <c r="X65" s="23"/>
      <c r="Y65" s="23"/>
      <c r="Z65" s="23"/>
      <c r="AA65" s="23"/>
      <c r="AB65" s="23"/>
      <c r="AC65" s="23"/>
      <c r="AD65" s="23">
        <f t="shared" si="12"/>
        <v>-1.0000000000000001E-5</v>
      </c>
      <c r="AE65" s="23">
        <f t="shared" si="13"/>
        <v>-1.0000000000000001E-5</v>
      </c>
      <c r="AF65" s="20"/>
      <c r="AG65" s="202">
        <f t="shared" si="31"/>
        <v>-1.0000000000000001E-5</v>
      </c>
      <c r="AH65" s="202">
        <f t="shared" si="35"/>
        <v>-1.0000000000000001E-5</v>
      </c>
      <c r="AI65" s="202">
        <f t="shared" si="32"/>
        <v>0</v>
      </c>
      <c r="AJ65" s="202">
        <f t="shared" si="33"/>
        <v>0</v>
      </c>
      <c r="AK65" s="677">
        <f t="shared" si="15"/>
        <v>0</v>
      </c>
      <c r="AL65" s="202">
        <f t="shared" si="24"/>
        <v>0</v>
      </c>
      <c r="AM65" s="20">
        <f t="shared" si="25"/>
        <v>1.0000000000000001E-5</v>
      </c>
      <c r="AN65" s="20">
        <f t="shared" si="16"/>
        <v>0</v>
      </c>
      <c r="AO65" s="20">
        <f t="shared" si="26"/>
        <v>-1.0000000000000001E-5</v>
      </c>
      <c r="AQ65" s="20">
        <f t="shared" si="27"/>
        <v>0</v>
      </c>
      <c r="AS65" s="20">
        <f>+'Rates in detail'!U65</f>
        <v>0</v>
      </c>
      <c r="AT65" s="20"/>
      <c r="AU65" s="20"/>
      <c r="AV65" s="20">
        <f t="shared" si="28"/>
        <v>0</v>
      </c>
      <c r="AW65" s="20">
        <f t="shared" si="29"/>
        <v>0</v>
      </c>
      <c r="AX65" s="20">
        <f t="shared" si="17"/>
        <v>0</v>
      </c>
      <c r="AZ65" s="691">
        <v>0</v>
      </c>
      <c r="BA65" s="691">
        <v>0</v>
      </c>
      <c r="BB65" s="691">
        <v>0</v>
      </c>
      <c r="BC65" s="692">
        <v>0</v>
      </c>
      <c r="BE65" s="20">
        <f t="shared" si="18"/>
        <v>0</v>
      </c>
      <c r="BF65" s="20">
        <f t="shared" si="19"/>
        <v>0</v>
      </c>
    </row>
    <row r="66" spans="1:58" x14ac:dyDescent="0.25">
      <c r="A66" s="4">
        <f t="shared" si="34"/>
        <v>60</v>
      </c>
      <c r="B66" s="16" t="s">
        <v>168</v>
      </c>
      <c r="C66" s="13"/>
      <c r="D66" s="98">
        <v>0</v>
      </c>
      <c r="E66" s="98">
        <v>0</v>
      </c>
      <c r="F66" s="24">
        <f>+'Allocation equal ¢ per therm'!H66</f>
        <v>0</v>
      </c>
      <c r="G66" s="24">
        <f>+'Allocation equal ¢ per therm'!K66</f>
        <v>0</v>
      </c>
      <c r="H66" s="24">
        <f>+'Allocation equal ¢ per therm'!N66</f>
        <v>0</v>
      </c>
      <c r="I66" s="24">
        <f t="shared" si="10"/>
        <v>0</v>
      </c>
      <c r="J66" s="24">
        <f t="shared" si="11"/>
        <v>0</v>
      </c>
      <c r="K66" s="24">
        <f>+'Allocation = % of margin'!P66</f>
        <v>0</v>
      </c>
      <c r="L66" s="24">
        <f>+'Allocation = % of margin'!S66</f>
        <v>0</v>
      </c>
      <c r="M66" s="577">
        <v>0</v>
      </c>
      <c r="N66" s="577">
        <v>0</v>
      </c>
      <c r="O66" s="24"/>
      <c r="P66" s="24"/>
      <c r="Q66" s="24"/>
      <c r="R66" s="24"/>
      <c r="S66" s="24"/>
      <c r="T66" s="24"/>
      <c r="U66" s="24"/>
      <c r="V66" s="24">
        <f>+'Allocation = % of margin'!V66</f>
        <v>0</v>
      </c>
      <c r="W66" s="24">
        <f>+'Allocation = % of margin'!Y66</f>
        <v>-1.0000000000000001E-5</v>
      </c>
      <c r="X66" s="24"/>
      <c r="Y66" s="24"/>
      <c r="Z66" s="24"/>
      <c r="AA66" s="24"/>
      <c r="AB66" s="24"/>
      <c r="AC66" s="24"/>
      <c r="AD66" s="24">
        <f t="shared" si="12"/>
        <v>-1.0000000000000001E-5</v>
      </c>
      <c r="AE66" s="24">
        <f t="shared" si="13"/>
        <v>-1.0000000000000001E-5</v>
      </c>
      <c r="AF66" s="20"/>
      <c r="AG66" s="202">
        <f t="shared" si="31"/>
        <v>-1.0000000000000001E-5</v>
      </c>
      <c r="AH66" s="202">
        <f t="shared" si="35"/>
        <v>-1.0000000000000001E-5</v>
      </c>
      <c r="AI66" s="202">
        <f t="shared" si="32"/>
        <v>0</v>
      </c>
      <c r="AJ66" s="202">
        <f t="shared" si="33"/>
        <v>0</v>
      </c>
      <c r="AK66" s="677">
        <f t="shared" si="15"/>
        <v>0</v>
      </c>
      <c r="AL66" s="202">
        <f t="shared" si="24"/>
        <v>0</v>
      </c>
      <c r="AM66" s="20">
        <f t="shared" si="25"/>
        <v>1.0000000000000001E-5</v>
      </c>
      <c r="AN66" s="20">
        <f t="shared" si="16"/>
        <v>0</v>
      </c>
      <c r="AO66" s="20">
        <f t="shared" si="26"/>
        <v>-1.0000000000000001E-5</v>
      </c>
      <c r="AQ66" s="20">
        <f t="shared" si="27"/>
        <v>0</v>
      </c>
      <c r="AS66" s="20">
        <f>+'Rates in detail'!U66</f>
        <v>0</v>
      </c>
      <c r="AT66" s="20"/>
      <c r="AU66" s="20"/>
      <c r="AV66" s="20">
        <f t="shared" si="28"/>
        <v>0</v>
      </c>
      <c r="AW66" s="20">
        <f t="shared" si="29"/>
        <v>0</v>
      </c>
      <c r="AX66" s="20">
        <f t="shared" si="17"/>
        <v>0</v>
      </c>
      <c r="AZ66" s="691">
        <v>0</v>
      </c>
      <c r="BA66" s="691">
        <v>0</v>
      </c>
      <c r="BB66" s="691">
        <v>0</v>
      </c>
      <c r="BC66" s="692">
        <v>0</v>
      </c>
      <c r="BE66" s="20">
        <f t="shared" si="18"/>
        <v>0</v>
      </c>
      <c r="BF66" s="20">
        <f t="shared" si="19"/>
        <v>0</v>
      </c>
    </row>
    <row r="67" spans="1:58" x14ac:dyDescent="0.25">
      <c r="A67" s="4">
        <f t="shared" si="34"/>
        <v>61</v>
      </c>
      <c r="B67" s="15" t="s">
        <v>217</v>
      </c>
      <c r="C67" s="13"/>
      <c r="D67" s="99"/>
      <c r="E67" s="98"/>
      <c r="F67" s="580"/>
      <c r="G67" s="580"/>
      <c r="H67" s="24"/>
      <c r="I67" s="24"/>
      <c r="J67" s="24"/>
      <c r="K67" s="24"/>
      <c r="L67" s="24"/>
      <c r="M67" s="577"/>
      <c r="N67" s="577"/>
      <c r="O67" s="25"/>
      <c r="P67" s="25"/>
      <c r="Q67" s="25"/>
      <c r="R67" s="25"/>
      <c r="S67" s="25"/>
      <c r="T67" s="25"/>
      <c r="U67" s="25"/>
      <c r="V67" s="25"/>
      <c r="W67" s="25"/>
      <c r="X67" s="25"/>
      <c r="Y67" s="25"/>
      <c r="Z67" s="25"/>
      <c r="AA67" s="25"/>
      <c r="AB67" s="25"/>
      <c r="AC67" s="25"/>
      <c r="AD67" s="411"/>
      <c r="AE67" s="25"/>
      <c r="AI67" s="20">
        <f t="shared" si="32"/>
        <v>0</v>
      </c>
      <c r="AJ67" s="20">
        <f t="shared" si="33"/>
        <v>0</v>
      </c>
      <c r="AK67" s="402">
        <f t="shared" si="15"/>
        <v>0</v>
      </c>
      <c r="AL67" s="20">
        <f t="shared" si="24"/>
        <v>0</v>
      </c>
      <c r="AM67" s="20">
        <f t="shared" si="25"/>
        <v>0</v>
      </c>
      <c r="AN67" s="20">
        <f t="shared" si="16"/>
        <v>0</v>
      </c>
      <c r="AO67" s="20">
        <f t="shared" si="26"/>
        <v>0</v>
      </c>
      <c r="AQ67" s="20">
        <f t="shared" si="27"/>
        <v>0</v>
      </c>
      <c r="AS67" s="20">
        <f>+'Rates in detail'!U67</f>
        <v>0</v>
      </c>
      <c r="AT67" s="20"/>
      <c r="AU67" s="20"/>
      <c r="AV67" s="20">
        <f t="shared" si="28"/>
        <v>0</v>
      </c>
      <c r="AW67" s="20">
        <f t="shared" si="29"/>
        <v>0</v>
      </c>
      <c r="AX67" s="20">
        <f t="shared" si="17"/>
        <v>0</v>
      </c>
      <c r="AZ67" s="525"/>
      <c r="BA67" s="525">
        <v>0</v>
      </c>
      <c r="BB67" s="525"/>
      <c r="BC67" s="692">
        <v>0</v>
      </c>
      <c r="BE67" s="20">
        <f t="shared" si="18"/>
        <v>0</v>
      </c>
      <c r="BF67" s="20">
        <f t="shared" si="19"/>
        <v>0</v>
      </c>
    </row>
    <row r="68" spans="1:58" x14ac:dyDescent="0.25">
      <c r="A68" s="4">
        <f t="shared" si="34"/>
        <v>62</v>
      </c>
      <c r="AZ68" s="43"/>
      <c r="BA68" s="43"/>
      <c r="BB68" s="43"/>
      <c r="BC68" s="43"/>
    </row>
    <row r="69" spans="1:58" ht="13.8" thickBot="1" x14ac:dyDescent="0.3">
      <c r="A69" s="4">
        <f t="shared" si="34"/>
        <v>63</v>
      </c>
      <c r="B69" s="26" t="s">
        <v>171</v>
      </c>
      <c r="D69" s="2"/>
      <c r="E69" s="192"/>
    </row>
    <row r="70" spans="1:58" ht="13.8" thickBot="1" x14ac:dyDescent="0.3">
      <c r="A70" s="4">
        <f t="shared" si="34"/>
        <v>64</v>
      </c>
      <c r="B70" s="27" t="s">
        <v>172</v>
      </c>
      <c r="C70" s="28"/>
      <c r="D70" s="581" t="s">
        <v>641</v>
      </c>
      <c r="E70" s="581"/>
      <c r="F70" s="94"/>
      <c r="G70" s="94"/>
      <c r="H70" s="94"/>
      <c r="I70" s="94"/>
      <c r="J70" s="94"/>
      <c r="K70" s="94"/>
      <c r="L70" s="94"/>
      <c r="M70" s="94"/>
      <c r="N70" s="94"/>
      <c r="O70" s="29"/>
      <c r="P70" s="29"/>
      <c r="Q70" s="29"/>
      <c r="R70" s="29"/>
      <c r="S70" s="29"/>
      <c r="T70" s="29"/>
      <c r="U70" s="29"/>
      <c r="V70" s="29"/>
      <c r="W70" s="29"/>
      <c r="X70" s="29"/>
      <c r="Y70" s="29"/>
      <c r="Z70" s="29"/>
      <c r="AA70" s="29"/>
      <c r="AB70" s="29"/>
      <c r="AC70" s="29"/>
      <c r="AD70" s="29"/>
      <c r="AE70" s="84"/>
    </row>
    <row r="71" spans="1:58" ht="13.8" thickBot="1" x14ac:dyDescent="0.3">
      <c r="A71" s="4">
        <f t="shared" si="34"/>
        <v>65</v>
      </c>
      <c r="D71" s="2"/>
      <c r="E71" s="192"/>
    </row>
    <row r="72" spans="1:58" ht="13.8" thickBot="1" x14ac:dyDescent="0.3">
      <c r="A72" s="4">
        <f t="shared" si="34"/>
        <v>66</v>
      </c>
      <c r="B72" s="27" t="s">
        <v>174</v>
      </c>
      <c r="C72" s="28"/>
      <c r="D72" s="29"/>
      <c r="E72" s="94"/>
      <c r="F72" s="30" t="s">
        <v>68</v>
      </c>
      <c r="G72" s="30" t="s">
        <v>177</v>
      </c>
      <c r="H72" s="30" t="s">
        <v>173</v>
      </c>
      <c r="I72" s="30"/>
      <c r="J72" s="30"/>
      <c r="K72" s="94"/>
      <c r="L72" s="94"/>
      <c r="M72" s="94"/>
      <c r="N72" s="94"/>
      <c r="O72" s="29"/>
      <c r="P72" s="29"/>
      <c r="Q72" s="29"/>
      <c r="R72" s="29"/>
      <c r="S72" s="29"/>
      <c r="T72" s="29"/>
      <c r="U72" s="29"/>
      <c r="V72" s="29"/>
      <c r="W72" s="29"/>
      <c r="X72" s="30"/>
      <c r="Y72" s="30"/>
      <c r="Z72" s="30"/>
      <c r="AA72" s="30"/>
      <c r="AB72" s="30"/>
      <c r="AC72" s="29"/>
      <c r="AD72" s="29"/>
      <c r="AE72" s="84"/>
    </row>
    <row r="73" spans="1:58" ht="13.8" thickBot="1" x14ac:dyDescent="0.3">
      <c r="A73" s="4">
        <f t="shared" si="34"/>
        <v>67</v>
      </c>
      <c r="B73" s="27" t="s">
        <v>175</v>
      </c>
      <c r="C73" s="28"/>
      <c r="D73" s="29"/>
      <c r="E73" s="94"/>
      <c r="F73" s="94"/>
      <c r="G73" s="94"/>
      <c r="H73" s="94"/>
      <c r="I73" s="94"/>
      <c r="J73" s="94"/>
      <c r="K73" s="30" t="s">
        <v>258</v>
      </c>
      <c r="L73" s="30" t="s">
        <v>356</v>
      </c>
      <c r="M73" s="30"/>
      <c r="N73" s="30"/>
      <c r="O73" s="30"/>
      <c r="P73" s="30"/>
      <c r="Q73" s="30"/>
      <c r="R73" s="30"/>
      <c r="S73" s="30"/>
      <c r="T73" s="30"/>
      <c r="U73" s="30"/>
      <c r="V73" s="30" t="s">
        <v>381</v>
      </c>
      <c r="W73" s="30" t="s">
        <v>540</v>
      </c>
      <c r="X73" s="29"/>
      <c r="Y73" s="29"/>
      <c r="Z73" s="29"/>
      <c r="AA73" s="29"/>
      <c r="AB73" s="29"/>
      <c r="AC73" s="30"/>
      <c r="AD73" s="29"/>
      <c r="AE73" s="84"/>
    </row>
    <row r="74" spans="1:58" s="103" customFormat="1" ht="13.8" thickBot="1" x14ac:dyDescent="0.3">
      <c r="A74" s="520">
        <f t="shared" si="34"/>
        <v>68</v>
      </c>
      <c r="B74" s="521" t="s">
        <v>541</v>
      </c>
      <c r="K74" s="69"/>
      <c r="L74" s="69"/>
      <c r="M74" s="69"/>
      <c r="N74" s="69"/>
      <c r="O74" s="69"/>
      <c r="P74" s="69"/>
      <c r="Q74" s="69"/>
      <c r="R74" s="69"/>
      <c r="S74" s="69"/>
      <c r="T74" s="69"/>
      <c r="U74" s="69"/>
      <c r="V74" s="69"/>
      <c r="AC74" s="69"/>
    </row>
    <row r="75" spans="1:58" ht="13.8" thickBot="1" x14ac:dyDescent="0.3">
      <c r="A75" s="4">
        <f t="shared" si="34"/>
        <v>69</v>
      </c>
      <c r="B75" s="27" t="s">
        <v>542</v>
      </c>
      <c r="C75" s="28"/>
      <c r="D75" s="29"/>
      <c r="E75" s="94"/>
      <c r="F75" s="30" t="str">
        <f>+'Allocation equal ¢ per therm'!F74</f>
        <v>Sched 201</v>
      </c>
      <c r="G75" s="30" t="str">
        <f>+'Allocation equal ¢ per therm'!I74</f>
        <v>Sched 201</v>
      </c>
      <c r="H75" s="30" t="str">
        <f>+'Allocation equal ¢ per therm'!L74</f>
        <v>Sched 201</v>
      </c>
      <c r="I75" s="30"/>
      <c r="J75" s="30"/>
      <c r="K75" s="30" t="str">
        <f>+'Allocation = % of margin'!N74</f>
        <v>Sched 215</v>
      </c>
      <c r="L75" s="519" t="str">
        <f>+'Allocation = % of margin'!Q74</f>
        <v>Sched 230, Prg J</v>
      </c>
      <c r="M75" s="519"/>
      <c r="N75" s="519"/>
      <c r="O75" s="519"/>
      <c r="P75" s="519"/>
      <c r="Q75" s="519"/>
      <c r="R75" s="519"/>
      <c r="S75" s="519"/>
      <c r="T75" s="519"/>
      <c r="U75" s="519"/>
      <c r="V75" s="519" t="str">
        <f>+'Allocation = % of margin'!T74</f>
        <v>Sched 230, Prg I</v>
      </c>
      <c r="W75" s="519" t="str">
        <f>+'Allocation = % of margin'!W74</f>
        <v>Sched 209</v>
      </c>
      <c r="X75" s="29"/>
      <c r="Y75" s="29"/>
      <c r="Z75" s="29"/>
      <c r="AA75" s="29"/>
      <c r="AB75" s="29"/>
      <c r="AC75" s="30"/>
      <c r="AD75" s="29"/>
      <c r="AE75" s="84"/>
    </row>
    <row r="76" spans="1:58" x14ac:dyDescent="0.25">
      <c r="A76" s="31"/>
    </row>
    <row r="77" spans="1:58" x14ac:dyDescent="0.25">
      <c r="A77" s="31"/>
    </row>
    <row r="78" spans="1:58" x14ac:dyDescent="0.25">
      <c r="A78" s="31"/>
    </row>
    <row r="79" spans="1:58" x14ac:dyDescent="0.25">
      <c r="A79" s="31"/>
    </row>
    <row r="80" spans="1:58" x14ac:dyDescent="0.25">
      <c r="A80" s="31"/>
    </row>
    <row r="81" spans="1:2" x14ac:dyDescent="0.25">
      <c r="A81" s="31"/>
      <c r="B81" s="2" t="s">
        <v>577</v>
      </c>
    </row>
    <row r="82" spans="1:2" x14ac:dyDescent="0.25">
      <c r="A82" s="31"/>
    </row>
    <row r="83" spans="1:2" x14ac:dyDescent="0.25">
      <c r="A83" s="31"/>
    </row>
    <row r="84" spans="1:2" x14ac:dyDescent="0.25">
      <c r="A84" s="31"/>
    </row>
    <row r="85" spans="1:2" x14ac:dyDescent="0.25">
      <c r="A85" s="31"/>
    </row>
    <row r="86" spans="1:2" x14ac:dyDescent="0.25">
      <c r="A86" s="31"/>
    </row>
    <row r="87" spans="1:2" x14ac:dyDescent="0.25">
      <c r="A87" s="31"/>
    </row>
    <row r="88" spans="1:2" x14ac:dyDescent="0.25">
      <c r="A88" s="31"/>
    </row>
    <row r="89" spans="1:2" x14ac:dyDescent="0.25">
      <c r="A89" s="31"/>
    </row>
    <row r="90" spans="1:2" x14ac:dyDescent="0.25">
      <c r="A90" s="31"/>
    </row>
    <row r="91" spans="1:2" x14ac:dyDescent="0.25">
      <c r="A91" s="31"/>
    </row>
    <row r="92" spans="1:2" x14ac:dyDescent="0.25">
      <c r="A92" s="31"/>
    </row>
    <row r="93" spans="1:2" x14ac:dyDescent="0.25">
      <c r="A93" s="31"/>
    </row>
    <row r="94" spans="1:2" x14ac:dyDescent="0.25">
      <c r="A94" s="31"/>
    </row>
    <row r="95" spans="1:2" x14ac:dyDescent="0.25">
      <c r="A95" s="31"/>
    </row>
    <row r="96" spans="1:2" x14ac:dyDescent="0.25">
      <c r="A96" s="31"/>
    </row>
    <row r="97" spans="1:1" x14ac:dyDescent="0.25">
      <c r="A97" s="31"/>
    </row>
    <row r="98" spans="1:1" x14ac:dyDescent="0.25">
      <c r="A98" s="31"/>
    </row>
    <row r="99" spans="1:1" x14ac:dyDescent="0.25">
      <c r="A99" s="31"/>
    </row>
    <row r="100" spans="1:1" x14ac:dyDescent="0.25">
      <c r="A100" s="31"/>
    </row>
    <row r="101" spans="1:1" x14ac:dyDescent="0.25">
      <c r="A101" s="31"/>
    </row>
    <row r="102" spans="1:1" x14ac:dyDescent="0.25">
      <c r="A102" s="31"/>
    </row>
    <row r="103" spans="1:1" x14ac:dyDescent="0.25">
      <c r="A103" s="31"/>
    </row>
    <row r="104" spans="1:1" x14ac:dyDescent="0.25">
      <c r="A104" s="31"/>
    </row>
    <row r="105" spans="1:1" x14ac:dyDescent="0.25">
      <c r="A105" s="31"/>
    </row>
    <row r="106" spans="1:1" x14ac:dyDescent="0.25">
      <c r="A106" s="31"/>
    </row>
    <row r="107" spans="1:1" x14ac:dyDescent="0.25">
      <c r="A107" s="31"/>
    </row>
    <row r="108" spans="1:1" x14ac:dyDescent="0.25">
      <c r="A108" s="31"/>
    </row>
    <row r="109" spans="1:1" x14ac:dyDescent="0.25">
      <c r="A109" s="31"/>
    </row>
    <row r="110" spans="1:1" x14ac:dyDescent="0.25">
      <c r="A110" s="31"/>
    </row>
    <row r="111" spans="1:1" x14ac:dyDescent="0.25">
      <c r="A111" s="31"/>
    </row>
    <row r="112" spans="1:1" x14ac:dyDescent="0.25">
      <c r="A112" s="31"/>
    </row>
    <row r="113" spans="1:1" x14ac:dyDescent="0.25">
      <c r="A113" s="31"/>
    </row>
    <row r="114" spans="1:1" x14ac:dyDescent="0.25">
      <c r="A114" s="31"/>
    </row>
    <row r="115" spans="1:1" x14ac:dyDescent="0.25">
      <c r="A115" s="31"/>
    </row>
    <row r="116" spans="1:1" x14ac:dyDescent="0.25">
      <c r="A116" s="31"/>
    </row>
    <row r="117" spans="1:1" x14ac:dyDescent="0.25">
      <c r="A117" s="31"/>
    </row>
    <row r="118" spans="1:1" x14ac:dyDescent="0.25">
      <c r="A118" s="31"/>
    </row>
    <row r="119" spans="1:1" x14ac:dyDescent="0.25">
      <c r="A119" s="31"/>
    </row>
    <row r="120" spans="1:1" x14ac:dyDescent="0.25">
      <c r="A120" s="31"/>
    </row>
    <row r="121" spans="1:1" x14ac:dyDescent="0.25">
      <c r="A121" s="31"/>
    </row>
    <row r="122" spans="1:1" x14ac:dyDescent="0.25">
      <c r="A122" s="31"/>
    </row>
    <row r="123" spans="1:1" x14ac:dyDescent="0.25">
      <c r="A123" s="31"/>
    </row>
    <row r="124" spans="1:1" x14ac:dyDescent="0.25">
      <c r="A124" s="31"/>
    </row>
    <row r="125" spans="1:1" x14ac:dyDescent="0.25">
      <c r="A125" s="31"/>
    </row>
    <row r="126" spans="1:1" x14ac:dyDescent="0.25">
      <c r="A126" s="31"/>
    </row>
    <row r="127" spans="1:1" x14ac:dyDescent="0.25">
      <c r="A127" s="31"/>
    </row>
    <row r="128" spans="1:1" x14ac:dyDescent="0.25">
      <c r="A128" s="31"/>
    </row>
    <row r="129" spans="1:1" x14ac:dyDescent="0.25">
      <c r="A129" s="31"/>
    </row>
    <row r="130" spans="1:1" x14ac:dyDescent="0.25">
      <c r="A130" s="31"/>
    </row>
    <row r="131" spans="1:1" x14ac:dyDescent="0.25">
      <c r="A131" s="31"/>
    </row>
    <row r="132" spans="1:1" x14ac:dyDescent="0.25">
      <c r="A132" s="31"/>
    </row>
    <row r="133" spans="1:1" x14ac:dyDescent="0.25">
      <c r="A133" s="31"/>
    </row>
    <row r="134" spans="1:1" x14ac:dyDescent="0.25">
      <c r="A134" s="31"/>
    </row>
    <row r="135" spans="1:1" x14ac:dyDescent="0.25">
      <c r="A135" s="31"/>
    </row>
  </sheetData>
  <mergeCells count="4">
    <mergeCell ref="BA11:BA12"/>
    <mergeCell ref="AZ11:AZ12"/>
    <mergeCell ref="BB11:BB12"/>
    <mergeCell ref="AN7:AN9"/>
  </mergeCells>
  <phoneticPr fontId="2" type="noConversion"/>
  <printOptions horizontalCentered="1"/>
  <pageMargins left="0.5" right="0.5" top="0.5" bottom="0.5" header="0.25" footer="0.25"/>
  <pageSetup scale="45" orientation="landscape" r:id="rId1"/>
  <headerFooter alignWithMargins="0">
    <oddHeader xml:space="preserve">&amp;RUG-181053 NWN Compliance Filing
Advice 19-07 / Work Paper
</oddHeader>
    <oddFooter xml:space="preserve">&amp;C&amp;F &amp;D &amp;T
&amp;A  </oddFooter>
  </headerFooter>
  <colBreaks count="1" manualBreakCount="1">
    <brk id="2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39997558519241921"/>
  </sheetPr>
  <dimension ref="A1:W76"/>
  <sheetViews>
    <sheetView showGridLines="0" zoomScaleNormal="100" zoomScaleSheetLayoutView="85" workbookViewId="0">
      <pane xSplit="3" ySplit="12" topLeftCell="D13" activePane="bottomRight" state="frozen"/>
      <selection activeCell="Q32" sqref="Q32"/>
      <selection pane="topRight" activeCell="Q32" sqref="Q32"/>
      <selection pane="bottomLeft" activeCell="Q32" sqref="Q32"/>
      <selection pane="bottomRight" activeCell="W22" sqref="W22"/>
    </sheetView>
  </sheetViews>
  <sheetFormatPr defaultColWidth="9.33203125" defaultRowHeight="13.2" x14ac:dyDescent="0.25"/>
  <cols>
    <col min="1" max="1" width="3.88671875" style="3" customWidth="1"/>
    <col min="2" max="2" width="15.6640625" style="2" bestFit="1" customWidth="1"/>
    <col min="3" max="3" width="7.88671875" style="2" bestFit="1" customWidth="1"/>
    <col min="4" max="4" width="15.88671875" style="40" customWidth="1"/>
    <col min="5" max="5" width="24.88671875" style="40" customWidth="1"/>
    <col min="6" max="6" width="13.88671875" style="42" customWidth="1"/>
    <col min="7" max="14" width="13.88671875" style="2" customWidth="1"/>
    <col min="15" max="17" width="13.88671875" style="2" hidden="1" customWidth="1"/>
    <col min="18" max="20" width="13.88671875" style="3" hidden="1" customWidth="1"/>
    <col min="21" max="21" width="9.33203125" style="3"/>
    <col min="22" max="22" width="14" style="3" bestFit="1" customWidth="1"/>
    <col min="23" max="23" width="13.88671875" style="3" customWidth="1"/>
    <col min="24" max="16384" width="9.33203125" style="3"/>
  </cols>
  <sheetData>
    <row r="1" spans="1:23" ht="13.8" x14ac:dyDescent="0.25">
      <c r="A1" s="1" t="str">
        <f>+'Washington volumes'!A1</f>
        <v>NW Natural</v>
      </c>
      <c r="F1" s="40"/>
    </row>
    <row r="2" spans="1:23" ht="13.8" x14ac:dyDescent="0.25">
      <c r="A2" s="1" t="str">
        <f>+'Washington volumes'!A2</f>
        <v>Rates &amp; Regulatory Affairs</v>
      </c>
      <c r="F2" s="40"/>
    </row>
    <row r="3" spans="1:23" ht="13.8" x14ac:dyDescent="0.25">
      <c r="A3" s="1" t="str">
        <f>+'Washington volumes'!A3</f>
        <v>2018-2019 PGA Filing - Washington: September Filing</v>
      </c>
      <c r="F3" s="40"/>
    </row>
    <row r="4" spans="1:23" ht="13.8" x14ac:dyDescent="0.25">
      <c r="A4" s="1" t="s">
        <v>67</v>
      </c>
      <c r="F4" s="40"/>
    </row>
    <row r="5" spans="1:23" x14ac:dyDescent="0.25">
      <c r="A5" s="367"/>
      <c r="B5" s="368"/>
      <c r="C5" s="368"/>
      <c r="D5" s="368"/>
      <c r="E5" s="192"/>
      <c r="F5" s="78"/>
      <c r="K5" s="78"/>
    </row>
    <row r="6" spans="1:23" x14ac:dyDescent="0.25">
      <c r="D6" s="2"/>
    </row>
    <row r="7" spans="1:23" ht="15" customHeight="1" thickBot="1" x14ac:dyDescent="0.3">
      <c r="A7" s="85">
        <v>1</v>
      </c>
      <c r="D7" s="33" t="s">
        <v>181</v>
      </c>
      <c r="E7" s="35"/>
      <c r="F7" s="44" t="str">
        <f>+Inputs!C36</f>
        <v>WACOG Deferral</v>
      </c>
      <c r="G7" s="45"/>
      <c r="H7" s="46"/>
      <c r="I7" s="44" t="str">
        <f>+Inputs!C38</f>
        <v>Demand Deferral - FIRM</v>
      </c>
      <c r="J7" s="45"/>
      <c r="K7" s="46"/>
      <c r="L7" s="44" t="str">
        <f>+Inputs!C40</f>
        <v>Demand Deferral - INTERRUPTIBLE</v>
      </c>
      <c r="M7" s="45"/>
      <c r="N7" s="46"/>
      <c r="O7" s="717" t="s">
        <v>608</v>
      </c>
      <c r="P7" s="718"/>
      <c r="Q7" s="719"/>
      <c r="R7" s="717" t="s">
        <v>608</v>
      </c>
      <c r="S7" s="718"/>
      <c r="T7" s="719"/>
    </row>
    <row r="8" spans="1:23" ht="15" customHeight="1" thickBot="1" x14ac:dyDescent="0.3">
      <c r="A8" s="85">
        <f t="shared" ref="A8:A62" si="0">+A7+1</f>
        <v>2</v>
      </c>
      <c r="D8" s="33" t="s">
        <v>169</v>
      </c>
      <c r="E8" s="47" t="s">
        <v>54</v>
      </c>
      <c r="F8" s="641">
        <f>+Inputs!B36</f>
        <v>-1998283</v>
      </c>
      <c r="G8" s="28" t="s">
        <v>45</v>
      </c>
      <c r="H8" s="49"/>
      <c r="I8" s="641">
        <f>+Inputs!B38</f>
        <v>-2005163</v>
      </c>
      <c r="J8" s="28" t="s">
        <v>45</v>
      </c>
      <c r="K8" s="49"/>
      <c r="L8" s="641">
        <f>+Inputs!B40</f>
        <v>-12158</v>
      </c>
      <c r="M8" s="28" t="s">
        <v>45</v>
      </c>
      <c r="N8" s="49"/>
      <c r="O8" s="426"/>
      <c r="P8" s="28" t="s">
        <v>45</v>
      </c>
      <c r="Q8" s="49"/>
      <c r="R8" s="48"/>
      <c r="S8" s="28" t="s">
        <v>45</v>
      </c>
      <c r="T8" s="49"/>
    </row>
    <row r="9" spans="1:23" ht="15" customHeight="1" thickBot="1" x14ac:dyDescent="0.3">
      <c r="A9" s="85">
        <f t="shared" si="0"/>
        <v>3</v>
      </c>
      <c r="D9" s="33" t="s">
        <v>71</v>
      </c>
      <c r="E9" s="47" t="s">
        <v>43</v>
      </c>
      <c r="F9" s="86">
        <f>+revsens</f>
        <v>4.3720000000000002E-2</v>
      </c>
      <c r="G9" s="28" t="s">
        <v>58</v>
      </c>
      <c r="H9" s="49"/>
      <c r="I9" s="86">
        <f>+revsens</f>
        <v>4.3720000000000002E-2</v>
      </c>
      <c r="J9" s="28" t="s">
        <v>58</v>
      </c>
      <c r="K9" s="49"/>
      <c r="L9" s="86">
        <f>+revsens</f>
        <v>4.3720000000000002E-2</v>
      </c>
      <c r="M9" s="28" t="s">
        <v>58</v>
      </c>
      <c r="N9" s="49"/>
      <c r="O9" s="86">
        <f>+revsens</f>
        <v>4.3720000000000002E-2</v>
      </c>
      <c r="P9" s="28" t="s">
        <v>58</v>
      </c>
      <c r="Q9" s="49"/>
      <c r="R9" s="86">
        <f>+revsens</f>
        <v>4.3720000000000002E-2</v>
      </c>
      <c r="S9" s="28" t="s">
        <v>58</v>
      </c>
      <c r="T9" s="49"/>
    </row>
    <row r="10" spans="1:23" s="8" customFormat="1" ht="15" customHeight="1" thickBot="1" x14ac:dyDescent="0.3">
      <c r="A10" s="85">
        <f t="shared" si="0"/>
        <v>4</v>
      </c>
      <c r="B10" s="2"/>
      <c r="C10" s="2"/>
      <c r="D10" s="52" t="s">
        <v>265</v>
      </c>
      <c r="E10" s="87" t="s">
        <v>44</v>
      </c>
      <c r="F10" s="88">
        <f>ROUND(+F8/(1-F9),0)</f>
        <v>-2089642</v>
      </c>
      <c r="G10" s="55" t="s">
        <v>170</v>
      </c>
      <c r="H10" s="56"/>
      <c r="I10" s="88">
        <f>ROUND(+I8/(1-I9),0)</f>
        <v>-2096837</v>
      </c>
      <c r="J10" s="55" t="s">
        <v>51</v>
      </c>
      <c r="K10" s="56"/>
      <c r="L10" s="88">
        <f>ROUND(+L8/(1-L9),0)</f>
        <v>-12714</v>
      </c>
      <c r="M10" s="55" t="s">
        <v>180</v>
      </c>
      <c r="N10" s="56"/>
      <c r="O10" s="88">
        <f>IF(O9="N/A",O8,ROUND(+O8/(1-O9),0))</f>
        <v>0</v>
      </c>
      <c r="P10" s="55" t="s">
        <v>179</v>
      </c>
      <c r="Q10" s="56"/>
      <c r="R10" s="88">
        <f>IF(R9="N/A",R8,ROUND(+R8/(1-R9),0))</f>
        <v>0</v>
      </c>
      <c r="S10" s="55" t="s">
        <v>180</v>
      </c>
      <c r="T10" s="56"/>
      <c r="V10" s="546"/>
      <c r="W10" s="546"/>
    </row>
    <row r="11" spans="1:23" s="8" customFormat="1" x14ac:dyDescent="0.25">
      <c r="A11" s="85">
        <f t="shared" si="0"/>
        <v>5</v>
      </c>
      <c r="B11" s="2"/>
      <c r="C11" s="2"/>
      <c r="D11" s="9"/>
      <c r="E11" s="57"/>
      <c r="F11" s="58" t="s">
        <v>41</v>
      </c>
      <c r="G11" s="10" t="s">
        <v>27</v>
      </c>
      <c r="H11" s="59" t="s">
        <v>42</v>
      </c>
      <c r="I11" s="58" t="s">
        <v>41</v>
      </c>
      <c r="J11" s="10" t="s">
        <v>27</v>
      </c>
      <c r="K11" s="59" t="s">
        <v>42</v>
      </c>
      <c r="L11" s="58" t="s">
        <v>41</v>
      </c>
      <c r="M11" s="10" t="s">
        <v>27</v>
      </c>
      <c r="N11" s="59" t="s">
        <v>42</v>
      </c>
      <c r="O11" s="58" t="s">
        <v>41</v>
      </c>
      <c r="P11" s="10" t="s">
        <v>27</v>
      </c>
      <c r="Q11" s="59" t="s">
        <v>42</v>
      </c>
      <c r="R11" s="58" t="s">
        <v>41</v>
      </c>
      <c r="S11" s="10" t="s">
        <v>27</v>
      </c>
      <c r="T11" s="59" t="s">
        <v>42</v>
      </c>
    </row>
    <row r="12" spans="1:23" s="8" customFormat="1" x14ac:dyDescent="0.25">
      <c r="A12" s="85">
        <f t="shared" si="0"/>
        <v>6</v>
      </c>
      <c r="B12" s="60" t="s">
        <v>2</v>
      </c>
      <c r="C12" s="60" t="s">
        <v>3</v>
      </c>
      <c r="D12" s="12" t="s">
        <v>77</v>
      </c>
      <c r="E12" s="61"/>
      <c r="F12" s="62" t="s">
        <v>78</v>
      </c>
      <c r="G12" s="12" t="s">
        <v>16</v>
      </c>
      <c r="H12" s="63" t="s">
        <v>79</v>
      </c>
      <c r="I12" s="62" t="s">
        <v>80</v>
      </c>
      <c r="J12" s="12" t="s">
        <v>81</v>
      </c>
      <c r="K12" s="63" t="s">
        <v>82</v>
      </c>
      <c r="L12" s="62" t="s">
        <v>83</v>
      </c>
      <c r="M12" s="12" t="s">
        <v>84</v>
      </c>
      <c r="N12" s="63" t="s">
        <v>85</v>
      </c>
      <c r="O12" s="62" t="s">
        <v>86</v>
      </c>
      <c r="P12" s="12" t="s">
        <v>87</v>
      </c>
      <c r="Q12" s="63" t="s">
        <v>88</v>
      </c>
      <c r="R12" s="62" t="s">
        <v>89</v>
      </c>
      <c r="S12" s="12" t="s">
        <v>90</v>
      </c>
      <c r="T12" s="63" t="s">
        <v>182</v>
      </c>
      <c r="U12" s="89"/>
    </row>
    <row r="13" spans="1:23" x14ac:dyDescent="0.25">
      <c r="A13" s="85">
        <f t="shared" si="0"/>
        <v>7</v>
      </c>
      <c r="B13" s="16" t="s">
        <v>4</v>
      </c>
      <c r="C13" s="13"/>
      <c r="D13" s="64">
        <f>+'Washington volumes'!J13</f>
        <v>204474.1</v>
      </c>
      <c r="E13" s="90"/>
      <c r="F13" s="66">
        <v>1</v>
      </c>
      <c r="G13" s="64">
        <f t="shared" ref="G13:G66" si="1">+$D13*F13</f>
        <v>204474.1</v>
      </c>
      <c r="H13" s="603">
        <f>+F13*$H$69</f>
        <v>-2.6290000000000001E-2</v>
      </c>
      <c r="I13" s="66">
        <v>1</v>
      </c>
      <c r="J13" s="64">
        <f t="shared" ref="J13:J66" si="2">+$D13*I13</f>
        <v>204474.1</v>
      </c>
      <c r="K13" s="603">
        <f>+I13*$K$69</f>
        <v>-2.6839999999999999E-2</v>
      </c>
      <c r="L13" s="66">
        <v>0</v>
      </c>
      <c r="M13" s="64">
        <f t="shared" ref="M13:M66" si="3">+$D13*L13</f>
        <v>0</v>
      </c>
      <c r="N13" s="603">
        <f>+L13*$N$69</f>
        <v>0</v>
      </c>
      <c r="O13" s="66">
        <v>0</v>
      </c>
      <c r="P13" s="64">
        <f t="shared" ref="P13:P66" si="4">+$D13*O13</f>
        <v>0</v>
      </c>
      <c r="Q13" s="67"/>
      <c r="R13" s="66">
        <v>0</v>
      </c>
      <c r="S13" s="64">
        <f t="shared" ref="S13:S66" si="5">+$D13*R13</f>
        <v>0</v>
      </c>
      <c r="T13" s="67"/>
    </row>
    <row r="14" spans="1:23" x14ac:dyDescent="0.25">
      <c r="A14" s="85">
        <f t="shared" si="0"/>
        <v>8</v>
      </c>
      <c r="B14" s="16" t="s">
        <v>5</v>
      </c>
      <c r="C14" s="13"/>
      <c r="D14" s="64">
        <f>+'Washington volumes'!J14</f>
        <v>38631.599999999999</v>
      </c>
      <c r="E14" s="90"/>
      <c r="F14" s="66">
        <v>1</v>
      </c>
      <c r="G14" s="64">
        <f t="shared" si="1"/>
        <v>38631.599999999999</v>
      </c>
      <c r="H14" s="603">
        <f>+F14*$H$69</f>
        <v>-2.6290000000000001E-2</v>
      </c>
      <c r="I14" s="66">
        <v>1</v>
      </c>
      <c r="J14" s="64">
        <f t="shared" si="2"/>
        <v>38631.599999999999</v>
      </c>
      <c r="K14" s="603">
        <f>+I14*$K$69</f>
        <v>-2.6839999999999999E-2</v>
      </c>
      <c r="L14" s="66">
        <v>0</v>
      </c>
      <c r="M14" s="64">
        <f t="shared" si="3"/>
        <v>0</v>
      </c>
      <c r="N14" s="603">
        <f>+L14*$N$69</f>
        <v>0</v>
      </c>
      <c r="O14" s="66">
        <v>0</v>
      </c>
      <c r="P14" s="64">
        <f t="shared" si="4"/>
        <v>0</v>
      </c>
      <c r="Q14" s="67"/>
      <c r="R14" s="66">
        <v>0</v>
      </c>
      <c r="S14" s="64">
        <f t="shared" si="5"/>
        <v>0</v>
      </c>
      <c r="T14" s="67"/>
    </row>
    <row r="15" spans="1:23" x14ac:dyDescent="0.25">
      <c r="A15" s="85">
        <f t="shared" si="0"/>
        <v>9</v>
      </c>
      <c r="B15" s="16" t="s">
        <v>14</v>
      </c>
      <c r="C15" s="13"/>
      <c r="D15" s="64">
        <f>+'Washington volumes'!J15</f>
        <v>51583577.799999997</v>
      </c>
      <c r="E15" s="90"/>
      <c r="F15" s="66">
        <v>1</v>
      </c>
      <c r="G15" s="64">
        <f t="shared" si="1"/>
        <v>51583577.799999997</v>
      </c>
      <c r="H15" s="603">
        <f>+F15*$H$69</f>
        <v>-2.6290000000000001E-2</v>
      </c>
      <c r="I15" s="66">
        <v>1</v>
      </c>
      <c r="J15" s="64">
        <f t="shared" si="2"/>
        <v>51583577.799999997</v>
      </c>
      <c r="K15" s="603">
        <f>+I15*$K$69</f>
        <v>-2.6839999999999999E-2</v>
      </c>
      <c r="L15" s="66">
        <v>0</v>
      </c>
      <c r="M15" s="64">
        <f t="shared" si="3"/>
        <v>0</v>
      </c>
      <c r="N15" s="603">
        <f>+L15*$N$69</f>
        <v>0</v>
      </c>
      <c r="O15" s="66">
        <v>0</v>
      </c>
      <c r="P15" s="64">
        <f t="shared" si="4"/>
        <v>0</v>
      </c>
      <c r="Q15" s="67"/>
      <c r="R15" s="66">
        <v>0</v>
      </c>
      <c r="S15" s="64">
        <f t="shared" si="5"/>
        <v>0</v>
      </c>
      <c r="T15" s="67"/>
    </row>
    <row r="16" spans="1:23" x14ac:dyDescent="0.25">
      <c r="A16" s="85">
        <f t="shared" si="0"/>
        <v>10</v>
      </c>
      <c r="B16" s="16" t="s">
        <v>12</v>
      </c>
      <c r="C16" s="13"/>
      <c r="D16" s="64">
        <f>+'Washington volumes'!J16</f>
        <v>17687989.300000001</v>
      </c>
      <c r="E16" s="90"/>
      <c r="F16" s="66">
        <v>1</v>
      </c>
      <c r="G16" s="64">
        <f t="shared" si="1"/>
        <v>17687989.300000001</v>
      </c>
      <c r="H16" s="603">
        <f>+F16*$H$69</f>
        <v>-2.6290000000000001E-2</v>
      </c>
      <c r="I16" s="66">
        <v>1</v>
      </c>
      <c r="J16" s="64">
        <f t="shared" si="2"/>
        <v>17687989.300000001</v>
      </c>
      <c r="K16" s="603">
        <f>+I16*$K$69</f>
        <v>-2.6839999999999999E-2</v>
      </c>
      <c r="L16" s="66">
        <v>0</v>
      </c>
      <c r="M16" s="64">
        <f t="shared" si="3"/>
        <v>0</v>
      </c>
      <c r="N16" s="603">
        <f>+L16*$N$69</f>
        <v>0</v>
      </c>
      <c r="O16" s="66">
        <v>0</v>
      </c>
      <c r="P16" s="64">
        <f t="shared" si="4"/>
        <v>0</v>
      </c>
      <c r="Q16" s="67"/>
      <c r="R16" s="66">
        <v>0</v>
      </c>
      <c r="S16" s="64">
        <f t="shared" si="5"/>
        <v>0</v>
      </c>
      <c r="T16" s="67"/>
    </row>
    <row r="17" spans="1:20" x14ac:dyDescent="0.25">
      <c r="A17" s="85">
        <f t="shared" si="0"/>
        <v>11</v>
      </c>
      <c r="B17" s="16" t="s">
        <v>13</v>
      </c>
      <c r="C17" s="13"/>
      <c r="D17" s="64">
        <f>+'Washington volumes'!J17</f>
        <v>479219</v>
      </c>
      <c r="E17" s="90"/>
      <c r="F17" s="66">
        <v>1</v>
      </c>
      <c r="G17" s="64">
        <f t="shared" si="1"/>
        <v>479219</v>
      </c>
      <c r="H17" s="603">
        <f>+F17*$H$69</f>
        <v>-2.6290000000000001E-2</v>
      </c>
      <c r="I17" s="66">
        <v>1</v>
      </c>
      <c r="J17" s="64">
        <f t="shared" si="2"/>
        <v>479219</v>
      </c>
      <c r="K17" s="603">
        <f>+I17*$K$69</f>
        <v>-2.6839999999999999E-2</v>
      </c>
      <c r="L17" s="66">
        <v>0</v>
      </c>
      <c r="M17" s="64">
        <f t="shared" si="3"/>
        <v>0</v>
      </c>
      <c r="N17" s="603">
        <f>+L17*$N$69</f>
        <v>0</v>
      </c>
      <c r="O17" s="66">
        <v>0</v>
      </c>
      <c r="P17" s="64">
        <f t="shared" si="4"/>
        <v>0</v>
      </c>
      <c r="Q17" s="67"/>
      <c r="R17" s="66">
        <v>0</v>
      </c>
      <c r="S17" s="64">
        <f t="shared" si="5"/>
        <v>0</v>
      </c>
      <c r="T17" s="67"/>
    </row>
    <row r="18" spans="1:20" x14ac:dyDescent="0.25">
      <c r="A18" s="85">
        <f t="shared" si="0"/>
        <v>12</v>
      </c>
      <c r="B18" s="74">
        <v>27</v>
      </c>
      <c r="C18" s="21"/>
      <c r="D18" s="64">
        <f>+'Washington volumes'!J18</f>
        <v>506106.9</v>
      </c>
      <c r="E18" s="90"/>
      <c r="F18" s="66">
        <v>1</v>
      </c>
      <c r="G18" s="64">
        <f t="shared" si="1"/>
        <v>506106.9</v>
      </c>
      <c r="H18" s="603">
        <f t="shared" ref="H18:H66" si="6">+F18*$H$69</f>
        <v>-2.6290000000000001E-2</v>
      </c>
      <c r="I18" s="66">
        <v>1</v>
      </c>
      <c r="J18" s="64">
        <f t="shared" si="2"/>
        <v>506106.9</v>
      </c>
      <c r="K18" s="603">
        <f t="shared" ref="K18:K66" si="7">+I18*$K$69</f>
        <v>-2.6839999999999999E-2</v>
      </c>
      <c r="L18" s="66">
        <v>0</v>
      </c>
      <c r="M18" s="64">
        <f t="shared" si="3"/>
        <v>0</v>
      </c>
      <c r="N18" s="603">
        <f t="shared" ref="N18:N66" si="8">+L18*$N$69</f>
        <v>0</v>
      </c>
      <c r="O18" s="66">
        <v>0</v>
      </c>
      <c r="P18" s="64">
        <f t="shared" si="4"/>
        <v>0</v>
      </c>
      <c r="Q18" s="67"/>
      <c r="R18" s="66">
        <v>0</v>
      </c>
      <c r="S18" s="64">
        <f t="shared" si="5"/>
        <v>0</v>
      </c>
      <c r="T18" s="67"/>
    </row>
    <row r="19" spans="1:20" x14ac:dyDescent="0.25">
      <c r="A19" s="85">
        <f t="shared" si="0"/>
        <v>13</v>
      </c>
      <c r="B19" s="69" t="s">
        <v>365</v>
      </c>
      <c r="C19" s="18" t="s">
        <v>6</v>
      </c>
      <c r="D19" s="70">
        <f>+'Washington volumes'!J19</f>
        <v>1945640.9</v>
      </c>
      <c r="E19" s="91"/>
      <c r="F19" s="71">
        <v>1</v>
      </c>
      <c r="G19" s="70">
        <f t="shared" si="1"/>
        <v>1945640.9</v>
      </c>
      <c r="H19" s="604">
        <f t="shared" si="6"/>
        <v>-2.6290000000000001E-2</v>
      </c>
      <c r="I19" s="71">
        <v>1</v>
      </c>
      <c r="J19" s="70">
        <f t="shared" si="2"/>
        <v>1945640.9</v>
      </c>
      <c r="K19" s="604">
        <f t="shared" si="7"/>
        <v>-2.6839999999999999E-2</v>
      </c>
      <c r="L19" s="71">
        <v>0</v>
      </c>
      <c r="M19" s="70">
        <f t="shared" si="3"/>
        <v>0</v>
      </c>
      <c r="N19" s="604">
        <f t="shared" si="8"/>
        <v>0</v>
      </c>
      <c r="O19" s="71">
        <v>0</v>
      </c>
      <c r="P19" s="70">
        <f t="shared" si="4"/>
        <v>0</v>
      </c>
      <c r="Q19" s="73"/>
      <c r="R19" s="71">
        <v>0</v>
      </c>
      <c r="S19" s="70">
        <f t="shared" si="5"/>
        <v>0</v>
      </c>
      <c r="T19" s="73"/>
    </row>
    <row r="20" spans="1:20" x14ac:dyDescent="0.25">
      <c r="A20" s="85">
        <f t="shared" si="0"/>
        <v>14</v>
      </c>
      <c r="B20" s="74"/>
      <c r="C20" s="22" t="s">
        <v>7</v>
      </c>
      <c r="D20" s="64">
        <f>+'Washington volumes'!J20</f>
        <v>1921286.1</v>
      </c>
      <c r="E20" s="90"/>
      <c r="F20" s="66">
        <v>1</v>
      </c>
      <c r="G20" s="64">
        <f t="shared" si="1"/>
        <v>1921286.1</v>
      </c>
      <c r="H20" s="603">
        <f t="shared" si="6"/>
        <v>-2.6290000000000001E-2</v>
      </c>
      <c r="I20" s="66">
        <v>1</v>
      </c>
      <c r="J20" s="64">
        <f t="shared" si="2"/>
        <v>1921286.1</v>
      </c>
      <c r="K20" s="603">
        <f t="shared" si="7"/>
        <v>-2.6839999999999999E-2</v>
      </c>
      <c r="L20" s="66">
        <v>0</v>
      </c>
      <c r="M20" s="64">
        <f t="shared" si="3"/>
        <v>0</v>
      </c>
      <c r="N20" s="603">
        <f t="shared" si="8"/>
        <v>0</v>
      </c>
      <c r="O20" s="66">
        <v>0</v>
      </c>
      <c r="P20" s="64">
        <f t="shared" si="4"/>
        <v>0</v>
      </c>
      <c r="Q20" s="67"/>
      <c r="R20" s="66">
        <v>0</v>
      </c>
      <c r="S20" s="64">
        <f t="shared" si="5"/>
        <v>0</v>
      </c>
      <c r="T20" s="67"/>
    </row>
    <row r="21" spans="1:20" x14ac:dyDescent="0.25">
      <c r="A21" s="85">
        <f t="shared" si="0"/>
        <v>15</v>
      </c>
      <c r="B21" s="69" t="s">
        <v>366</v>
      </c>
      <c r="C21" s="18" t="s">
        <v>6</v>
      </c>
      <c r="D21" s="70">
        <f>+'Washington volumes'!J21</f>
        <v>0</v>
      </c>
      <c r="E21" s="91"/>
      <c r="F21" s="71">
        <v>1</v>
      </c>
      <c r="G21" s="70">
        <f>+$D21*F21</f>
        <v>0</v>
      </c>
      <c r="H21" s="604">
        <f>+F21*$H$69</f>
        <v>-2.6290000000000001E-2</v>
      </c>
      <c r="I21" s="71">
        <v>0</v>
      </c>
      <c r="J21" s="70">
        <f>+$D21*I21</f>
        <v>0</v>
      </c>
      <c r="K21" s="604">
        <f>+I21*$K$69</f>
        <v>0</v>
      </c>
      <c r="L21" s="71">
        <v>1</v>
      </c>
      <c r="M21" s="70">
        <f>+$D21*L21</f>
        <v>0</v>
      </c>
      <c r="N21" s="604">
        <f>+L21*$N$69</f>
        <v>-9.3699999999999999E-3</v>
      </c>
      <c r="O21" s="71">
        <v>0</v>
      </c>
      <c r="P21" s="70">
        <f>+$D21*O21</f>
        <v>0</v>
      </c>
      <c r="Q21" s="73"/>
      <c r="R21" s="71">
        <v>0</v>
      </c>
      <c r="S21" s="70">
        <f>+$D21*R21</f>
        <v>0</v>
      </c>
      <c r="T21" s="73"/>
    </row>
    <row r="22" spans="1:20" x14ac:dyDescent="0.25">
      <c r="A22" s="85">
        <f t="shared" si="0"/>
        <v>16</v>
      </c>
      <c r="B22" s="74"/>
      <c r="C22" s="22" t="s">
        <v>7</v>
      </c>
      <c r="D22" s="64">
        <f>+'Washington volumes'!J22</f>
        <v>0</v>
      </c>
      <c r="E22" s="90"/>
      <c r="F22" s="66">
        <v>1</v>
      </c>
      <c r="G22" s="64">
        <f>+$D22*F22</f>
        <v>0</v>
      </c>
      <c r="H22" s="603">
        <f>+F22*$H$69</f>
        <v>-2.6290000000000001E-2</v>
      </c>
      <c r="I22" s="66">
        <v>0</v>
      </c>
      <c r="J22" s="64">
        <f>+$D22*I22</f>
        <v>0</v>
      </c>
      <c r="K22" s="603">
        <f>+I22*$K$69</f>
        <v>0</v>
      </c>
      <c r="L22" s="66">
        <v>1</v>
      </c>
      <c r="M22" s="64">
        <f>+$D22*L22</f>
        <v>0</v>
      </c>
      <c r="N22" s="603">
        <f>+L22*$N$69</f>
        <v>-9.3699999999999999E-3</v>
      </c>
      <c r="O22" s="66">
        <v>0</v>
      </c>
      <c r="P22" s="64">
        <f>+$D22*O22</f>
        <v>0</v>
      </c>
      <c r="Q22" s="67"/>
      <c r="R22" s="66">
        <v>0</v>
      </c>
      <c r="S22" s="64">
        <f>+$D22*R22</f>
        <v>0</v>
      </c>
      <c r="T22" s="67"/>
    </row>
    <row r="23" spans="1:20" x14ac:dyDescent="0.25">
      <c r="A23" s="85">
        <f t="shared" si="0"/>
        <v>17</v>
      </c>
      <c r="B23" s="69" t="s">
        <v>161</v>
      </c>
      <c r="C23" s="18" t="s">
        <v>6</v>
      </c>
      <c r="D23" s="70">
        <f>+'Washington volumes'!J23</f>
        <v>374507</v>
      </c>
      <c r="E23" s="91"/>
      <c r="F23" s="71">
        <v>0</v>
      </c>
      <c r="G23" s="70">
        <f t="shared" si="1"/>
        <v>0</v>
      </c>
      <c r="H23" s="604">
        <f t="shared" si="6"/>
        <v>0</v>
      </c>
      <c r="I23" s="71">
        <v>0</v>
      </c>
      <c r="J23" s="70">
        <f t="shared" si="2"/>
        <v>0</v>
      </c>
      <c r="K23" s="604">
        <f t="shared" si="7"/>
        <v>0</v>
      </c>
      <c r="L23" s="71">
        <v>0</v>
      </c>
      <c r="M23" s="70">
        <f t="shared" si="3"/>
        <v>0</v>
      </c>
      <c r="N23" s="604">
        <f t="shared" si="8"/>
        <v>0</v>
      </c>
      <c r="O23" s="71">
        <v>0</v>
      </c>
      <c r="P23" s="70">
        <f t="shared" si="4"/>
        <v>0</v>
      </c>
      <c r="Q23" s="73"/>
      <c r="R23" s="71">
        <v>0</v>
      </c>
      <c r="S23" s="70">
        <f t="shared" si="5"/>
        <v>0</v>
      </c>
      <c r="T23" s="73"/>
    </row>
    <row r="24" spans="1:20" x14ac:dyDescent="0.25">
      <c r="A24" s="85">
        <f t="shared" si="0"/>
        <v>18</v>
      </c>
      <c r="B24" s="74"/>
      <c r="C24" s="22" t="s">
        <v>7</v>
      </c>
      <c r="D24" s="64">
        <f>+'Washington volumes'!J24</f>
        <v>585464</v>
      </c>
      <c r="E24" s="90"/>
      <c r="F24" s="66">
        <v>0</v>
      </c>
      <c r="G24" s="64">
        <f t="shared" si="1"/>
        <v>0</v>
      </c>
      <c r="H24" s="603">
        <f t="shared" si="6"/>
        <v>0</v>
      </c>
      <c r="I24" s="66">
        <v>0</v>
      </c>
      <c r="J24" s="64">
        <f t="shared" si="2"/>
        <v>0</v>
      </c>
      <c r="K24" s="603">
        <f t="shared" si="7"/>
        <v>0</v>
      </c>
      <c r="L24" s="66">
        <v>0</v>
      </c>
      <c r="M24" s="64">
        <f t="shared" si="3"/>
        <v>0</v>
      </c>
      <c r="N24" s="603">
        <f t="shared" si="8"/>
        <v>0</v>
      </c>
      <c r="O24" s="66">
        <v>0</v>
      </c>
      <c r="P24" s="64">
        <f t="shared" si="4"/>
        <v>0</v>
      </c>
      <c r="Q24" s="67"/>
      <c r="R24" s="66">
        <v>0</v>
      </c>
      <c r="S24" s="64">
        <f t="shared" si="5"/>
        <v>0</v>
      </c>
      <c r="T24" s="67"/>
    </row>
    <row r="25" spans="1:20" x14ac:dyDescent="0.25">
      <c r="A25" s="85">
        <f t="shared" si="0"/>
        <v>19</v>
      </c>
      <c r="B25" s="69" t="s">
        <v>367</v>
      </c>
      <c r="C25" s="18" t="s">
        <v>6</v>
      </c>
      <c r="D25" s="70">
        <f>+'Washington volumes'!J25</f>
        <v>319582</v>
      </c>
      <c r="E25" s="91"/>
      <c r="F25" s="71">
        <v>1</v>
      </c>
      <c r="G25" s="70">
        <f>+$D25*F25</f>
        <v>319582</v>
      </c>
      <c r="H25" s="604">
        <f>+F25*$H$69</f>
        <v>-2.6290000000000001E-2</v>
      </c>
      <c r="I25" s="71">
        <v>1</v>
      </c>
      <c r="J25" s="70">
        <f>+$D25*I25</f>
        <v>319582</v>
      </c>
      <c r="K25" s="604">
        <f>+I25*$K$69</f>
        <v>-2.6839999999999999E-2</v>
      </c>
      <c r="L25" s="71">
        <v>0</v>
      </c>
      <c r="M25" s="70">
        <f>+$D25*L25</f>
        <v>0</v>
      </c>
      <c r="N25" s="604">
        <f>+L25*$N$69</f>
        <v>0</v>
      </c>
      <c r="O25" s="71">
        <v>0</v>
      </c>
      <c r="P25" s="70">
        <f>+$D25*O25</f>
        <v>0</v>
      </c>
      <c r="Q25" s="73"/>
      <c r="R25" s="71">
        <v>0</v>
      </c>
      <c r="S25" s="70">
        <f>+$D25*R25</f>
        <v>0</v>
      </c>
      <c r="T25" s="73"/>
    </row>
    <row r="26" spans="1:20" x14ac:dyDescent="0.25">
      <c r="A26" s="85">
        <f t="shared" si="0"/>
        <v>20</v>
      </c>
      <c r="B26" s="74"/>
      <c r="C26" s="22" t="s">
        <v>7</v>
      </c>
      <c r="D26" s="64">
        <f>+'Washington volumes'!J26</f>
        <v>365920</v>
      </c>
      <c r="E26" s="90"/>
      <c r="F26" s="66">
        <v>1</v>
      </c>
      <c r="G26" s="64">
        <f>+$D26*F26</f>
        <v>365920</v>
      </c>
      <c r="H26" s="603">
        <f>+F26*$H$69</f>
        <v>-2.6290000000000001E-2</v>
      </c>
      <c r="I26" s="66">
        <v>1</v>
      </c>
      <c r="J26" s="64">
        <f>+$D26*I26</f>
        <v>365920</v>
      </c>
      <c r="K26" s="603">
        <f>+I26*$K$69</f>
        <v>-2.6839999999999999E-2</v>
      </c>
      <c r="L26" s="66">
        <v>0</v>
      </c>
      <c r="M26" s="64">
        <f>+$D26*L26</f>
        <v>0</v>
      </c>
      <c r="N26" s="603">
        <f>+L26*$N$69</f>
        <v>0</v>
      </c>
      <c r="O26" s="66">
        <v>0</v>
      </c>
      <c r="P26" s="64">
        <f>+$D26*O26</f>
        <v>0</v>
      </c>
      <c r="Q26" s="67"/>
      <c r="R26" s="66">
        <v>0</v>
      </c>
      <c r="S26" s="64">
        <f>+$D26*R26</f>
        <v>0</v>
      </c>
      <c r="T26" s="67"/>
    </row>
    <row r="27" spans="1:20" x14ac:dyDescent="0.25">
      <c r="A27" s="85">
        <f t="shared" si="0"/>
        <v>21</v>
      </c>
      <c r="B27" s="69" t="s">
        <v>368</v>
      </c>
      <c r="C27" s="18" t="s">
        <v>6</v>
      </c>
      <c r="D27" s="70">
        <f>+'Washington volumes'!J27</f>
        <v>0</v>
      </c>
      <c r="E27" s="91"/>
      <c r="F27" s="71">
        <v>1</v>
      </c>
      <c r="G27" s="70">
        <f t="shared" si="1"/>
        <v>0</v>
      </c>
      <c r="H27" s="604">
        <f t="shared" si="6"/>
        <v>-2.6290000000000001E-2</v>
      </c>
      <c r="I27" s="71">
        <v>0</v>
      </c>
      <c r="J27" s="70">
        <f t="shared" si="2"/>
        <v>0</v>
      </c>
      <c r="K27" s="604">
        <f t="shared" si="7"/>
        <v>0</v>
      </c>
      <c r="L27" s="71">
        <v>1</v>
      </c>
      <c r="M27" s="70">
        <f t="shared" si="3"/>
        <v>0</v>
      </c>
      <c r="N27" s="604">
        <f t="shared" si="8"/>
        <v>-9.3699999999999999E-3</v>
      </c>
      <c r="O27" s="71">
        <v>0</v>
      </c>
      <c r="P27" s="70">
        <f t="shared" si="4"/>
        <v>0</v>
      </c>
      <c r="Q27" s="73"/>
      <c r="R27" s="71">
        <v>0</v>
      </c>
      <c r="S27" s="70">
        <f t="shared" si="5"/>
        <v>0</v>
      </c>
      <c r="T27" s="73"/>
    </row>
    <row r="28" spans="1:20" x14ac:dyDescent="0.25">
      <c r="A28" s="85">
        <f t="shared" si="0"/>
        <v>22</v>
      </c>
      <c r="B28" s="74"/>
      <c r="C28" s="22" t="s">
        <v>7</v>
      </c>
      <c r="D28" s="64">
        <f>+'Washington volumes'!J28</f>
        <v>0</v>
      </c>
      <c r="E28" s="90"/>
      <c r="F28" s="66">
        <v>1</v>
      </c>
      <c r="G28" s="64">
        <f t="shared" si="1"/>
        <v>0</v>
      </c>
      <c r="H28" s="603">
        <f t="shared" si="6"/>
        <v>-2.6290000000000001E-2</v>
      </c>
      <c r="I28" s="66">
        <v>0</v>
      </c>
      <c r="J28" s="64">
        <f t="shared" si="2"/>
        <v>0</v>
      </c>
      <c r="K28" s="603">
        <f t="shared" si="7"/>
        <v>0</v>
      </c>
      <c r="L28" s="66">
        <v>1</v>
      </c>
      <c r="M28" s="64">
        <f t="shared" si="3"/>
        <v>0</v>
      </c>
      <c r="N28" s="603">
        <f t="shared" si="8"/>
        <v>-9.3699999999999999E-3</v>
      </c>
      <c r="O28" s="66">
        <v>0</v>
      </c>
      <c r="P28" s="64">
        <f t="shared" si="4"/>
        <v>0</v>
      </c>
      <c r="Q28" s="67"/>
      <c r="R28" s="66">
        <v>0</v>
      </c>
      <c r="S28" s="64">
        <f t="shared" si="5"/>
        <v>0</v>
      </c>
      <c r="T28" s="67"/>
    </row>
    <row r="29" spans="1:20" x14ac:dyDescent="0.25">
      <c r="A29" s="85">
        <f t="shared" si="0"/>
        <v>23</v>
      </c>
      <c r="B29" s="69" t="s">
        <v>163</v>
      </c>
      <c r="C29" s="18" t="s">
        <v>6</v>
      </c>
      <c r="D29" s="70">
        <f>+'Washington volumes'!J29</f>
        <v>572161.5</v>
      </c>
      <c r="E29" s="91"/>
      <c r="F29" s="71">
        <v>1</v>
      </c>
      <c r="G29" s="70">
        <f t="shared" si="1"/>
        <v>572161.5</v>
      </c>
      <c r="H29" s="604">
        <f t="shared" si="6"/>
        <v>-2.6290000000000001E-2</v>
      </c>
      <c r="I29" s="71">
        <v>1</v>
      </c>
      <c r="J29" s="70">
        <f t="shared" si="2"/>
        <v>572161.5</v>
      </c>
      <c r="K29" s="604">
        <f t="shared" si="7"/>
        <v>-2.6839999999999999E-2</v>
      </c>
      <c r="L29" s="71">
        <v>0</v>
      </c>
      <c r="M29" s="70">
        <f t="shared" si="3"/>
        <v>0</v>
      </c>
      <c r="N29" s="604">
        <f t="shared" si="8"/>
        <v>0</v>
      </c>
      <c r="O29" s="71">
        <v>0</v>
      </c>
      <c r="P29" s="70">
        <f t="shared" si="4"/>
        <v>0</v>
      </c>
      <c r="Q29" s="73"/>
      <c r="R29" s="71">
        <v>0</v>
      </c>
      <c r="S29" s="70">
        <f t="shared" si="5"/>
        <v>0</v>
      </c>
      <c r="T29" s="73"/>
    </row>
    <row r="30" spans="1:20" x14ac:dyDescent="0.25">
      <c r="A30" s="85">
        <f t="shared" si="0"/>
        <v>24</v>
      </c>
      <c r="B30" s="69"/>
      <c r="C30" s="18" t="s">
        <v>7</v>
      </c>
      <c r="D30" s="70">
        <f>+'Washington volumes'!J30</f>
        <v>452309.5</v>
      </c>
      <c r="E30" s="91"/>
      <c r="F30" s="71">
        <v>1</v>
      </c>
      <c r="G30" s="70">
        <f t="shared" si="1"/>
        <v>452309.5</v>
      </c>
      <c r="H30" s="604">
        <f t="shared" si="6"/>
        <v>-2.6290000000000001E-2</v>
      </c>
      <c r="I30" s="71">
        <v>1</v>
      </c>
      <c r="J30" s="70">
        <f t="shared" si="2"/>
        <v>452309.5</v>
      </c>
      <c r="K30" s="604">
        <f t="shared" si="7"/>
        <v>-2.6839999999999999E-2</v>
      </c>
      <c r="L30" s="71">
        <v>0</v>
      </c>
      <c r="M30" s="70">
        <f t="shared" si="3"/>
        <v>0</v>
      </c>
      <c r="N30" s="604">
        <f t="shared" si="8"/>
        <v>0</v>
      </c>
      <c r="O30" s="71">
        <v>0</v>
      </c>
      <c r="P30" s="70">
        <f t="shared" si="4"/>
        <v>0</v>
      </c>
      <c r="Q30" s="73"/>
      <c r="R30" s="71">
        <v>0</v>
      </c>
      <c r="S30" s="70">
        <f t="shared" si="5"/>
        <v>0</v>
      </c>
      <c r="T30" s="73"/>
    </row>
    <row r="31" spans="1:20" x14ac:dyDescent="0.25">
      <c r="A31" s="85">
        <f t="shared" si="0"/>
        <v>25</v>
      </c>
      <c r="B31" s="69"/>
      <c r="C31" s="18" t="s">
        <v>8</v>
      </c>
      <c r="D31" s="70">
        <f>+'Washington volumes'!J31</f>
        <v>113397.9</v>
      </c>
      <c r="E31" s="91"/>
      <c r="F31" s="71">
        <v>1</v>
      </c>
      <c r="G31" s="70">
        <f t="shared" si="1"/>
        <v>113397.9</v>
      </c>
      <c r="H31" s="604">
        <f t="shared" si="6"/>
        <v>-2.6290000000000001E-2</v>
      </c>
      <c r="I31" s="71">
        <v>1</v>
      </c>
      <c r="J31" s="70">
        <f t="shared" si="2"/>
        <v>113397.9</v>
      </c>
      <c r="K31" s="604">
        <f t="shared" si="7"/>
        <v>-2.6839999999999999E-2</v>
      </c>
      <c r="L31" s="71">
        <v>0</v>
      </c>
      <c r="M31" s="70">
        <f t="shared" si="3"/>
        <v>0</v>
      </c>
      <c r="N31" s="604">
        <f t="shared" si="8"/>
        <v>0</v>
      </c>
      <c r="O31" s="71">
        <v>0</v>
      </c>
      <c r="P31" s="70">
        <f t="shared" si="4"/>
        <v>0</v>
      </c>
      <c r="Q31" s="73"/>
      <c r="R31" s="71">
        <v>0</v>
      </c>
      <c r="S31" s="70">
        <f t="shared" si="5"/>
        <v>0</v>
      </c>
      <c r="T31" s="73"/>
    </row>
    <row r="32" spans="1:20" x14ac:dyDescent="0.25">
      <c r="A32" s="85">
        <f t="shared" si="0"/>
        <v>26</v>
      </c>
      <c r="B32" s="69"/>
      <c r="C32" s="18" t="s">
        <v>9</v>
      </c>
      <c r="D32" s="70">
        <f>+'Washington volumes'!J32</f>
        <v>1825.6</v>
      </c>
      <c r="E32" s="91"/>
      <c r="F32" s="71">
        <v>1</v>
      </c>
      <c r="G32" s="70">
        <f t="shared" si="1"/>
        <v>1825.6</v>
      </c>
      <c r="H32" s="604">
        <f t="shared" si="6"/>
        <v>-2.6290000000000001E-2</v>
      </c>
      <c r="I32" s="71">
        <v>1</v>
      </c>
      <c r="J32" s="70">
        <f t="shared" si="2"/>
        <v>1825.6</v>
      </c>
      <c r="K32" s="604">
        <f t="shared" si="7"/>
        <v>-2.6839999999999999E-2</v>
      </c>
      <c r="L32" s="71">
        <v>0</v>
      </c>
      <c r="M32" s="70">
        <f t="shared" si="3"/>
        <v>0</v>
      </c>
      <c r="N32" s="604">
        <f t="shared" si="8"/>
        <v>0</v>
      </c>
      <c r="O32" s="71">
        <v>0</v>
      </c>
      <c r="P32" s="70">
        <f t="shared" si="4"/>
        <v>0</v>
      </c>
      <c r="Q32" s="73"/>
      <c r="R32" s="71">
        <v>0</v>
      </c>
      <c r="S32" s="70">
        <f t="shared" si="5"/>
        <v>0</v>
      </c>
      <c r="T32" s="73"/>
    </row>
    <row r="33" spans="1:20" x14ac:dyDescent="0.25">
      <c r="A33" s="85">
        <f t="shared" si="0"/>
        <v>27</v>
      </c>
      <c r="B33" s="69"/>
      <c r="C33" s="18" t="s">
        <v>10</v>
      </c>
      <c r="D33" s="70">
        <f>+'Washington volumes'!J33</f>
        <v>0</v>
      </c>
      <c r="E33" s="91"/>
      <c r="F33" s="71">
        <v>1</v>
      </c>
      <c r="G33" s="70">
        <f t="shared" si="1"/>
        <v>0</v>
      </c>
      <c r="H33" s="604">
        <f t="shared" si="6"/>
        <v>-2.6290000000000001E-2</v>
      </c>
      <c r="I33" s="71">
        <v>1</v>
      </c>
      <c r="J33" s="70">
        <f t="shared" si="2"/>
        <v>0</v>
      </c>
      <c r="K33" s="604">
        <f t="shared" si="7"/>
        <v>-2.6839999999999999E-2</v>
      </c>
      <c r="L33" s="71">
        <v>0</v>
      </c>
      <c r="M33" s="70">
        <f t="shared" si="3"/>
        <v>0</v>
      </c>
      <c r="N33" s="604">
        <f t="shared" si="8"/>
        <v>0</v>
      </c>
      <c r="O33" s="71">
        <v>0</v>
      </c>
      <c r="P33" s="70">
        <f t="shared" si="4"/>
        <v>0</v>
      </c>
      <c r="Q33" s="73"/>
      <c r="R33" s="71">
        <v>0</v>
      </c>
      <c r="S33" s="70">
        <f t="shared" si="5"/>
        <v>0</v>
      </c>
      <c r="T33" s="73"/>
    </row>
    <row r="34" spans="1:20" x14ac:dyDescent="0.25">
      <c r="A34" s="85">
        <f t="shared" si="0"/>
        <v>28</v>
      </c>
      <c r="B34" s="74"/>
      <c r="C34" s="22" t="s">
        <v>11</v>
      </c>
      <c r="D34" s="64">
        <f>+'Washington volumes'!J34</f>
        <v>0</v>
      </c>
      <c r="E34" s="90"/>
      <c r="F34" s="66">
        <v>1</v>
      </c>
      <c r="G34" s="64">
        <f t="shared" si="1"/>
        <v>0</v>
      </c>
      <c r="H34" s="603">
        <f t="shared" si="6"/>
        <v>-2.6290000000000001E-2</v>
      </c>
      <c r="I34" s="66">
        <v>1</v>
      </c>
      <c r="J34" s="64">
        <f t="shared" si="2"/>
        <v>0</v>
      </c>
      <c r="K34" s="603">
        <f t="shared" si="7"/>
        <v>-2.6839999999999999E-2</v>
      </c>
      <c r="L34" s="66">
        <v>0</v>
      </c>
      <c r="M34" s="64">
        <f t="shared" si="3"/>
        <v>0</v>
      </c>
      <c r="N34" s="603">
        <f t="shared" si="8"/>
        <v>0</v>
      </c>
      <c r="O34" s="66">
        <v>0</v>
      </c>
      <c r="P34" s="64">
        <f t="shared" si="4"/>
        <v>0</v>
      </c>
      <c r="Q34" s="67"/>
      <c r="R34" s="66">
        <v>0</v>
      </c>
      <c r="S34" s="64">
        <f t="shared" si="5"/>
        <v>0</v>
      </c>
      <c r="T34" s="67"/>
    </row>
    <row r="35" spans="1:20" x14ac:dyDescent="0.25">
      <c r="A35" s="85">
        <f t="shared" si="0"/>
        <v>29</v>
      </c>
      <c r="B35" s="69" t="s">
        <v>164</v>
      </c>
      <c r="C35" s="18" t="s">
        <v>6</v>
      </c>
      <c r="D35" s="70">
        <f>+'Washington volumes'!J35</f>
        <v>1138365</v>
      </c>
      <c r="E35" s="91"/>
      <c r="F35" s="71">
        <v>1</v>
      </c>
      <c r="G35" s="70">
        <f t="shared" si="1"/>
        <v>1138365</v>
      </c>
      <c r="H35" s="604">
        <f t="shared" si="6"/>
        <v>-2.6290000000000001E-2</v>
      </c>
      <c r="I35" s="71">
        <v>1</v>
      </c>
      <c r="J35" s="70">
        <f t="shared" si="2"/>
        <v>1138365</v>
      </c>
      <c r="K35" s="604">
        <f t="shared" si="7"/>
        <v>-2.6839999999999999E-2</v>
      </c>
      <c r="L35" s="71">
        <v>0</v>
      </c>
      <c r="M35" s="70">
        <f t="shared" si="3"/>
        <v>0</v>
      </c>
      <c r="N35" s="604">
        <f t="shared" si="8"/>
        <v>0</v>
      </c>
      <c r="O35" s="71">
        <v>0</v>
      </c>
      <c r="P35" s="70">
        <f t="shared" si="4"/>
        <v>0</v>
      </c>
      <c r="Q35" s="73"/>
      <c r="R35" s="71">
        <v>0</v>
      </c>
      <c r="S35" s="70">
        <f t="shared" si="5"/>
        <v>0</v>
      </c>
      <c r="T35" s="73"/>
    </row>
    <row r="36" spans="1:20" x14ac:dyDescent="0.25">
      <c r="A36" s="85">
        <f t="shared" si="0"/>
        <v>30</v>
      </c>
      <c r="B36" s="69"/>
      <c r="C36" s="18" t="s">
        <v>7</v>
      </c>
      <c r="D36" s="70">
        <f>+'Washington volumes'!J36</f>
        <v>725589</v>
      </c>
      <c r="E36" s="91"/>
      <c r="F36" s="71">
        <v>1</v>
      </c>
      <c r="G36" s="70">
        <f t="shared" si="1"/>
        <v>725589</v>
      </c>
      <c r="H36" s="604">
        <f t="shared" si="6"/>
        <v>-2.6290000000000001E-2</v>
      </c>
      <c r="I36" s="71">
        <v>1</v>
      </c>
      <c r="J36" s="70">
        <f t="shared" si="2"/>
        <v>725589</v>
      </c>
      <c r="K36" s="604">
        <f t="shared" si="7"/>
        <v>-2.6839999999999999E-2</v>
      </c>
      <c r="L36" s="71">
        <v>0</v>
      </c>
      <c r="M36" s="70">
        <f t="shared" si="3"/>
        <v>0</v>
      </c>
      <c r="N36" s="604">
        <f t="shared" si="8"/>
        <v>0</v>
      </c>
      <c r="O36" s="71">
        <v>0</v>
      </c>
      <c r="P36" s="70">
        <f t="shared" si="4"/>
        <v>0</v>
      </c>
      <c r="Q36" s="73"/>
      <c r="R36" s="71">
        <v>0</v>
      </c>
      <c r="S36" s="70">
        <f t="shared" si="5"/>
        <v>0</v>
      </c>
      <c r="T36" s="73"/>
    </row>
    <row r="37" spans="1:20" x14ac:dyDescent="0.25">
      <c r="A37" s="85">
        <f t="shared" si="0"/>
        <v>31</v>
      </c>
      <c r="B37" s="69"/>
      <c r="C37" s="18" t="s">
        <v>8</v>
      </c>
      <c r="D37" s="70">
        <f>+'Washington volumes'!J37</f>
        <v>81079</v>
      </c>
      <c r="E37" s="91"/>
      <c r="F37" s="71">
        <v>1</v>
      </c>
      <c r="G37" s="70">
        <f t="shared" si="1"/>
        <v>81079</v>
      </c>
      <c r="H37" s="604">
        <f t="shared" si="6"/>
        <v>-2.6290000000000001E-2</v>
      </c>
      <c r="I37" s="71">
        <v>1</v>
      </c>
      <c r="J37" s="70">
        <f t="shared" si="2"/>
        <v>81079</v>
      </c>
      <c r="K37" s="604">
        <f t="shared" si="7"/>
        <v>-2.6839999999999999E-2</v>
      </c>
      <c r="L37" s="71">
        <v>0</v>
      </c>
      <c r="M37" s="70">
        <f t="shared" si="3"/>
        <v>0</v>
      </c>
      <c r="N37" s="604">
        <f t="shared" si="8"/>
        <v>0</v>
      </c>
      <c r="O37" s="71">
        <v>0</v>
      </c>
      <c r="P37" s="70">
        <f t="shared" si="4"/>
        <v>0</v>
      </c>
      <c r="Q37" s="73"/>
      <c r="R37" s="71">
        <v>0</v>
      </c>
      <c r="S37" s="70">
        <f t="shared" si="5"/>
        <v>0</v>
      </c>
      <c r="T37" s="73"/>
    </row>
    <row r="38" spans="1:20" x14ac:dyDescent="0.25">
      <c r="A38" s="85">
        <f t="shared" si="0"/>
        <v>32</v>
      </c>
      <c r="B38" s="69"/>
      <c r="C38" s="18" t="s">
        <v>9</v>
      </c>
      <c r="D38" s="70">
        <f>+'Washington volumes'!J38</f>
        <v>0</v>
      </c>
      <c r="E38" s="91"/>
      <c r="F38" s="71">
        <v>1</v>
      </c>
      <c r="G38" s="70">
        <f t="shared" si="1"/>
        <v>0</v>
      </c>
      <c r="H38" s="604">
        <f t="shared" si="6"/>
        <v>-2.6290000000000001E-2</v>
      </c>
      <c r="I38" s="71">
        <v>1</v>
      </c>
      <c r="J38" s="70">
        <f t="shared" si="2"/>
        <v>0</v>
      </c>
      <c r="K38" s="604">
        <f t="shared" si="7"/>
        <v>-2.6839999999999999E-2</v>
      </c>
      <c r="L38" s="71">
        <v>0</v>
      </c>
      <c r="M38" s="70">
        <f t="shared" si="3"/>
        <v>0</v>
      </c>
      <c r="N38" s="604">
        <f t="shared" si="8"/>
        <v>0</v>
      </c>
      <c r="O38" s="71">
        <v>0</v>
      </c>
      <c r="P38" s="70">
        <f t="shared" si="4"/>
        <v>0</v>
      </c>
      <c r="Q38" s="73"/>
      <c r="R38" s="71">
        <v>0</v>
      </c>
      <c r="S38" s="70">
        <f t="shared" si="5"/>
        <v>0</v>
      </c>
      <c r="T38" s="73"/>
    </row>
    <row r="39" spans="1:20" x14ac:dyDescent="0.25">
      <c r="A39" s="85">
        <f t="shared" si="0"/>
        <v>33</v>
      </c>
      <c r="B39" s="69"/>
      <c r="C39" s="18" t="s">
        <v>10</v>
      </c>
      <c r="D39" s="70">
        <f>+'Washington volumes'!J39</f>
        <v>0</v>
      </c>
      <c r="E39" s="91"/>
      <c r="F39" s="71">
        <v>1</v>
      </c>
      <c r="G39" s="70">
        <f t="shared" si="1"/>
        <v>0</v>
      </c>
      <c r="H39" s="604">
        <f t="shared" si="6"/>
        <v>-2.6290000000000001E-2</v>
      </c>
      <c r="I39" s="71">
        <v>1</v>
      </c>
      <c r="J39" s="70">
        <f t="shared" si="2"/>
        <v>0</v>
      </c>
      <c r="K39" s="604">
        <f t="shared" si="7"/>
        <v>-2.6839999999999999E-2</v>
      </c>
      <c r="L39" s="71">
        <v>0</v>
      </c>
      <c r="M39" s="70">
        <f t="shared" si="3"/>
        <v>0</v>
      </c>
      <c r="N39" s="604">
        <f t="shared" si="8"/>
        <v>0</v>
      </c>
      <c r="O39" s="71">
        <v>0</v>
      </c>
      <c r="P39" s="70">
        <f t="shared" si="4"/>
        <v>0</v>
      </c>
      <c r="Q39" s="73"/>
      <c r="R39" s="71">
        <v>0</v>
      </c>
      <c r="S39" s="70">
        <f t="shared" si="5"/>
        <v>0</v>
      </c>
      <c r="T39" s="73"/>
    </row>
    <row r="40" spans="1:20" x14ac:dyDescent="0.25">
      <c r="A40" s="85">
        <f t="shared" si="0"/>
        <v>34</v>
      </c>
      <c r="B40" s="74"/>
      <c r="C40" s="22" t="s">
        <v>11</v>
      </c>
      <c r="D40" s="64">
        <f>+'Washington volumes'!J40</f>
        <v>0</v>
      </c>
      <c r="E40" s="90"/>
      <c r="F40" s="66">
        <v>1</v>
      </c>
      <c r="G40" s="64">
        <f t="shared" si="1"/>
        <v>0</v>
      </c>
      <c r="H40" s="603">
        <f t="shared" si="6"/>
        <v>-2.6290000000000001E-2</v>
      </c>
      <c r="I40" s="66">
        <v>1</v>
      </c>
      <c r="J40" s="64" t="s">
        <v>611</v>
      </c>
      <c r="K40" s="603">
        <f t="shared" si="7"/>
        <v>-2.6839999999999999E-2</v>
      </c>
      <c r="L40" s="66">
        <v>0</v>
      </c>
      <c r="M40" s="64">
        <f t="shared" si="3"/>
        <v>0</v>
      </c>
      <c r="N40" s="603">
        <f t="shared" si="8"/>
        <v>0</v>
      </c>
      <c r="O40" s="66">
        <v>0</v>
      </c>
      <c r="P40" s="64">
        <f t="shared" si="4"/>
        <v>0</v>
      </c>
      <c r="Q40" s="67"/>
      <c r="R40" s="66">
        <v>0</v>
      </c>
      <c r="S40" s="64">
        <f t="shared" si="5"/>
        <v>0</v>
      </c>
      <c r="T40" s="67"/>
    </row>
    <row r="41" spans="1:20" x14ac:dyDescent="0.25">
      <c r="A41" s="85">
        <f t="shared" si="0"/>
        <v>35</v>
      </c>
      <c r="B41" s="69" t="s">
        <v>165</v>
      </c>
      <c r="C41" s="18" t="s">
        <v>6</v>
      </c>
      <c r="D41" s="70">
        <f>+'Washington volumes'!J41</f>
        <v>1313594</v>
      </c>
      <c r="E41" s="91"/>
      <c r="F41" s="71">
        <v>0</v>
      </c>
      <c r="G41" s="70">
        <f t="shared" si="1"/>
        <v>0</v>
      </c>
      <c r="H41" s="604">
        <f t="shared" si="6"/>
        <v>0</v>
      </c>
      <c r="I41" s="71">
        <v>0</v>
      </c>
      <c r="J41" s="70">
        <f t="shared" si="2"/>
        <v>0</v>
      </c>
      <c r="K41" s="604">
        <f t="shared" si="7"/>
        <v>0</v>
      </c>
      <c r="L41" s="71">
        <v>0</v>
      </c>
      <c r="M41" s="70">
        <f t="shared" si="3"/>
        <v>0</v>
      </c>
      <c r="N41" s="604">
        <f t="shared" si="8"/>
        <v>0</v>
      </c>
      <c r="O41" s="71">
        <v>0</v>
      </c>
      <c r="P41" s="70">
        <f t="shared" si="4"/>
        <v>0</v>
      </c>
      <c r="Q41" s="73"/>
      <c r="R41" s="71">
        <v>0</v>
      </c>
      <c r="S41" s="70">
        <f t="shared" si="5"/>
        <v>0</v>
      </c>
      <c r="T41" s="73"/>
    </row>
    <row r="42" spans="1:20" x14ac:dyDescent="0.25">
      <c r="A42" s="85">
        <f t="shared" si="0"/>
        <v>36</v>
      </c>
      <c r="B42" s="69"/>
      <c r="C42" s="18" t="s">
        <v>7</v>
      </c>
      <c r="D42" s="70">
        <f>+'Washington volumes'!J42</f>
        <v>1609433</v>
      </c>
      <c r="E42" s="91"/>
      <c r="F42" s="71">
        <v>0</v>
      </c>
      <c r="G42" s="70">
        <f t="shared" si="1"/>
        <v>0</v>
      </c>
      <c r="H42" s="604">
        <f t="shared" si="6"/>
        <v>0</v>
      </c>
      <c r="I42" s="71">
        <v>0</v>
      </c>
      <c r="J42" s="70">
        <f t="shared" si="2"/>
        <v>0</v>
      </c>
      <c r="K42" s="604">
        <f t="shared" si="7"/>
        <v>0</v>
      </c>
      <c r="L42" s="71">
        <v>0</v>
      </c>
      <c r="M42" s="70">
        <f t="shared" si="3"/>
        <v>0</v>
      </c>
      <c r="N42" s="604">
        <f t="shared" si="8"/>
        <v>0</v>
      </c>
      <c r="O42" s="71">
        <v>0</v>
      </c>
      <c r="P42" s="70">
        <f t="shared" si="4"/>
        <v>0</v>
      </c>
      <c r="Q42" s="73"/>
      <c r="R42" s="71">
        <v>0</v>
      </c>
      <c r="S42" s="70">
        <f t="shared" si="5"/>
        <v>0</v>
      </c>
      <c r="T42" s="73"/>
    </row>
    <row r="43" spans="1:20" x14ac:dyDescent="0.25">
      <c r="A43" s="85">
        <f t="shared" si="0"/>
        <v>37</v>
      </c>
      <c r="B43" s="69"/>
      <c r="C43" s="18" t="s">
        <v>8</v>
      </c>
      <c r="D43" s="70">
        <f>+'Washington volumes'!J43</f>
        <v>1138813</v>
      </c>
      <c r="E43" s="91"/>
      <c r="F43" s="71">
        <v>0</v>
      </c>
      <c r="G43" s="70">
        <f t="shared" si="1"/>
        <v>0</v>
      </c>
      <c r="H43" s="604">
        <f t="shared" si="6"/>
        <v>0</v>
      </c>
      <c r="I43" s="71">
        <v>0</v>
      </c>
      <c r="J43" s="70">
        <f t="shared" si="2"/>
        <v>0</v>
      </c>
      <c r="K43" s="604">
        <f t="shared" si="7"/>
        <v>0</v>
      </c>
      <c r="L43" s="71">
        <v>0</v>
      </c>
      <c r="M43" s="70">
        <f t="shared" si="3"/>
        <v>0</v>
      </c>
      <c r="N43" s="604">
        <f t="shared" si="8"/>
        <v>0</v>
      </c>
      <c r="O43" s="71">
        <v>0</v>
      </c>
      <c r="P43" s="70">
        <f t="shared" si="4"/>
        <v>0</v>
      </c>
      <c r="Q43" s="73"/>
      <c r="R43" s="71">
        <v>0</v>
      </c>
      <c r="S43" s="70">
        <f t="shared" si="5"/>
        <v>0</v>
      </c>
      <c r="T43" s="73"/>
    </row>
    <row r="44" spans="1:20" x14ac:dyDescent="0.25">
      <c r="A44" s="85">
        <f t="shared" si="0"/>
        <v>38</v>
      </c>
      <c r="B44" s="69"/>
      <c r="C44" s="18" t="s">
        <v>9</v>
      </c>
      <c r="D44" s="70">
        <f>+'Washington volumes'!J44</f>
        <v>1522236</v>
      </c>
      <c r="E44" s="91"/>
      <c r="F44" s="71">
        <v>0</v>
      </c>
      <c r="G44" s="70">
        <f t="shared" si="1"/>
        <v>0</v>
      </c>
      <c r="H44" s="604">
        <f t="shared" si="6"/>
        <v>0</v>
      </c>
      <c r="I44" s="71">
        <v>0</v>
      </c>
      <c r="J44" s="70">
        <f t="shared" si="2"/>
        <v>0</v>
      </c>
      <c r="K44" s="604">
        <f t="shared" si="7"/>
        <v>0</v>
      </c>
      <c r="L44" s="71">
        <v>0</v>
      </c>
      <c r="M44" s="70">
        <f t="shared" si="3"/>
        <v>0</v>
      </c>
      <c r="N44" s="604">
        <f t="shared" si="8"/>
        <v>0</v>
      </c>
      <c r="O44" s="71">
        <v>0</v>
      </c>
      <c r="P44" s="70">
        <f t="shared" si="4"/>
        <v>0</v>
      </c>
      <c r="Q44" s="73"/>
      <c r="R44" s="71">
        <v>0</v>
      </c>
      <c r="S44" s="70">
        <f t="shared" si="5"/>
        <v>0</v>
      </c>
      <c r="T44" s="73"/>
    </row>
    <row r="45" spans="1:20" x14ac:dyDescent="0.25">
      <c r="A45" s="85">
        <f t="shared" si="0"/>
        <v>39</v>
      </c>
      <c r="B45" s="69"/>
      <c r="C45" s="18" t="s">
        <v>10</v>
      </c>
      <c r="D45" s="70">
        <f>+'Washington volumes'!J45</f>
        <v>355242</v>
      </c>
      <c r="E45" s="91"/>
      <c r="F45" s="71">
        <v>0</v>
      </c>
      <c r="G45" s="70">
        <f t="shared" si="1"/>
        <v>0</v>
      </c>
      <c r="H45" s="604">
        <f t="shared" si="6"/>
        <v>0</v>
      </c>
      <c r="I45" s="71">
        <v>0</v>
      </c>
      <c r="J45" s="70">
        <f t="shared" si="2"/>
        <v>0</v>
      </c>
      <c r="K45" s="604">
        <f t="shared" si="7"/>
        <v>0</v>
      </c>
      <c r="L45" s="71">
        <v>0</v>
      </c>
      <c r="M45" s="70">
        <f t="shared" si="3"/>
        <v>0</v>
      </c>
      <c r="N45" s="604">
        <f t="shared" si="8"/>
        <v>0</v>
      </c>
      <c r="O45" s="71">
        <v>0</v>
      </c>
      <c r="P45" s="70">
        <f t="shared" si="4"/>
        <v>0</v>
      </c>
      <c r="Q45" s="73"/>
      <c r="R45" s="71">
        <v>0</v>
      </c>
      <c r="S45" s="70">
        <f t="shared" si="5"/>
        <v>0</v>
      </c>
      <c r="T45" s="73"/>
    </row>
    <row r="46" spans="1:20" x14ac:dyDescent="0.25">
      <c r="A46" s="85">
        <f t="shared" si="0"/>
        <v>40</v>
      </c>
      <c r="B46" s="74"/>
      <c r="C46" s="22" t="s">
        <v>11</v>
      </c>
      <c r="D46" s="64">
        <f>+'Washington volumes'!J46</f>
        <v>0</v>
      </c>
      <c r="E46" s="90"/>
      <c r="F46" s="66">
        <v>0</v>
      </c>
      <c r="G46" s="64">
        <f t="shared" si="1"/>
        <v>0</v>
      </c>
      <c r="H46" s="603">
        <f t="shared" si="6"/>
        <v>0</v>
      </c>
      <c r="I46" s="66">
        <v>0</v>
      </c>
      <c r="J46" s="64">
        <f t="shared" si="2"/>
        <v>0</v>
      </c>
      <c r="K46" s="603">
        <f t="shared" si="7"/>
        <v>0</v>
      </c>
      <c r="L46" s="66">
        <v>0</v>
      </c>
      <c r="M46" s="64">
        <f t="shared" si="3"/>
        <v>0</v>
      </c>
      <c r="N46" s="603">
        <f t="shared" si="8"/>
        <v>0</v>
      </c>
      <c r="O46" s="66">
        <v>0</v>
      </c>
      <c r="P46" s="64">
        <f t="shared" si="4"/>
        <v>0</v>
      </c>
      <c r="Q46" s="67"/>
      <c r="R46" s="66">
        <v>0</v>
      </c>
      <c r="S46" s="64">
        <f t="shared" si="5"/>
        <v>0</v>
      </c>
      <c r="T46" s="67"/>
    </row>
    <row r="47" spans="1:20" x14ac:dyDescent="0.25">
      <c r="A47" s="85">
        <f t="shared" si="0"/>
        <v>41</v>
      </c>
      <c r="B47" s="69" t="s">
        <v>369</v>
      </c>
      <c r="C47" s="18" t="s">
        <v>6</v>
      </c>
      <c r="D47" s="70">
        <f>+'Washington volumes'!J47</f>
        <v>250151</v>
      </c>
      <c r="E47" s="91"/>
      <c r="F47" s="71">
        <v>1</v>
      </c>
      <c r="G47" s="70">
        <f t="shared" ref="G47:G52" si="9">+$D47*F47</f>
        <v>250151</v>
      </c>
      <c r="H47" s="604">
        <f t="shared" ref="H47:H52" si="10">+F47*$H$69</f>
        <v>-2.6290000000000001E-2</v>
      </c>
      <c r="I47" s="71">
        <v>0</v>
      </c>
      <c r="J47" s="70">
        <f t="shared" ref="J47:J52" si="11">+$D47*I47</f>
        <v>0</v>
      </c>
      <c r="K47" s="604">
        <f t="shared" ref="K47:K52" si="12">+I47*$K$69</f>
        <v>0</v>
      </c>
      <c r="L47" s="71">
        <v>1</v>
      </c>
      <c r="M47" s="70">
        <f t="shared" ref="M47:M52" si="13">+$D47*L47</f>
        <v>250151</v>
      </c>
      <c r="N47" s="604">
        <f t="shared" ref="N47:N52" si="14">+L47*$N$69</f>
        <v>-9.3699999999999999E-3</v>
      </c>
      <c r="O47" s="71">
        <v>0</v>
      </c>
      <c r="P47" s="70">
        <f t="shared" ref="P47:P52" si="15">+$D47*O47</f>
        <v>0</v>
      </c>
      <c r="Q47" s="73"/>
      <c r="R47" s="71">
        <v>0</v>
      </c>
      <c r="S47" s="70">
        <f t="shared" ref="S47:S52" si="16">+$D47*R47</f>
        <v>0</v>
      </c>
      <c r="T47" s="73"/>
    </row>
    <row r="48" spans="1:20" x14ac:dyDescent="0.25">
      <c r="A48" s="85">
        <f t="shared" si="0"/>
        <v>42</v>
      </c>
      <c r="B48" s="69"/>
      <c r="C48" s="18" t="s">
        <v>7</v>
      </c>
      <c r="D48" s="70">
        <f>+'Washington volumes'!J48</f>
        <v>486821</v>
      </c>
      <c r="E48" s="91"/>
      <c r="F48" s="71">
        <v>1</v>
      </c>
      <c r="G48" s="70">
        <f t="shared" si="9"/>
        <v>486821</v>
      </c>
      <c r="H48" s="604">
        <f t="shared" si="10"/>
        <v>-2.6290000000000001E-2</v>
      </c>
      <c r="I48" s="71">
        <v>0</v>
      </c>
      <c r="J48" s="70">
        <f t="shared" si="11"/>
        <v>0</v>
      </c>
      <c r="K48" s="604">
        <f t="shared" si="12"/>
        <v>0</v>
      </c>
      <c r="L48" s="71">
        <v>1</v>
      </c>
      <c r="M48" s="70">
        <f t="shared" si="13"/>
        <v>486821</v>
      </c>
      <c r="N48" s="604">
        <f t="shared" si="14"/>
        <v>-9.3699999999999999E-3</v>
      </c>
      <c r="O48" s="71">
        <v>0</v>
      </c>
      <c r="P48" s="70">
        <f t="shared" si="15"/>
        <v>0</v>
      </c>
      <c r="Q48" s="73"/>
      <c r="R48" s="71">
        <v>0</v>
      </c>
      <c r="S48" s="70">
        <f t="shared" si="16"/>
        <v>0</v>
      </c>
      <c r="T48" s="73"/>
    </row>
    <row r="49" spans="1:20" x14ac:dyDescent="0.25">
      <c r="A49" s="85">
        <f t="shared" si="0"/>
        <v>43</v>
      </c>
      <c r="B49" s="69"/>
      <c r="C49" s="18" t="s">
        <v>8</v>
      </c>
      <c r="D49" s="70">
        <f>+'Washington volumes'!J49</f>
        <v>246036</v>
      </c>
      <c r="E49" s="91"/>
      <c r="F49" s="71">
        <v>1</v>
      </c>
      <c r="G49" s="70">
        <f t="shared" si="9"/>
        <v>246036</v>
      </c>
      <c r="H49" s="604">
        <f t="shared" si="10"/>
        <v>-2.6290000000000001E-2</v>
      </c>
      <c r="I49" s="71">
        <v>0</v>
      </c>
      <c r="J49" s="70">
        <f t="shared" si="11"/>
        <v>0</v>
      </c>
      <c r="K49" s="604">
        <f t="shared" si="12"/>
        <v>0</v>
      </c>
      <c r="L49" s="71">
        <v>1</v>
      </c>
      <c r="M49" s="70">
        <f t="shared" si="13"/>
        <v>246036</v>
      </c>
      <c r="N49" s="604">
        <f t="shared" si="14"/>
        <v>-9.3699999999999999E-3</v>
      </c>
      <c r="O49" s="71">
        <v>0</v>
      </c>
      <c r="P49" s="70">
        <f t="shared" si="15"/>
        <v>0</v>
      </c>
      <c r="Q49" s="73"/>
      <c r="R49" s="71">
        <v>0</v>
      </c>
      <c r="S49" s="70">
        <f t="shared" si="16"/>
        <v>0</v>
      </c>
      <c r="T49" s="73"/>
    </row>
    <row r="50" spans="1:20" x14ac:dyDescent="0.25">
      <c r="A50" s="85">
        <f t="shared" si="0"/>
        <v>44</v>
      </c>
      <c r="B50" s="69"/>
      <c r="C50" s="18" t="s">
        <v>9</v>
      </c>
      <c r="D50" s="70">
        <f>+'Washington volumes'!J50</f>
        <v>54140</v>
      </c>
      <c r="E50" s="91"/>
      <c r="F50" s="71">
        <v>1</v>
      </c>
      <c r="G50" s="70">
        <f t="shared" si="9"/>
        <v>54140</v>
      </c>
      <c r="H50" s="604">
        <f t="shared" si="10"/>
        <v>-2.6290000000000001E-2</v>
      </c>
      <c r="I50" s="71">
        <v>0</v>
      </c>
      <c r="J50" s="70">
        <f t="shared" si="11"/>
        <v>0</v>
      </c>
      <c r="K50" s="604">
        <f t="shared" si="12"/>
        <v>0</v>
      </c>
      <c r="L50" s="71">
        <v>1</v>
      </c>
      <c r="M50" s="70">
        <f t="shared" si="13"/>
        <v>54140</v>
      </c>
      <c r="N50" s="604">
        <f t="shared" si="14"/>
        <v>-9.3699999999999999E-3</v>
      </c>
      <c r="O50" s="71">
        <v>0</v>
      </c>
      <c r="P50" s="70">
        <f t="shared" si="15"/>
        <v>0</v>
      </c>
      <c r="Q50" s="73"/>
      <c r="R50" s="71">
        <v>0</v>
      </c>
      <c r="S50" s="70">
        <f t="shared" si="16"/>
        <v>0</v>
      </c>
      <c r="T50" s="73"/>
    </row>
    <row r="51" spans="1:20" x14ac:dyDescent="0.25">
      <c r="A51" s="85">
        <f t="shared" si="0"/>
        <v>45</v>
      </c>
      <c r="B51" s="69"/>
      <c r="C51" s="18" t="s">
        <v>10</v>
      </c>
      <c r="D51" s="70">
        <f>+'Washington volumes'!J51</f>
        <v>0</v>
      </c>
      <c r="E51" s="91"/>
      <c r="F51" s="71">
        <v>1</v>
      </c>
      <c r="G51" s="70">
        <f t="shared" si="9"/>
        <v>0</v>
      </c>
      <c r="H51" s="604">
        <f t="shared" si="10"/>
        <v>-2.6290000000000001E-2</v>
      </c>
      <c r="I51" s="71">
        <v>0</v>
      </c>
      <c r="J51" s="70">
        <f t="shared" si="11"/>
        <v>0</v>
      </c>
      <c r="K51" s="604">
        <f t="shared" si="12"/>
        <v>0</v>
      </c>
      <c r="L51" s="71">
        <v>1</v>
      </c>
      <c r="M51" s="70">
        <f t="shared" si="13"/>
        <v>0</v>
      </c>
      <c r="N51" s="604">
        <f t="shared" si="14"/>
        <v>-9.3699999999999999E-3</v>
      </c>
      <c r="O51" s="71">
        <v>0</v>
      </c>
      <c r="P51" s="70">
        <f t="shared" si="15"/>
        <v>0</v>
      </c>
      <c r="Q51" s="73"/>
      <c r="R51" s="71">
        <v>0</v>
      </c>
      <c r="S51" s="70">
        <f t="shared" si="16"/>
        <v>0</v>
      </c>
      <c r="T51" s="73"/>
    </row>
    <row r="52" spans="1:20" x14ac:dyDescent="0.25">
      <c r="A52" s="85">
        <f t="shared" si="0"/>
        <v>46</v>
      </c>
      <c r="B52" s="74"/>
      <c r="C52" s="22" t="s">
        <v>11</v>
      </c>
      <c r="D52" s="64">
        <f>+'Washington volumes'!J52</f>
        <v>0</v>
      </c>
      <c r="E52" s="91"/>
      <c r="F52" s="66">
        <v>1</v>
      </c>
      <c r="G52" s="64">
        <f t="shared" si="9"/>
        <v>0</v>
      </c>
      <c r="H52" s="603">
        <f t="shared" si="10"/>
        <v>-2.6290000000000001E-2</v>
      </c>
      <c r="I52" s="66">
        <v>0</v>
      </c>
      <c r="J52" s="64">
        <f t="shared" si="11"/>
        <v>0</v>
      </c>
      <c r="K52" s="603">
        <f t="shared" si="12"/>
        <v>0</v>
      </c>
      <c r="L52" s="66">
        <v>1</v>
      </c>
      <c r="M52" s="64">
        <f t="shared" si="13"/>
        <v>0</v>
      </c>
      <c r="N52" s="603">
        <f t="shared" si="14"/>
        <v>-9.3699999999999999E-3</v>
      </c>
      <c r="O52" s="66">
        <v>0</v>
      </c>
      <c r="P52" s="64">
        <f t="shared" si="15"/>
        <v>0</v>
      </c>
      <c r="Q52" s="67"/>
      <c r="R52" s="66">
        <v>0</v>
      </c>
      <c r="S52" s="64">
        <f t="shared" si="16"/>
        <v>0</v>
      </c>
      <c r="T52" s="67"/>
    </row>
    <row r="53" spans="1:20" x14ac:dyDescent="0.25">
      <c r="A53" s="85">
        <f t="shared" si="0"/>
        <v>47</v>
      </c>
      <c r="B53" s="69" t="s">
        <v>370</v>
      </c>
      <c r="C53" s="18" t="s">
        <v>6</v>
      </c>
      <c r="D53" s="70">
        <f>+'Washington volumes'!J53</f>
        <v>179269</v>
      </c>
      <c r="E53" s="91"/>
      <c r="F53" s="71">
        <v>1</v>
      </c>
      <c r="G53" s="70">
        <f t="shared" si="1"/>
        <v>179269</v>
      </c>
      <c r="H53" s="604">
        <f t="shared" si="6"/>
        <v>-2.6290000000000001E-2</v>
      </c>
      <c r="I53" s="71">
        <v>0</v>
      </c>
      <c r="J53" s="70">
        <f t="shared" si="2"/>
        <v>0</v>
      </c>
      <c r="K53" s="604">
        <f t="shared" si="7"/>
        <v>0</v>
      </c>
      <c r="L53" s="71">
        <v>1</v>
      </c>
      <c r="M53" s="70">
        <f t="shared" si="3"/>
        <v>179269</v>
      </c>
      <c r="N53" s="604">
        <f t="shared" si="8"/>
        <v>-9.3699999999999999E-3</v>
      </c>
      <c r="O53" s="71">
        <v>0</v>
      </c>
      <c r="P53" s="70">
        <f t="shared" si="4"/>
        <v>0</v>
      </c>
      <c r="Q53" s="73"/>
      <c r="R53" s="71">
        <v>0</v>
      </c>
      <c r="S53" s="70">
        <f t="shared" si="5"/>
        <v>0</v>
      </c>
      <c r="T53" s="73"/>
    </row>
    <row r="54" spans="1:20" x14ac:dyDescent="0.25">
      <c r="A54" s="85">
        <f t="shared" si="0"/>
        <v>48</v>
      </c>
      <c r="B54" s="69"/>
      <c r="C54" s="18" t="s">
        <v>7</v>
      </c>
      <c r="D54" s="70">
        <f>+'Washington volumes'!J54</f>
        <v>140180</v>
      </c>
      <c r="E54" s="91"/>
      <c r="F54" s="71">
        <v>1</v>
      </c>
      <c r="G54" s="70">
        <f t="shared" si="1"/>
        <v>140180</v>
      </c>
      <c r="H54" s="604">
        <f t="shared" si="6"/>
        <v>-2.6290000000000001E-2</v>
      </c>
      <c r="I54" s="71">
        <v>0</v>
      </c>
      <c r="J54" s="70">
        <f t="shared" si="2"/>
        <v>0</v>
      </c>
      <c r="K54" s="604">
        <f t="shared" si="7"/>
        <v>0</v>
      </c>
      <c r="L54" s="71">
        <v>1</v>
      </c>
      <c r="M54" s="70">
        <f t="shared" si="3"/>
        <v>140180</v>
      </c>
      <c r="N54" s="604">
        <f t="shared" si="8"/>
        <v>-9.3699999999999999E-3</v>
      </c>
      <c r="O54" s="71">
        <v>0</v>
      </c>
      <c r="P54" s="70">
        <f t="shared" si="4"/>
        <v>0</v>
      </c>
      <c r="Q54" s="73"/>
      <c r="R54" s="71">
        <v>0</v>
      </c>
      <c r="S54" s="70">
        <f t="shared" si="5"/>
        <v>0</v>
      </c>
      <c r="T54" s="73"/>
    </row>
    <row r="55" spans="1:20" x14ac:dyDescent="0.25">
      <c r="A55" s="85">
        <f t="shared" si="0"/>
        <v>49</v>
      </c>
      <c r="B55" s="69"/>
      <c r="C55" s="18" t="s">
        <v>8</v>
      </c>
      <c r="D55" s="70">
        <f>+'Washington volumes'!J55</f>
        <v>0</v>
      </c>
      <c r="E55" s="91"/>
      <c r="F55" s="71">
        <v>1</v>
      </c>
      <c r="G55" s="70">
        <f t="shared" si="1"/>
        <v>0</v>
      </c>
      <c r="H55" s="604">
        <f t="shared" si="6"/>
        <v>-2.6290000000000001E-2</v>
      </c>
      <c r="I55" s="71">
        <v>0</v>
      </c>
      <c r="J55" s="70">
        <f t="shared" si="2"/>
        <v>0</v>
      </c>
      <c r="K55" s="604">
        <f t="shared" si="7"/>
        <v>0</v>
      </c>
      <c r="L55" s="71">
        <v>1</v>
      </c>
      <c r="M55" s="70">
        <f t="shared" si="3"/>
        <v>0</v>
      </c>
      <c r="N55" s="604">
        <f t="shared" si="8"/>
        <v>-9.3699999999999999E-3</v>
      </c>
      <c r="O55" s="71">
        <v>0</v>
      </c>
      <c r="P55" s="70">
        <f t="shared" si="4"/>
        <v>0</v>
      </c>
      <c r="Q55" s="73"/>
      <c r="R55" s="71">
        <v>0</v>
      </c>
      <c r="S55" s="70">
        <f t="shared" si="5"/>
        <v>0</v>
      </c>
      <c r="T55" s="73"/>
    </row>
    <row r="56" spans="1:20" x14ac:dyDescent="0.25">
      <c r="A56" s="85">
        <f t="shared" si="0"/>
        <v>50</v>
      </c>
      <c r="B56" s="69"/>
      <c r="C56" s="18" t="s">
        <v>9</v>
      </c>
      <c r="D56" s="70">
        <f>+'Washington volumes'!J56</f>
        <v>0</v>
      </c>
      <c r="E56" s="91"/>
      <c r="F56" s="71">
        <v>1</v>
      </c>
      <c r="G56" s="70">
        <f t="shared" si="1"/>
        <v>0</v>
      </c>
      <c r="H56" s="604">
        <f t="shared" si="6"/>
        <v>-2.6290000000000001E-2</v>
      </c>
      <c r="I56" s="71">
        <v>0</v>
      </c>
      <c r="J56" s="70">
        <f t="shared" si="2"/>
        <v>0</v>
      </c>
      <c r="K56" s="604">
        <f t="shared" si="7"/>
        <v>0</v>
      </c>
      <c r="L56" s="71">
        <v>1</v>
      </c>
      <c r="M56" s="70">
        <f t="shared" si="3"/>
        <v>0</v>
      </c>
      <c r="N56" s="604">
        <f t="shared" si="8"/>
        <v>-9.3699999999999999E-3</v>
      </c>
      <c r="O56" s="71">
        <v>0</v>
      </c>
      <c r="P56" s="70">
        <f t="shared" si="4"/>
        <v>0</v>
      </c>
      <c r="Q56" s="73"/>
      <c r="R56" s="71">
        <v>0</v>
      </c>
      <c r="S56" s="70">
        <f t="shared" si="5"/>
        <v>0</v>
      </c>
      <c r="T56" s="73"/>
    </row>
    <row r="57" spans="1:20" x14ac:dyDescent="0.25">
      <c r="A57" s="85">
        <f t="shared" si="0"/>
        <v>51</v>
      </c>
      <c r="B57" s="69"/>
      <c r="C57" s="18" t="s">
        <v>10</v>
      </c>
      <c r="D57" s="70">
        <f>+'Washington volumes'!J57</f>
        <v>0</v>
      </c>
      <c r="E57" s="91"/>
      <c r="F57" s="71">
        <v>1</v>
      </c>
      <c r="G57" s="70">
        <f t="shared" si="1"/>
        <v>0</v>
      </c>
      <c r="H57" s="604">
        <f t="shared" si="6"/>
        <v>-2.6290000000000001E-2</v>
      </c>
      <c r="I57" s="71">
        <v>0</v>
      </c>
      <c r="J57" s="70">
        <f t="shared" si="2"/>
        <v>0</v>
      </c>
      <c r="K57" s="604">
        <f t="shared" si="7"/>
        <v>0</v>
      </c>
      <c r="L57" s="71">
        <v>1</v>
      </c>
      <c r="M57" s="70">
        <f t="shared" si="3"/>
        <v>0</v>
      </c>
      <c r="N57" s="604">
        <f t="shared" si="8"/>
        <v>-9.3699999999999999E-3</v>
      </c>
      <c r="O57" s="71">
        <v>0</v>
      </c>
      <c r="P57" s="70">
        <f t="shared" si="4"/>
        <v>0</v>
      </c>
      <c r="Q57" s="73"/>
      <c r="R57" s="71">
        <v>0</v>
      </c>
      <c r="S57" s="70">
        <f t="shared" si="5"/>
        <v>0</v>
      </c>
      <c r="T57" s="73"/>
    </row>
    <row r="58" spans="1:20" x14ac:dyDescent="0.25">
      <c r="A58" s="85">
        <f t="shared" si="0"/>
        <v>52</v>
      </c>
      <c r="B58" s="74"/>
      <c r="C58" s="22" t="s">
        <v>11</v>
      </c>
      <c r="D58" s="64">
        <f>+'Washington volumes'!J58</f>
        <v>0</v>
      </c>
      <c r="E58" s="90"/>
      <c r="F58" s="66">
        <v>1</v>
      </c>
      <c r="G58" s="64">
        <f t="shared" si="1"/>
        <v>0</v>
      </c>
      <c r="H58" s="603">
        <f t="shared" si="6"/>
        <v>-2.6290000000000001E-2</v>
      </c>
      <c r="I58" s="66">
        <v>0</v>
      </c>
      <c r="J58" s="64">
        <f t="shared" si="2"/>
        <v>0</v>
      </c>
      <c r="K58" s="603">
        <f t="shared" si="7"/>
        <v>0</v>
      </c>
      <c r="L58" s="66">
        <v>1</v>
      </c>
      <c r="M58" s="64">
        <f t="shared" si="3"/>
        <v>0</v>
      </c>
      <c r="N58" s="603">
        <f t="shared" si="8"/>
        <v>-9.3699999999999999E-3</v>
      </c>
      <c r="O58" s="66">
        <v>0</v>
      </c>
      <c r="P58" s="64">
        <f t="shared" si="4"/>
        <v>0</v>
      </c>
      <c r="Q58" s="67"/>
      <c r="R58" s="66">
        <v>0</v>
      </c>
      <c r="S58" s="64">
        <f t="shared" si="5"/>
        <v>0</v>
      </c>
      <c r="T58" s="67"/>
    </row>
    <row r="59" spans="1:20" x14ac:dyDescent="0.25">
      <c r="A59" s="85">
        <f t="shared" si="0"/>
        <v>53</v>
      </c>
      <c r="B59" s="69" t="s">
        <v>166</v>
      </c>
      <c r="C59" s="18" t="s">
        <v>6</v>
      </c>
      <c r="D59" s="70">
        <f>+'Washington volumes'!J59</f>
        <v>906535</v>
      </c>
      <c r="E59" s="91"/>
      <c r="F59" s="71">
        <v>0</v>
      </c>
      <c r="G59" s="70">
        <f t="shared" si="1"/>
        <v>0</v>
      </c>
      <c r="H59" s="604">
        <f t="shared" si="6"/>
        <v>0</v>
      </c>
      <c r="I59" s="71">
        <v>0</v>
      </c>
      <c r="J59" s="70">
        <f t="shared" si="2"/>
        <v>0</v>
      </c>
      <c r="K59" s="604">
        <f t="shared" si="7"/>
        <v>0</v>
      </c>
      <c r="L59" s="71">
        <v>0</v>
      </c>
      <c r="M59" s="70">
        <f t="shared" si="3"/>
        <v>0</v>
      </c>
      <c r="N59" s="604">
        <f t="shared" si="8"/>
        <v>0</v>
      </c>
      <c r="O59" s="71">
        <v>0</v>
      </c>
      <c r="P59" s="70">
        <f t="shared" si="4"/>
        <v>0</v>
      </c>
      <c r="Q59" s="73"/>
      <c r="R59" s="71">
        <v>0</v>
      </c>
      <c r="S59" s="70">
        <f t="shared" si="5"/>
        <v>0</v>
      </c>
      <c r="T59" s="73"/>
    </row>
    <row r="60" spans="1:20" x14ac:dyDescent="0.25">
      <c r="A60" s="85">
        <f t="shared" si="0"/>
        <v>54</v>
      </c>
      <c r="B60" s="69"/>
      <c r="C60" s="18" t="s">
        <v>7</v>
      </c>
      <c r="D60" s="70">
        <f>+'Washington volumes'!J60</f>
        <v>1644618</v>
      </c>
      <c r="E60" s="91"/>
      <c r="F60" s="71">
        <v>0</v>
      </c>
      <c r="G60" s="70">
        <f t="shared" si="1"/>
        <v>0</v>
      </c>
      <c r="H60" s="604">
        <f t="shared" si="6"/>
        <v>0</v>
      </c>
      <c r="I60" s="71">
        <v>0</v>
      </c>
      <c r="J60" s="70">
        <f t="shared" si="2"/>
        <v>0</v>
      </c>
      <c r="K60" s="604">
        <f t="shared" si="7"/>
        <v>0</v>
      </c>
      <c r="L60" s="71">
        <v>0</v>
      </c>
      <c r="M60" s="70">
        <f t="shared" si="3"/>
        <v>0</v>
      </c>
      <c r="N60" s="604">
        <f t="shared" si="8"/>
        <v>0</v>
      </c>
      <c r="O60" s="71">
        <v>0</v>
      </c>
      <c r="P60" s="70">
        <f t="shared" si="4"/>
        <v>0</v>
      </c>
      <c r="Q60" s="73"/>
      <c r="R60" s="71">
        <v>0</v>
      </c>
      <c r="S60" s="70">
        <f t="shared" si="5"/>
        <v>0</v>
      </c>
      <c r="T60" s="73"/>
    </row>
    <row r="61" spans="1:20" x14ac:dyDescent="0.25">
      <c r="A61" s="85">
        <f t="shared" si="0"/>
        <v>55</v>
      </c>
      <c r="B61" s="69"/>
      <c r="C61" s="18" t="s">
        <v>8</v>
      </c>
      <c r="D61" s="70">
        <f>+'Washington volumes'!J61</f>
        <v>1375643</v>
      </c>
      <c r="E61" s="91"/>
      <c r="F61" s="71">
        <v>0</v>
      </c>
      <c r="G61" s="70">
        <f t="shared" si="1"/>
        <v>0</v>
      </c>
      <c r="H61" s="604">
        <f t="shared" si="6"/>
        <v>0</v>
      </c>
      <c r="I61" s="71">
        <v>0</v>
      </c>
      <c r="J61" s="70">
        <f t="shared" si="2"/>
        <v>0</v>
      </c>
      <c r="K61" s="604">
        <f t="shared" si="7"/>
        <v>0</v>
      </c>
      <c r="L61" s="71">
        <v>0</v>
      </c>
      <c r="M61" s="70">
        <f t="shared" si="3"/>
        <v>0</v>
      </c>
      <c r="N61" s="604">
        <f t="shared" si="8"/>
        <v>0</v>
      </c>
      <c r="O61" s="71">
        <v>0</v>
      </c>
      <c r="P61" s="70">
        <f t="shared" si="4"/>
        <v>0</v>
      </c>
      <c r="Q61" s="73"/>
      <c r="R61" s="71">
        <v>0</v>
      </c>
      <c r="S61" s="70">
        <f t="shared" si="5"/>
        <v>0</v>
      </c>
      <c r="T61" s="73"/>
    </row>
    <row r="62" spans="1:20" x14ac:dyDescent="0.25">
      <c r="A62" s="85">
        <f t="shared" si="0"/>
        <v>56</v>
      </c>
      <c r="B62" s="69"/>
      <c r="C62" s="18" t="s">
        <v>9</v>
      </c>
      <c r="D62" s="70">
        <f>+'Washington volumes'!J62</f>
        <v>4240259</v>
      </c>
      <c r="E62" s="91"/>
      <c r="F62" s="71">
        <v>0</v>
      </c>
      <c r="G62" s="70">
        <f t="shared" si="1"/>
        <v>0</v>
      </c>
      <c r="H62" s="604">
        <f t="shared" si="6"/>
        <v>0</v>
      </c>
      <c r="I62" s="71">
        <v>0</v>
      </c>
      <c r="J62" s="70">
        <f t="shared" si="2"/>
        <v>0</v>
      </c>
      <c r="K62" s="604">
        <f t="shared" si="7"/>
        <v>0</v>
      </c>
      <c r="L62" s="71">
        <v>0</v>
      </c>
      <c r="M62" s="70">
        <f t="shared" si="3"/>
        <v>0</v>
      </c>
      <c r="N62" s="604">
        <f t="shared" si="8"/>
        <v>0</v>
      </c>
      <c r="O62" s="71">
        <v>0</v>
      </c>
      <c r="P62" s="70">
        <f t="shared" si="4"/>
        <v>0</v>
      </c>
      <c r="Q62" s="73"/>
      <c r="R62" s="71">
        <v>0</v>
      </c>
      <c r="S62" s="70">
        <f t="shared" si="5"/>
        <v>0</v>
      </c>
      <c r="T62" s="73"/>
    </row>
    <row r="63" spans="1:20" x14ac:dyDescent="0.25">
      <c r="A63" s="85">
        <f t="shared" ref="A63:A74" si="17">+A62+1</f>
        <v>57</v>
      </c>
      <c r="B63" s="69"/>
      <c r="C63" s="18" t="s">
        <v>10</v>
      </c>
      <c r="D63" s="70">
        <f>+'Washington volumes'!J63</f>
        <v>2559794</v>
      </c>
      <c r="E63" s="91"/>
      <c r="F63" s="71">
        <v>0</v>
      </c>
      <c r="G63" s="70">
        <f t="shared" si="1"/>
        <v>0</v>
      </c>
      <c r="H63" s="604">
        <f t="shared" si="6"/>
        <v>0</v>
      </c>
      <c r="I63" s="71">
        <v>0</v>
      </c>
      <c r="J63" s="70">
        <f t="shared" si="2"/>
        <v>0</v>
      </c>
      <c r="K63" s="604">
        <f t="shared" si="7"/>
        <v>0</v>
      </c>
      <c r="L63" s="71">
        <v>0</v>
      </c>
      <c r="M63" s="70">
        <f t="shared" si="3"/>
        <v>0</v>
      </c>
      <c r="N63" s="604">
        <f t="shared" si="8"/>
        <v>0</v>
      </c>
      <c r="O63" s="71">
        <v>0</v>
      </c>
      <c r="P63" s="70">
        <f t="shared" si="4"/>
        <v>0</v>
      </c>
      <c r="Q63" s="73"/>
      <c r="R63" s="71">
        <v>0</v>
      </c>
      <c r="S63" s="70">
        <f t="shared" si="5"/>
        <v>0</v>
      </c>
      <c r="T63" s="73"/>
    </row>
    <row r="64" spans="1:20" x14ac:dyDescent="0.25">
      <c r="A64" s="85">
        <f t="shared" si="17"/>
        <v>58</v>
      </c>
      <c r="B64" s="74"/>
      <c r="C64" s="22" t="s">
        <v>11</v>
      </c>
      <c r="D64" s="64">
        <f>+'Washington volumes'!J64</f>
        <v>0</v>
      </c>
      <c r="E64" s="90"/>
      <c r="F64" s="66">
        <v>0</v>
      </c>
      <c r="G64" s="64">
        <f t="shared" si="1"/>
        <v>0</v>
      </c>
      <c r="H64" s="603">
        <f t="shared" si="6"/>
        <v>0</v>
      </c>
      <c r="I64" s="66">
        <v>0</v>
      </c>
      <c r="J64" s="64">
        <f t="shared" si="2"/>
        <v>0</v>
      </c>
      <c r="K64" s="603">
        <f t="shared" si="7"/>
        <v>0</v>
      </c>
      <c r="L64" s="66">
        <v>0</v>
      </c>
      <c r="M64" s="64">
        <f t="shared" si="3"/>
        <v>0</v>
      </c>
      <c r="N64" s="603">
        <f t="shared" si="8"/>
        <v>0</v>
      </c>
      <c r="O64" s="66">
        <v>0</v>
      </c>
      <c r="P64" s="64">
        <f t="shared" si="4"/>
        <v>0</v>
      </c>
      <c r="Q64" s="67"/>
      <c r="R64" s="66">
        <v>0</v>
      </c>
      <c r="S64" s="64">
        <f t="shared" si="5"/>
        <v>0</v>
      </c>
      <c r="T64" s="67"/>
    </row>
    <row r="65" spans="1:20" x14ac:dyDescent="0.25">
      <c r="A65" s="85">
        <f t="shared" si="17"/>
        <v>59</v>
      </c>
      <c r="B65" s="74" t="s">
        <v>167</v>
      </c>
      <c r="C65" s="21"/>
      <c r="D65" s="64">
        <f>+'Washington volumes'!J65</f>
        <v>0</v>
      </c>
      <c r="E65" s="90"/>
      <c r="F65" s="66">
        <v>0</v>
      </c>
      <c r="G65" s="64">
        <f t="shared" si="1"/>
        <v>0</v>
      </c>
      <c r="H65" s="603">
        <f t="shared" si="6"/>
        <v>0</v>
      </c>
      <c r="I65" s="66">
        <v>0</v>
      </c>
      <c r="J65" s="64">
        <f t="shared" si="2"/>
        <v>0</v>
      </c>
      <c r="K65" s="603">
        <f t="shared" si="7"/>
        <v>0</v>
      </c>
      <c r="L65" s="66">
        <v>0</v>
      </c>
      <c r="M65" s="64">
        <f t="shared" si="3"/>
        <v>0</v>
      </c>
      <c r="N65" s="603">
        <f t="shared" si="8"/>
        <v>0</v>
      </c>
      <c r="O65" s="66">
        <v>0</v>
      </c>
      <c r="P65" s="64">
        <f t="shared" si="4"/>
        <v>0</v>
      </c>
      <c r="Q65" s="67"/>
      <c r="R65" s="66">
        <v>0</v>
      </c>
      <c r="S65" s="64">
        <f t="shared" si="5"/>
        <v>0</v>
      </c>
      <c r="T65" s="67"/>
    </row>
    <row r="66" spans="1:20" x14ac:dyDescent="0.25">
      <c r="A66" s="85">
        <f t="shared" si="17"/>
        <v>60</v>
      </c>
      <c r="B66" s="16" t="s">
        <v>168</v>
      </c>
      <c r="C66" s="13"/>
      <c r="D66" s="64">
        <f>+'Washington volumes'!J66</f>
        <v>0</v>
      </c>
      <c r="E66" s="90"/>
      <c r="F66" s="66">
        <v>0</v>
      </c>
      <c r="G66" s="64">
        <f t="shared" si="1"/>
        <v>0</v>
      </c>
      <c r="H66" s="603">
        <f t="shared" si="6"/>
        <v>0</v>
      </c>
      <c r="I66" s="66">
        <v>0</v>
      </c>
      <c r="J66" s="64">
        <f t="shared" si="2"/>
        <v>0</v>
      </c>
      <c r="K66" s="603">
        <f t="shared" si="7"/>
        <v>0</v>
      </c>
      <c r="L66" s="66">
        <v>0</v>
      </c>
      <c r="M66" s="64">
        <f t="shared" si="3"/>
        <v>0</v>
      </c>
      <c r="N66" s="603">
        <f t="shared" si="8"/>
        <v>0</v>
      </c>
      <c r="O66" s="66">
        <v>0</v>
      </c>
      <c r="P66" s="64">
        <f t="shared" si="4"/>
        <v>0</v>
      </c>
      <c r="Q66" s="67"/>
      <c r="R66" s="66">
        <v>0</v>
      </c>
      <c r="S66" s="64">
        <f t="shared" si="5"/>
        <v>0</v>
      </c>
      <c r="T66" s="67"/>
    </row>
    <row r="67" spans="1:20" x14ac:dyDescent="0.25">
      <c r="A67" s="85">
        <f t="shared" si="17"/>
        <v>61</v>
      </c>
      <c r="B67" s="15" t="s">
        <v>217</v>
      </c>
      <c r="C67" s="13"/>
      <c r="D67" s="64"/>
      <c r="E67" s="90"/>
      <c r="F67" s="66"/>
      <c r="G67" s="64"/>
      <c r="H67" s="603"/>
      <c r="I67" s="66"/>
      <c r="J67" s="64"/>
      <c r="K67" s="603"/>
      <c r="L67" s="66"/>
      <c r="M67" s="64"/>
      <c r="N67" s="603"/>
      <c r="O67" s="66"/>
      <c r="P67" s="64"/>
      <c r="Q67" s="67"/>
      <c r="R67" s="66"/>
      <c r="S67" s="64"/>
      <c r="T67" s="67"/>
    </row>
    <row r="68" spans="1:20" x14ac:dyDescent="0.25">
      <c r="A68" s="85">
        <f t="shared" si="17"/>
        <v>62</v>
      </c>
      <c r="F68" s="82"/>
      <c r="H68" s="436"/>
      <c r="K68" s="436"/>
      <c r="N68" s="436"/>
      <c r="R68" s="2"/>
      <c r="S68" s="2"/>
      <c r="T68" s="2"/>
    </row>
    <row r="69" spans="1:20" x14ac:dyDescent="0.25">
      <c r="A69" s="85">
        <f t="shared" si="17"/>
        <v>63</v>
      </c>
      <c r="B69" s="2" t="s">
        <v>176</v>
      </c>
      <c r="D69" s="625">
        <f>SUM(D13:D68)</f>
        <v>97119890.200000003</v>
      </c>
      <c r="F69" s="82"/>
      <c r="G69" s="625">
        <f>SUM(G13:G68)</f>
        <v>79493752.200000003</v>
      </c>
      <c r="H69" s="436">
        <f>ROUND(+F10/G69,5)</f>
        <v>-2.6290000000000001E-2</v>
      </c>
      <c r="J69" s="625">
        <f>SUM(J13:J68)</f>
        <v>78137155.200000003</v>
      </c>
      <c r="K69" s="436">
        <f>ROUND(+I10/J69,5)</f>
        <v>-2.6839999999999999E-2</v>
      </c>
      <c r="M69" s="625">
        <f>SUM(M13:M68)</f>
        <v>1356597</v>
      </c>
      <c r="N69" s="436">
        <f>ROUND(+L10/M69,5)</f>
        <v>-9.3699999999999999E-3</v>
      </c>
      <c r="P69" s="34">
        <f>SUM(P13:P68)</f>
        <v>0</v>
      </c>
      <c r="Q69" s="92" t="e">
        <f>ROUND(+O10/P69,5)</f>
        <v>#DIV/0!</v>
      </c>
      <c r="R69" s="2"/>
      <c r="S69" s="34">
        <f>SUM(S13:S68)</f>
        <v>0</v>
      </c>
      <c r="T69" s="92" t="e">
        <f>ROUND(+R10/S69,5)</f>
        <v>#DIV/0!</v>
      </c>
    </row>
    <row r="70" spans="1:20" x14ac:dyDescent="0.25">
      <c r="A70" s="85">
        <f t="shared" si="17"/>
        <v>64</v>
      </c>
      <c r="D70" s="34">
        <f>+D69-'Washington volumes'!J68</f>
        <v>0</v>
      </c>
      <c r="F70" s="82"/>
    </row>
    <row r="71" spans="1:20" ht="13.8" thickBot="1" x14ac:dyDescent="0.3">
      <c r="A71" s="85">
        <f t="shared" si="17"/>
        <v>65</v>
      </c>
      <c r="B71" s="26" t="s">
        <v>211</v>
      </c>
      <c r="F71" s="82"/>
    </row>
    <row r="72" spans="1:20" ht="13.8" thickBot="1" x14ac:dyDescent="0.3">
      <c r="A72" s="85">
        <f t="shared" si="17"/>
        <v>66</v>
      </c>
      <c r="B72" s="93" t="s">
        <v>212</v>
      </c>
      <c r="C72" s="94"/>
      <c r="D72" s="95"/>
      <c r="E72" s="95"/>
      <c r="F72" s="96" t="s">
        <v>548</v>
      </c>
      <c r="G72" s="29"/>
      <c r="H72" s="29"/>
      <c r="I72" s="96" t="s">
        <v>549</v>
      </c>
      <c r="J72" s="29"/>
      <c r="K72" s="29"/>
      <c r="L72" s="96" t="s">
        <v>550</v>
      </c>
      <c r="M72" s="29"/>
      <c r="N72" s="29"/>
      <c r="O72" s="96" t="s">
        <v>267</v>
      </c>
      <c r="P72" s="29"/>
      <c r="Q72" s="29"/>
      <c r="R72" s="96" t="s">
        <v>268</v>
      </c>
      <c r="S72" s="29"/>
      <c r="T72" s="84"/>
    </row>
    <row r="73" spans="1:20" ht="13.8" thickBot="1" x14ac:dyDescent="0.3">
      <c r="A73" s="85">
        <f t="shared" si="17"/>
        <v>67</v>
      </c>
      <c r="B73" s="26" t="s">
        <v>541</v>
      </c>
      <c r="F73" s="82"/>
    </row>
    <row r="74" spans="1:20" ht="13.8" thickBot="1" x14ac:dyDescent="0.3">
      <c r="A74" s="85">
        <f t="shared" si="17"/>
        <v>68</v>
      </c>
      <c r="B74" s="27" t="s">
        <v>542</v>
      </c>
      <c r="C74" s="94"/>
      <c r="D74" s="95"/>
      <c r="E74" s="95"/>
      <c r="F74" s="96" t="s">
        <v>547</v>
      </c>
      <c r="G74" s="29"/>
      <c r="H74" s="29"/>
      <c r="I74" s="96" t="s">
        <v>547</v>
      </c>
      <c r="J74" s="29"/>
      <c r="K74" s="29"/>
      <c r="L74" s="96" t="s">
        <v>547</v>
      </c>
      <c r="M74" s="29"/>
      <c r="N74" s="29"/>
      <c r="O74" s="96" t="s">
        <v>267</v>
      </c>
      <c r="P74" s="29"/>
      <c r="Q74" s="29"/>
      <c r="R74" s="96" t="s">
        <v>268</v>
      </c>
      <c r="S74" s="29"/>
      <c r="T74" s="84"/>
    </row>
    <row r="75" spans="1:20" x14ac:dyDescent="0.25">
      <c r="A75" s="85"/>
      <c r="F75" s="82"/>
    </row>
    <row r="76" spans="1:20" x14ac:dyDescent="0.25">
      <c r="A76" s="85"/>
      <c r="F76" s="82"/>
    </row>
  </sheetData>
  <mergeCells count="2">
    <mergeCell ref="O7:Q7"/>
    <mergeCell ref="R7:T7"/>
  </mergeCells>
  <phoneticPr fontId="2" type="noConversion"/>
  <pageMargins left="0.5" right="0.5" top="0.5" bottom="0.25" header="0.25" footer="0.25"/>
  <pageSetup scale="58" fitToWidth="0" orientation="landscape" r:id="rId1"/>
  <headerFooter alignWithMargins="0">
    <oddHeader xml:space="preserve">&amp;RUG-181053 NWN Compliance Filing
Advice 19-07 / Work Paper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39997558519241921"/>
  </sheetPr>
  <dimension ref="A1:AD90"/>
  <sheetViews>
    <sheetView showGridLines="0" tabSelected="1" zoomScale="90" zoomScaleNormal="90" workbookViewId="0">
      <pane xSplit="3" ySplit="12" topLeftCell="Q13" activePane="bottomRight" state="frozen"/>
      <selection activeCell="W22" sqref="W22"/>
      <selection pane="topRight" activeCell="W22" sqref="W22"/>
      <selection pane="bottomLeft" activeCell="W22" sqref="W22"/>
      <selection pane="bottomRight" activeCell="W22" sqref="W22"/>
    </sheetView>
  </sheetViews>
  <sheetFormatPr defaultColWidth="9.33203125" defaultRowHeight="13.2" outlineLevelCol="1" x14ac:dyDescent="0.25"/>
  <cols>
    <col min="1" max="1" width="5.6640625" style="3" customWidth="1"/>
    <col min="2" max="2" width="14.88671875" style="2" customWidth="1"/>
    <col min="3" max="3" width="8.33203125" style="2" customWidth="1"/>
    <col min="4" max="4" width="16.44140625" style="40" bestFit="1" customWidth="1"/>
    <col min="5" max="5" width="13.33203125" style="40" bestFit="1" customWidth="1"/>
    <col min="6" max="6" width="16.6640625" style="40" bestFit="1" customWidth="1"/>
    <col min="7" max="7" width="19.44140625" style="40" bestFit="1" customWidth="1"/>
    <col min="8" max="8" width="11.109375" style="40" bestFit="1" customWidth="1"/>
    <col min="9" max="9" width="14.44140625" style="40" bestFit="1" customWidth="1"/>
    <col min="10" max="10" width="14" style="40" bestFit="1" customWidth="1"/>
    <col min="11" max="11" width="11.44140625" style="40" customWidth="1"/>
    <col min="12" max="12" width="19.88671875" style="40" bestFit="1" customWidth="1"/>
    <col min="13" max="13" width="29.44140625" style="40" customWidth="1"/>
    <col min="14" max="14" width="15.44140625" style="42" customWidth="1"/>
    <col min="15" max="15" width="16.109375" style="2" customWidth="1"/>
    <col min="16" max="16" width="12" style="92" customWidth="1"/>
    <col min="17" max="17" width="16.109375" style="42" customWidth="1"/>
    <col min="18" max="18" width="14" style="2" customWidth="1"/>
    <col min="19" max="19" width="15.109375" style="92" customWidth="1"/>
    <col min="20" max="20" width="16.88671875" style="42" customWidth="1"/>
    <col min="21" max="21" width="16.88671875" style="2" customWidth="1"/>
    <col min="22" max="22" width="16.88671875" style="92" customWidth="1"/>
    <col min="23" max="25" width="15.88671875" style="92" customWidth="1"/>
    <col min="26" max="26" width="15.88671875" style="42" hidden="1" customWidth="1" outlineLevel="1"/>
    <col min="27" max="27" width="15.88671875" style="2" hidden="1" customWidth="1" outlineLevel="1"/>
    <col min="28" max="28" width="2" style="92" hidden="1" customWidth="1" outlineLevel="1"/>
    <col min="29" max="29" width="9.33203125" style="3" collapsed="1"/>
    <col min="30" max="30" width="15.6640625" style="3" bestFit="1" customWidth="1"/>
    <col min="31" max="16384" width="9.33203125" style="3"/>
  </cols>
  <sheetData>
    <row r="1" spans="1:30" ht="13.8" x14ac:dyDescent="0.25">
      <c r="A1" s="1" t="str">
        <f>+'Washington volumes'!A1</f>
        <v>NW Natural</v>
      </c>
      <c r="N1" s="40"/>
      <c r="Q1" s="40"/>
      <c r="T1" s="40"/>
      <c r="Z1" s="40"/>
    </row>
    <row r="2" spans="1:30" ht="13.8" x14ac:dyDescent="0.25">
      <c r="A2" s="1" t="str">
        <f>+'Washington volumes'!A2</f>
        <v>Rates &amp; Regulatory Affairs</v>
      </c>
      <c r="N2" s="40"/>
      <c r="Q2" s="40"/>
      <c r="T2" s="40"/>
      <c r="Z2" s="40"/>
    </row>
    <row r="3" spans="1:30" ht="13.8" x14ac:dyDescent="0.25">
      <c r="A3" s="1" t="str">
        <f>+'Washington volumes'!A3</f>
        <v>2018-2019 PGA Filing - Washington: September Filing</v>
      </c>
      <c r="N3" s="34"/>
      <c r="Q3" s="40"/>
      <c r="T3" s="40"/>
      <c r="Z3" s="40"/>
    </row>
    <row r="4" spans="1:30" ht="13.8" x14ac:dyDescent="0.25">
      <c r="A4" s="1" t="s">
        <v>66</v>
      </c>
      <c r="N4" s="34"/>
      <c r="Q4" s="40"/>
      <c r="T4" s="40"/>
      <c r="Z4" s="40"/>
    </row>
    <row r="5" spans="1:30" x14ac:dyDescent="0.25">
      <c r="D5" s="2"/>
      <c r="E5" s="2"/>
      <c r="F5" s="2"/>
      <c r="G5" s="2"/>
      <c r="H5" s="2"/>
      <c r="I5" s="2"/>
      <c r="J5" s="2"/>
      <c r="K5" s="2"/>
      <c r="L5" s="2"/>
      <c r="M5" s="2"/>
      <c r="N5" s="2"/>
      <c r="Q5" s="2"/>
      <c r="T5" s="2"/>
      <c r="Z5" s="2"/>
    </row>
    <row r="6" spans="1:30" x14ac:dyDescent="0.25">
      <c r="A6" s="367"/>
      <c r="B6" s="368"/>
      <c r="C6" s="368"/>
      <c r="D6" s="368"/>
      <c r="E6" s="192"/>
      <c r="F6" s="2"/>
      <c r="G6" s="2"/>
      <c r="H6" s="41"/>
      <c r="I6" s="2"/>
      <c r="J6" s="41"/>
      <c r="K6" s="2"/>
      <c r="L6" s="2"/>
    </row>
    <row r="7" spans="1:30" ht="15" customHeight="1" thickBot="1" x14ac:dyDescent="0.3">
      <c r="A7" s="43">
        <v>1</v>
      </c>
      <c r="D7" s="33"/>
      <c r="E7" s="33" t="s">
        <v>28</v>
      </c>
      <c r="F7" s="33" t="s">
        <v>55</v>
      </c>
      <c r="G7" s="33" t="s">
        <v>76</v>
      </c>
      <c r="H7" s="5"/>
      <c r="I7" s="33"/>
      <c r="J7" s="5"/>
      <c r="K7" s="33"/>
      <c r="L7" s="33"/>
      <c r="M7" s="2"/>
      <c r="N7" s="44" t="str">
        <f>+Inputs!C42</f>
        <v>R&amp;C Energy Efficiency Programs</v>
      </c>
      <c r="O7" s="45"/>
      <c r="P7" s="701"/>
      <c r="Q7" s="44" t="str">
        <f>+Inputs!C46</f>
        <v>Low Income Bill Pay Assistance (GREAT)</v>
      </c>
      <c r="R7" s="45"/>
      <c r="S7" s="198"/>
      <c r="T7" s="725" t="str">
        <f>+Inputs!C44</f>
        <v>WA-LIEE</v>
      </c>
      <c r="U7" s="726"/>
      <c r="V7" s="727"/>
      <c r="W7" s="722" t="s">
        <v>624</v>
      </c>
      <c r="X7" s="723"/>
      <c r="Y7" s="724"/>
      <c r="Z7" s="44">
        <f>+Inputs!C53</f>
        <v>0</v>
      </c>
      <c r="AA7" s="45"/>
      <c r="AB7" s="198"/>
    </row>
    <row r="8" spans="1:30" ht="15" customHeight="1" thickBot="1" x14ac:dyDescent="0.3">
      <c r="A8" s="43">
        <f t="shared" ref="A8:A73" si="0">+A7+1</f>
        <v>2</v>
      </c>
      <c r="D8" s="33" t="s">
        <v>169</v>
      </c>
      <c r="E8" s="33" t="s">
        <v>72</v>
      </c>
      <c r="F8" s="33" t="s">
        <v>74</v>
      </c>
      <c r="G8" s="33" t="s">
        <v>56</v>
      </c>
      <c r="H8" s="5"/>
      <c r="I8" s="33"/>
      <c r="J8" s="5"/>
      <c r="K8" s="33"/>
      <c r="L8" s="33"/>
      <c r="M8" s="47" t="s">
        <v>54</v>
      </c>
      <c r="N8" s="641">
        <f>+Inputs!B42</f>
        <v>2297298</v>
      </c>
      <c r="O8" s="28" t="str">
        <f>+Inputs!C34</f>
        <v>Temporary Increments</v>
      </c>
      <c r="P8" s="674"/>
      <c r="Q8" s="641">
        <f>+Inputs!B46</f>
        <v>354242</v>
      </c>
      <c r="R8" s="28" t="str">
        <f>+Inputs!C34</f>
        <v>Temporary Increments</v>
      </c>
      <c r="S8" s="199"/>
      <c r="T8" s="641">
        <f>+Inputs!B44</f>
        <v>82997</v>
      </c>
      <c r="U8" s="28" t="str">
        <f>+Inputs!C34</f>
        <v>Temporary Increments</v>
      </c>
      <c r="V8" s="674"/>
      <c r="W8" s="688">
        <f>+Inputs!B48</f>
        <v>-55000</v>
      </c>
      <c r="X8" s="678" t="str">
        <f>+Inputs!F34</f>
        <v>Allocated to Rate Schedules</v>
      </c>
      <c r="Y8" s="679"/>
      <c r="Z8" s="48">
        <f>+Inputs!B53</f>
        <v>0</v>
      </c>
      <c r="AA8" s="28" t="str">
        <f>+Inputs!C51</f>
        <v>Permanent Increment</v>
      </c>
      <c r="AB8" s="199"/>
    </row>
    <row r="9" spans="1:30" ht="15" customHeight="1" thickBot="1" x14ac:dyDescent="0.3">
      <c r="A9" s="43">
        <f t="shared" si="0"/>
        <v>3</v>
      </c>
      <c r="D9" s="33" t="s">
        <v>71</v>
      </c>
      <c r="E9" s="33" t="s">
        <v>73</v>
      </c>
      <c r="F9" s="33" t="s">
        <v>73</v>
      </c>
      <c r="G9" s="33" t="s">
        <v>75</v>
      </c>
      <c r="H9" s="5" t="s">
        <v>52</v>
      </c>
      <c r="I9" s="33" t="s">
        <v>255</v>
      </c>
      <c r="J9" s="10" t="s">
        <v>236</v>
      </c>
      <c r="K9" s="33"/>
      <c r="L9" s="5" t="s">
        <v>59</v>
      </c>
      <c r="M9" s="47" t="s">
        <v>43</v>
      </c>
      <c r="N9" s="50">
        <f>+revsens</f>
        <v>4.3720000000000002E-2</v>
      </c>
      <c r="O9" s="51" t="s">
        <v>58</v>
      </c>
      <c r="P9" s="675"/>
      <c r="Q9" s="50">
        <f>+revsens</f>
        <v>4.3720000000000002E-2</v>
      </c>
      <c r="R9" s="51" t="s">
        <v>58</v>
      </c>
      <c r="S9" s="200"/>
      <c r="T9" s="50">
        <f>+revsens</f>
        <v>4.3720000000000002E-2</v>
      </c>
      <c r="U9" s="51" t="s">
        <v>58</v>
      </c>
      <c r="V9" s="675"/>
      <c r="W9" s="50">
        <f>+revsens</f>
        <v>4.3720000000000002E-2</v>
      </c>
      <c r="X9" s="51" t="s">
        <v>58</v>
      </c>
      <c r="Y9" s="675"/>
      <c r="Z9" s="50" t="s">
        <v>70</v>
      </c>
      <c r="AA9" s="51" t="s">
        <v>95</v>
      </c>
      <c r="AB9" s="200"/>
    </row>
    <row r="10" spans="1:30" s="8" customFormat="1" ht="15" customHeight="1" thickBot="1" x14ac:dyDescent="0.3">
      <c r="A10" s="43">
        <f t="shared" si="0"/>
        <v>4</v>
      </c>
      <c r="B10" s="2"/>
      <c r="C10" s="2"/>
      <c r="D10" s="52" t="s">
        <v>68</v>
      </c>
      <c r="E10" s="52" t="s">
        <v>69</v>
      </c>
      <c r="F10" s="52" t="s">
        <v>96</v>
      </c>
      <c r="G10" s="52" t="s">
        <v>69</v>
      </c>
      <c r="H10" s="101" t="s">
        <v>53</v>
      </c>
      <c r="I10" s="52" t="s">
        <v>57</v>
      </c>
      <c r="J10" s="101" t="s">
        <v>198</v>
      </c>
      <c r="K10" s="52" t="s">
        <v>202</v>
      </c>
      <c r="L10" s="101" t="s">
        <v>57</v>
      </c>
      <c r="M10" s="53" t="s">
        <v>44</v>
      </c>
      <c r="N10" s="54">
        <f>IF(N9&lt;&gt;"N/A",ROUND(+N8/(1-N9),0),N8)</f>
        <v>2402328</v>
      </c>
      <c r="O10" s="522" t="s">
        <v>551</v>
      </c>
      <c r="P10" s="676"/>
      <c r="Q10" s="54">
        <f>IF(Q9&lt;&gt;"N/A",ROUND(+Q8/(1-Q9),0),Q8)</f>
        <v>370438</v>
      </c>
      <c r="R10" s="55" t="str">
        <f>+Inputs!F46</f>
        <v>All sales</v>
      </c>
      <c r="S10" s="201"/>
      <c r="T10" s="54">
        <f>IF(T9&lt;&gt;"N/A",ROUND(+T8/(1-T9),0),T8)</f>
        <v>86792</v>
      </c>
      <c r="U10" s="55" t="str">
        <f>+Inputs!F44</f>
        <v>All sales</v>
      </c>
      <c r="V10" s="676"/>
      <c r="W10" s="54">
        <f>IF(W9&lt;&gt;"N/A",ROUND(+W8/(1-W9),0),W8)</f>
        <v>-57515</v>
      </c>
      <c r="X10" s="544" t="str">
        <f>+Inputs!F48</f>
        <v>All Customers</v>
      </c>
      <c r="Y10" s="676"/>
      <c r="Z10" s="54">
        <f>IF(Z9&lt;&gt;"N/A",ROUND(+Z8/(1-Z9),0),Z8)</f>
        <v>0</v>
      </c>
      <c r="AA10" s="55" t="s">
        <v>48</v>
      </c>
      <c r="AB10" s="201"/>
    </row>
    <row r="11" spans="1:30" s="8" customFormat="1" x14ac:dyDescent="0.25">
      <c r="A11" s="43">
        <f t="shared" si="0"/>
        <v>5</v>
      </c>
      <c r="B11" s="2"/>
      <c r="C11" s="2"/>
      <c r="D11" s="9"/>
      <c r="E11" s="9"/>
      <c r="F11" s="9"/>
      <c r="G11" s="9"/>
      <c r="H11" s="5" t="s">
        <v>94</v>
      </c>
      <c r="I11" s="9"/>
      <c r="J11" s="5"/>
      <c r="K11" s="9"/>
      <c r="L11" s="720" t="s">
        <v>329</v>
      </c>
      <c r="M11" s="57"/>
      <c r="N11" s="58" t="s">
        <v>41</v>
      </c>
      <c r="O11" s="43" t="s">
        <v>256</v>
      </c>
      <c r="P11" s="680" t="s">
        <v>42</v>
      </c>
      <c r="Q11" s="58" t="s">
        <v>41</v>
      </c>
      <c r="R11" s="43" t="s">
        <v>256</v>
      </c>
      <c r="S11" s="202" t="s">
        <v>42</v>
      </c>
      <c r="T11" s="666" t="s">
        <v>41</v>
      </c>
      <c r="U11" s="667" t="s">
        <v>256</v>
      </c>
      <c r="V11" s="668" t="s">
        <v>42</v>
      </c>
      <c r="W11" s="58" t="s">
        <v>41</v>
      </c>
      <c r="X11" s="43" t="s">
        <v>256</v>
      </c>
      <c r="Y11" s="680" t="s">
        <v>42</v>
      </c>
      <c r="Z11" s="58" t="s">
        <v>41</v>
      </c>
      <c r="AA11" s="43" t="s">
        <v>256</v>
      </c>
      <c r="AB11" s="202" t="s">
        <v>42</v>
      </c>
    </row>
    <row r="12" spans="1:30" s="8" customFormat="1" x14ac:dyDescent="0.25">
      <c r="A12" s="43">
        <f t="shared" si="0"/>
        <v>6</v>
      </c>
      <c r="B12" s="60" t="s">
        <v>2</v>
      </c>
      <c r="C12" s="11" t="s">
        <v>3</v>
      </c>
      <c r="D12" s="12" t="s">
        <v>77</v>
      </c>
      <c r="E12" s="379" t="s">
        <v>78</v>
      </c>
      <c r="F12" s="379" t="s">
        <v>16</v>
      </c>
      <c r="G12" s="379" t="s">
        <v>79</v>
      </c>
      <c r="H12" s="379" t="s">
        <v>80</v>
      </c>
      <c r="I12" s="379" t="s">
        <v>257</v>
      </c>
      <c r="J12" s="379" t="s">
        <v>82</v>
      </c>
      <c r="K12" s="12" t="s">
        <v>83</v>
      </c>
      <c r="L12" s="721"/>
      <c r="M12" s="61"/>
      <c r="N12" s="62" t="s">
        <v>85</v>
      </c>
      <c r="O12" s="12" t="s">
        <v>86</v>
      </c>
      <c r="P12" s="669" t="s">
        <v>87</v>
      </c>
      <c r="Q12" s="62" t="s">
        <v>88</v>
      </c>
      <c r="R12" s="12" t="s">
        <v>89</v>
      </c>
      <c r="S12" s="203" t="s">
        <v>90</v>
      </c>
      <c r="T12" s="62" t="s">
        <v>182</v>
      </c>
      <c r="U12" s="12" t="s">
        <v>331</v>
      </c>
      <c r="V12" s="669" t="s">
        <v>269</v>
      </c>
      <c r="W12" s="62" t="s">
        <v>537</v>
      </c>
      <c r="X12" s="12" t="s">
        <v>538</v>
      </c>
      <c r="Y12" s="669" t="s">
        <v>539</v>
      </c>
      <c r="Z12" s="62" t="s">
        <v>538</v>
      </c>
      <c r="AA12" s="12" t="s">
        <v>591</v>
      </c>
      <c r="AB12" s="203" t="s">
        <v>592</v>
      </c>
    </row>
    <row r="13" spans="1:30" x14ac:dyDescent="0.25">
      <c r="A13" s="43">
        <f t="shared" si="0"/>
        <v>7</v>
      </c>
      <c r="B13" s="16" t="s">
        <v>4</v>
      </c>
      <c r="C13" s="13"/>
      <c r="D13" s="64">
        <f>+'Washington volumes'!J13</f>
        <v>204474.1</v>
      </c>
      <c r="E13" s="586">
        <f>+'Rates in detail'!D13</f>
        <v>1.0934399999999997</v>
      </c>
      <c r="F13" s="586">
        <f>+'Rates in detail'!E13+'Rates in detail'!F13+'Rates in detail'!G13</f>
        <v>0.39195999999999998</v>
      </c>
      <c r="G13" s="586">
        <f>+Temporaries!D13</f>
        <v>1.6999999999999994E-2</v>
      </c>
      <c r="H13" s="586">
        <f>+E13-F13-G13</f>
        <v>0.68447999999999976</v>
      </c>
      <c r="I13" s="703">
        <f t="shared" ref="I13:I18" si="1">ROUND(H13*D13,0)</f>
        <v>139958</v>
      </c>
      <c r="J13" s="381">
        <f>+'Avg Bill by RS'!G13</f>
        <v>3.47</v>
      </c>
      <c r="K13" s="64">
        <f>+'Washington volumes'!L13</f>
        <v>875</v>
      </c>
      <c r="L13" s="704">
        <f t="shared" ref="L13:L18" si="2">ROUND(I13+(J13*K13*12),0)</f>
        <v>176393</v>
      </c>
      <c r="M13" s="65"/>
      <c r="N13" s="66">
        <v>1</v>
      </c>
      <c r="O13" s="684">
        <f t="shared" ref="O13:O19" si="3">ROUND(+$N$10*(($L13*N13)/N$69),0)</f>
        <v>11064</v>
      </c>
      <c r="P13" s="603">
        <f t="shared" ref="P13:P19" si="4">IF(O13&lt;&gt;0,ROUND((O13/$I13)*$H13,5),ROUND((N$10/$I$69)*$H13*N13,5))</f>
        <v>5.4109999999999998E-2</v>
      </c>
      <c r="Q13" s="66">
        <v>1</v>
      </c>
      <c r="R13" s="684">
        <f t="shared" ref="R13:R19" si="5">ROUND(+$Q$10*(($L13*Q13)/Q$69),0)</f>
        <v>1666</v>
      </c>
      <c r="S13" s="597">
        <f t="shared" ref="S13:S19" si="6">IF(R13&lt;&gt;0,ROUND((R13/$I13)*$H13,5),ROUND((Q$10/$I$69)*$H13*Q13,5))</f>
        <v>8.1499999999999993E-3</v>
      </c>
      <c r="T13" s="66">
        <v>1</v>
      </c>
      <c r="U13" s="684">
        <f t="shared" ref="U13:U19" si="7">ROUND(+$T$10*(($L13*T13)/T$69),0)</f>
        <v>390</v>
      </c>
      <c r="V13" s="603">
        <f t="shared" ref="V13:V19" si="8">IF(U13&lt;&gt;0,ROUND((U13/$I13)*$H13,5),ROUND((T$10/$I$69)*$H13*T13,5))</f>
        <v>1.91E-3</v>
      </c>
      <c r="W13" s="66">
        <v>1</v>
      </c>
      <c r="X13" s="684">
        <f t="shared" ref="X13:X19" si="9">ROUND(+$W$10*(($L13*W13)/W$69),0)</f>
        <v>-245</v>
      </c>
      <c r="Y13" s="67">
        <f t="shared" ref="Y13:Y19" si="10">IF(X13&lt;&gt;0,ROUND((X13/$I13)*$H13,5),ROUND((W$10/$I$69)*$H13*W13,5))</f>
        <v>-1.1999999999999999E-3</v>
      </c>
      <c r="Z13" s="66">
        <v>1</v>
      </c>
      <c r="AA13" s="64">
        <f t="shared" ref="AA13:AA19" si="11">ROUND(+$Z$10*(($L13*Z13)/Z$69),0)</f>
        <v>0</v>
      </c>
      <c r="AB13" s="597">
        <f t="shared" ref="AB13:AB19" si="12">IF(AA13&lt;&gt;0,ROUND((AA13/$I13)*$H13,5),ROUND((Z$10/$I$69)*$H13*Z13,5))</f>
        <v>0</v>
      </c>
      <c r="AD13" s="230"/>
    </row>
    <row r="14" spans="1:30" x14ac:dyDescent="0.25">
      <c r="A14" s="43">
        <f t="shared" si="0"/>
        <v>8</v>
      </c>
      <c r="B14" s="16" t="s">
        <v>5</v>
      </c>
      <c r="C14" s="13"/>
      <c r="D14" s="64">
        <f>+'Washington volumes'!J14</f>
        <v>38631.599999999999</v>
      </c>
      <c r="E14" s="587">
        <f>+'Rates in detail'!D14</f>
        <v>1.0842299999999996</v>
      </c>
      <c r="F14" s="587">
        <f>+'Rates in detail'!E14+'Rates in detail'!F14+'Rates in detail'!G14</f>
        <v>0.39195999999999998</v>
      </c>
      <c r="G14" s="587">
        <f>+Temporaries!D14</f>
        <v>8.199999999999992E-3</v>
      </c>
      <c r="H14" s="587">
        <f t="shared" ref="H14:H66" si="13">+E14-F14-G14</f>
        <v>0.68406999999999962</v>
      </c>
      <c r="I14" s="704">
        <f t="shared" si="1"/>
        <v>26427</v>
      </c>
      <c r="J14" s="371">
        <f>+'Avg Bill by RS'!G14</f>
        <v>3.47</v>
      </c>
      <c r="K14" s="64">
        <f>+'Washington volumes'!L14</f>
        <v>38</v>
      </c>
      <c r="L14" s="704">
        <f t="shared" si="2"/>
        <v>28009</v>
      </c>
      <c r="M14" s="65"/>
      <c r="N14" s="66">
        <v>1</v>
      </c>
      <c r="O14" s="684">
        <f t="shared" si="3"/>
        <v>1757</v>
      </c>
      <c r="P14" s="603">
        <f t="shared" si="4"/>
        <v>4.548E-2</v>
      </c>
      <c r="Q14" s="66">
        <v>1</v>
      </c>
      <c r="R14" s="684">
        <f t="shared" si="5"/>
        <v>265</v>
      </c>
      <c r="S14" s="597">
        <f t="shared" si="6"/>
        <v>6.8599999999999998E-3</v>
      </c>
      <c r="T14" s="66">
        <v>1</v>
      </c>
      <c r="U14" s="684">
        <f t="shared" si="7"/>
        <v>62</v>
      </c>
      <c r="V14" s="603">
        <f t="shared" si="8"/>
        <v>1.6000000000000001E-3</v>
      </c>
      <c r="W14" s="66">
        <v>1</v>
      </c>
      <c r="X14" s="684">
        <f t="shared" si="9"/>
        <v>-39</v>
      </c>
      <c r="Y14" s="67">
        <f t="shared" si="10"/>
        <v>-1.01E-3</v>
      </c>
      <c r="Z14" s="66">
        <v>1</v>
      </c>
      <c r="AA14" s="64">
        <f t="shared" si="11"/>
        <v>0</v>
      </c>
      <c r="AB14" s="597">
        <f t="shared" si="12"/>
        <v>0</v>
      </c>
      <c r="AD14" s="230"/>
    </row>
    <row r="15" spans="1:30" x14ac:dyDescent="0.25">
      <c r="A15" s="43">
        <f t="shared" si="0"/>
        <v>9</v>
      </c>
      <c r="B15" s="16" t="s">
        <v>14</v>
      </c>
      <c r="C15" s="13"/>
      <c r="D15" s="64">
        <f>+'Washington volumes'!J15</f>
        <v>51583577.799999997</v>
      </c>
      <c r="E15" s="587">
        <f>+'Rates in detail'!D15</f>
        <v>0.80223999999999973</v>
      </c>
      <c r="F15" s="587">
        <f>+'Rates in detail'!E15+'Rates in detail'!F15+'Rates in detail'!G15</f>
        <v>0.39195999999999998</v>
      </c>
      <c r="G15" s="587">
        <f>+Temporaries!D15</f>
        <v>-4.2599999999999999E-3</v>
      </c>
      <c r="H15" s="587">
        <f t="shared" si="13"/>
        <v>0.41453999999999974</v>
      </c>
      <c r="I15" s="704">
        <f t="shared" si="1"/>
        <v>21383456</v>
      </c>
      <c r="J15" s="371">
        <f>+'Avg Bill by RS'!G15</f>
        <v>7</v>
      </c>
      <c r="K15" s="64">
        <f>+'Washington volumes'!L15</f>
        <v>75145</v>
      </c>
      <c r="L15" s="704">
        <f t="shared" si="2"/>
        <v>27695636</v>
      </c>
      <c r="M15" s="65"/>
      <c r="N15" s="66">
        <v>1</v>
      </c>
      <c r="O15" s="684">
        <f t="shared" si="3"/>
        <v>1737215</v>
      </c>
      <c r="P15" s="603">
        <f t="shared" si="4"/>
        <v>3.3680000000000002E-2</v>
      </c>
      <c r="Q15" s="66">
        <v>1</v>
      </c>
      <c r="R15" s="684">
        <f t="shared" si="5"/>
        <v>261610</v>
      </c>
      <c r="S15" s="597">
        <f t="shared" si="6"/>
        <v>5.0699999999999999E-3</v>
      </c>
      <c r="T15" s="66">
        <v>1</v>
      </c>
      <c r="U15" s="684">
        <f t="shared" si="7"/>
        <v>61294</v>
      </c>
      <c r="V15" s="603">
        <f t="shared" si="8"/>
        <v>1.1900000000000001E-3</v>
      </c>
      <c r="W15" s="66">
        <v>1</v>
      </c>
      <c r="X15" s="684">
        <f t="shared" si="9"/>
        <v>-38546</v>
      </c>
      <c r="Y15" s="67">
        <f t="shared" si="10"/>
        <v>-7.5000000000000002E-4</v>
      </c>
      <c r="Z15" s="66">
        <v>1</v>
      </c>
      <c r="AA15" s="64">
        <f t="shared" si="11"/>
        <v>0</v>
      </c>
      <c r="AB15" s="597">
        <f t="shared" si="12"/>
        <v>0</v>
      </c>
      <c r="AD15" s="230"/>
    </row>
    <row r="16" spans="1:30" x14ac:dyDescent="0.25">
      <c r="A16" s="43">
        <f t="shared" si="0"/>
        <v>10</v>
      </c>
      <c r="B16" s="16" t="s">
        <v>12</v>
      </c>
      <c r="C16" s="13"/>
      <c r="D16" s="64">
        <f>+'Washington volumes'!J16</f>
        <v>17687989.300000001</v>
      </c>
      <c r="E16" s="587">
        <f>+'Rates in detail'!D16</f>
        <v>0.80187000000000019</v>
      </c>
      <c r="F16" s="587">
        <f>+'Rates in detail'!E16+'Rates in detail'!F16+'Rates in detail'!G16</f>
        <v>0.39195999999999998</v>
      </c>
      <c r="G16" s="587">
        <f>+Temporaries!D16</f>
        <v>-8.6700000000000041E-3</v>
      </c>
      <c r="H16" s="587">
        <f t="shared" si="13"/>
        <v>0.41858000000000023</v>
      </c>
      <c r="I16" s="704">
        <f t="shared" si="1"/>
        <v>7403839</v>
      </c>
      <c r="J16" s="371">
        <f>+'Avg Bill by RS'!G16</f>
        <v>15</v>
      </c>
      <c r="K16" s="64">
        <f>+'Washington volumes'!L16</f>
        <v>6038</v>
      </c>
      <c r="L16" s="704">
        <f t="shared" si="2"/>
        <v>8490679</v>
      </c>
      <c r="M16" s="65"/>
      <c r="N16" s="66">
        <v>1</v>
      </c>
      <c r="O16" s="684">
        <f t="shared" si="3"/>
        <v>532580</v>
      </c>
      <c r="P16" s="603">
        <f t="shared" si="4"/>
        <v>3.0110000000000001E-2</v>
      </c>
      <c r="Q16" s="66">
        <v>1</v>
      </c>
      <c r="R16" s="684">
        <f t="shared" si="5"/>
        <v>80202</v>
      </c>
      <c r="S16" s="597">
        <f t="shared" si="6"/>
        <v>4.5300000000000002E-3</v>
      </c>
      <c r="T16" s="66">
        <v>1</v>
      </c>
      <c r="U16" s="684">
        <f t="shared" si="7"/>
        <v>18791</v>
      </c>
      <c r="V16" s="603">
        <f t="shared" si="8"/>
        <v>1.06E-3</v>
      </c>
      <c r="W16" s="66">
        <v>1</v>
      </c>
      <c r="X16" s="684">
        <f t="shared" si="9"/>
        <v>-11817</v>
      </c>
      <c r="Y16" s="67">
        <f t="shared" si="10"/>
        <v>-6.7000000000000002E-4</v>
      </c>
      <c r="Z16" s="66">
        <v>1</v>
      </c>
      <c r="AA16" s="64">
        <f t="shared" si="11"/>
        <v>0</v>
      </c>
      <c r="AB16" s="597">
        <f t="shared" si="12"/>
        <v>0</v>
      </c>
      <c r="AD16" s="230"/>
    </row>
    <row r="17" spans="1:30" x14ac:dyDescent="0.25">
      <c r="A17" s="43">
        <f t="shared" si="0"/>
        <v>11</v>
      </c>
      <c r="B17" s="16" t="s">
        <v>13</v>
      </c>
      <c r="C17" s="13"/>
      <c r="D17" s="64">
        <f>+'Washington volumes'!J17</f>
        <v>479219</v>
      </c>
      <c r="E17" s="587">
        <f>+'Rates in detail'!D17</f>
        <v>0.77509999999999946</v>
      </c>
      <c r="F17" s="587">
        <f>+'Rates in detail'!E17+'Rates in detail'!F17+'Rates in detail'!G17</f>
        <v>0.39195999999999998</v>
      </c>
      <c r="G17" s="587">
        <f>+Temporaries!D17</f>
        <v>-3.5310000000000008E-2</v>
      </c>
      <c r="H17" s="587">
        <f t="shared" si="13"/>
        <v>0.41844999999999949</v>
      </c>
      <c r="I17" s="704">
        <f t="shared" si="1"/>
        <v>200529</v>
      </c>
      <c r="J17" s="371">
        <f>+'Avg Bill by RS'!G17</f>
        <v>15</v>
      </c>
      <c r="K17" s="64">
        <f>+'Washington volumes'!L17</f>
        <v>28</v>
      </c>
      <c r="L17" s="704">
        <f t="shared" si="2"/>
        <v>205569</v>
      </c>
      <c r="M17" s="65"/>
      <c r="N17" s="66">
        <v>0</v>
      </c>
      <c r="O17" s="684">
        <f t="shared" si="3"/>
        <v>0</v>
      </c>
      <c r="P17" s="603">
        <f t="shared" si="4"/>
        <v>0</v>
      </c>
      <c r="Q17" s="66">
        <v>1</v>
      </c>
      <c r="R17" s="684">
        <f t="shared" si="5"/>
        <v>1942</v>
      </c>
      <c r="S17" s="597">
        <f t="shared" si="6"/>
        <v>4.0499999999999998E-3</v>
      </c>
      <c r="T17" s="66">
        <v>1</v>
      </c>
      <c r="U17" s="684">
        <f t="shared" si="7"/>
        <v>455</v>
      </c>
      <c r="V17" s="603">
        <f t="shared" si="8"/>
        <v>9.5E-4</v>
      </c>
      <c r="W17" s="66">
        <v>1</v>
      </c>
      <c r="X17" s="684">
        <f t="shared" si="9"/>
        <v>-286</v>
      </c>
      <c r="Y17" s="67">
        <f t="shared" si="10"/>
        <v>-5.9999999999999995E-4</v>
      </c>
      <c r="Z17" s="66">
        <v>1</v>
      </c>
      <c r="AA17" s="64">
        <f t="shared" si="11"/>
        <v>0</v>
      </c>
      <c r="AB17" s="597">
        <f t="shared" si="12"/>
        <v>0</v>
      </c>
      <c r="AD17" s="230"/>
    </row>
    <row r="18" spans="1:30" x14ac:dyDescent="0.25">
      <c r="A18" s="43">
        <f t="shared" si="0"/>
        <v>12</v>
      </c>
      <c r="B18" s="74">
        <v>27</v>
      </c>
      <c r="C18" s="21"/>
      <c r="D18" s="64">
        <f>+'Washington volumes'!J18</f>
        <v>506106.9</v>
      </c>
      <c r="E18" s="587">
        <f>+'Rates in detail'!D18</f>
        <v>0.63078999999999985</v>
      </c>
      <c r="F18" s="587">
        <f>+'Rates in detail'!E18+'Rates in detail'!F18+'Rates in detail'!G18</f>
        <v>0.39195999999999998</v>
      </c>
      <c r="G18" s="587">
        <f>+Temporaries!D18</f>
        <v>-1.5370000000000005E-2</v>
      </c>
      <c r="H18" s="587">
        <f t="shared" si="13"/>
        <v>0.25419999999999987</v>
      </c>
      <c r="I18" s="704">
        <f t="shared" si="1"/>
        <v>128652</v>
      </c>
      <c r="J18" s="371">
        <f>+'Avg Bill by RS'!G18</f>
        <v>6</v>
      </c>
      <c r="K18" s="64">
        <f>+'Washington volumes'!L18</f>
        <v>745</v>
      </c>
      <c r="L18" s="704">
        <f t="shared" si="2"/>
        <v>182292</v>
      </c>
      <c r="M18" s="65"/>
      <c r="N18" s="66">
        <v>1</v>
      </c>
      <c r="O18" s="684">
        <f t="shared" si="3"/>
        <v>11434</v>
      </c>
      <c r="P18" s="603">
        <f t="shared" si="4"/>
        <v>2.2589999999999999E-2</v>
      </c>
      <c r="Q18" s="66">
        <v>1</v>
      </c>
      <c r="R18" s="684">
        <f t="shared" si="5"/>
        <v>1722</v>
      </c>
      <c r="S18" s="597">
        <f t="shared" si="6"/>
        <v>3.3999999999999998E-3</v>
      </c>
      <c r="T18" s="66">
        <v>1</v>
      </c>
      <c r="U18" s="684">
        <f t="shared" si="7"/>
        <v>403</v>
      </c>
      <c r="V18" s="603">
        <f t="shared" si="8"/>
        <v>8.0000000000000004E-4</v>
      </c>
      <c r="W18" s="66">
        <v>1</v>
      </c>
      <c r="X18" s="684">
        <f t="shared" si="9"/>
        <v>-254</v>
      </c>
      <c r="Y18" s="67">
        <f t="shared" si="10"/>
        <v>-5.0000000000000001E-4</v>
      </c>
      <c r="Z18" s="66">
        <v>1</v>
      </c>
      <c r="AA18" s="64">
        <f t="shared" si="11"/>
        <v>0</v>
      </c>
      <c r="AB18" s="597">
        <f t="shared" si="12"/>
        <v>0</v>
      </c>
      <c r="AD18" s="230"/>
    </row>
    <row r="19" spans="1:30" x14ac:dyDescent="0.25">
      <c r="A19" s="43">
        <f t="shared" si="0"/>
        <v>13</v>
      </c>
      <c r="B19" s="69" t="s">
        <v>365</v>
      </c>
      <c r="C19" s="18" t="s">
        <v>6</v>
      </c>
      <c r="D19" s="70">
        <f>+'Washington volumes'!J19</f>
        <v>1945640.9</v>
      </c>
      <c r="E19" s="588">
        <f>+'Rates in detail'!D19</f>
        <v>0.55691000000000024</v>
      </c>
      <c r="F19" s="588">
        <f>+'Rates in detail'!E19+'Rates in detail'!F19+'Rates in detail'!G19</f>
        <v>0.27038000000000001</v>
      </c>
      <c r="G19" s="588">
        <f>+Temporaries!D19</f>
        <v>-1.5110000000000005E-2</v>
      </c>
      <c r="H19" s="588">
        <f t="shared" si="13"/>
        <v>0.30164000000000024</v>
      </c>
      <c r="I19" s="705">
        <f>ROUND((+H19*D19)+(H20*D20),0)</f>
        <v>1097542</v>
      </c>
      <c r="J19" s="231">
        <f>+'Avg Bill by RS'!G19</f>
        <v>250</v>
      </c>
      <c r="K19" s="70">
        <f>+'Washington volumes'!L19</f>
        <v>86</v>
      </c>
      <c r="L19" s="705">
        <f>ROUND((+H19*D19)+(H20*D20)+(J19*K19*12),0)</f>
        <v>1355542</v>
      </c>
      <c r="M19" s="72"/>
      <c r="N19" s="71">
        <v>1</v>
      </c>
      <c r="O19" s="685">
        <f t="shared" si="3"/>
        <v>85027</v>
      </c>
      <c r="P19" s="670">
        <f t="shared" si="4"/>
        <v>2.3369999999999998E-2</v>
      </c>
      <c r="Q19" s="71">
        <v>1</v>
      </c>
      <c r="R19" s="685">
        <f t="shared" si="5"/>
        <v>12804</v>
      </c>
      <c r="S19" s="598">
        <f t="shared" si="6"/>
        <v>3.5200000000000001E-3</v>
      </c>
      <c r="T19" s="71">
        <v>1</v>
      </c>
      <c r="U19" s="685">
        <f t="shared" si="7"/>
        <v>3000</v>
      </c>
      <c r="V19" s="670">
        <f t="shared" si="8"/>
        <v>8.1999999999999998E-4</v>
      </c>
      <c r="W19" s="71">
        <v>1</v>
      </c>
      <c r="X19" s="685">
        <f t="shared" si="9"/>
        <v>-1887</v>
      </c>
      <c r="Y19" s="681">
        <f t="shared" si="10"/>
        <v>-5.1999999999999995E-4</v>
      </c>
      <c r="Z19" s="71">
        <v>1</v>
      </c>
      <c r="AA19" s="197">
        <f t="shared" si="11"/>
        <v>0</v>
      </c>
      <c r="AB19" s="598">
        <f t="shared" si="12"/>
        <v>0</v>
      </c>
      <c r="AD19" s="230"/>
    </row>
    <row r="20" spans="1:30" x14ac:dyDescent="0.25">
      <c r="A20" s="43">
        <f t="shared" si="0"/>
        <v>14</v>
      </c>
      <c r="B20" s="74"/>
      <c r="C20" s="22" t="s">
        <v>7</v>
      </c>
      <c r="D20" s="64">
        <f>+'Washington volumes'!J20</f>
        <v>1921286.1</v>
      </c>
      <c r="E20" s="587">
        <f>+'Rates in detail'!D20</f>
        <v>0.51810999999999996</v>
      </c>
      <c r="F20" s="587">
        <f>+'Rates in detail'!E20+'Rates in detail'!F20+'Rates in detail'!G20</f>
        <v>0.27038000000000001</v>
      </c>
      <c r="G20" s="587">
        <f>+Temporaries!D20</f>
        <v>-1.8060000000000003E-2</v>
      </c>
      <c r="H20" s="587">
        <f t="shared" si="13"/>
        <v>0.26578999999999997</v>
      </c>
      <c r="I20" s="704"/>
      <c r="J20" s="371"/>
      <c r="K20" s="64"/>
      <c r="L20" s="704"/>
      <c r="M20" s="65"/>
      <c r="N20" s="66">
        <v>1</v>
      </c>
      <c r="O20" s="684"/>
      <c r="P20" s="603">
        <f>IF(O19&lt;&gt;0,ROUND((O19/$I19)*$H20,5),ROUND((N$10/$I$69)*$H20*N20,5))</f>
        <v>2.0590000000000001E-2</v>
      </c>
      <c r="Q20" s="66">
        <v>1</v>
      </c>
      <c r="R20" s="684"/>
      <c r="S20" s="597">
        <f>IF(R19&lt;&gt;0,ROUND((R19/$I19)*$H20,5),ROUND((Q$10/$I$69)*$H20*Q20,5))</f>
        <v>3.0999999999999999E-3</v>
      </c>
      <c r="T20" s="66">
        <v>1</v>
      </c>
      <c r="U20" s="684"/>
      <c r="V20" s="603">
        <f>IF(U19&lt;&gt;0,ROUND((U19/$I19)*$H20,5),ROUND((T$10/$I$69)*$H20*T20,5))</f>
        <v>7.2999999999999996E-4</v>
      </c>
      <c r="W20" s="66">
        <v>1</v>
      </c>
      <c r="X20" s="684"/>
      <c r="Y20" s="67">
        <f>IF(X19&lt;&gt;0,ROUND((X19/$I19)*$H20,5),ROUND((W$10/$I$69)*$H20*W20,5))</f>
        <v>-4.6000000000000001E-4</v>
      </c>
      <c r="Z20" s="66">
        <v>1</v>
      </c>
      <c r="AA20" s="64"/>
      <c r="AB20" s="597">
        <f>IF(AA19&lt;&gt;0,ROUND((AA19/$I19)*$H20,5),ROUND((Z$10/$I$69)*$H20*Z20,5))</f>
        <v>0</v>
      </c>
      <c r="AD20" s="230"/>
    </row>
    <row r="21" spans="1:30" x14ac:dyDescent="0.25">
      <c r="A21" s="43">
        <f t="shared" si="0"/>
        <v>15</v>
      </c>
      <c r="B21" s="69" t="s">
        <v>366</v>
      </c>
      <c r="C21" s="18" t="s">
        <v>6</v>
      </c>
      <c r="D21" s="70">
        <f>+'Washington volumes'!J21</f>
        <v>0</v>
      </c>
      <c r="E21" s="588">
        <f>+'Rates in detail'!D21</f>
        <v>0.57863999999999993</v>
      </c>
      <c r="F21" s="588">
        <f>+'Rates in detail'!E21+'Rates in detail'!F21+'Rates in detail'!G21</f>
        <v>0.27038000000000001</v>
      </c>
      <c r="G21" s="588">
        <f>+Temporaries!D21</f>
        <v>6.8500000000000019E-3</v>
      </c>
      <c r="H21" s="588">
        <f>+E21-F21-G21</f>
        <v>0.3014099999999999</v>
      </c>
      <c r="I21" s="705">
        <f>ROUND((+H21*D21)+(H22*D22),0)</f>
        <v>0</v>
      </c>
      <c r="J21" s="231">
        <f>+'Avg Bill by RS'!G22</f>
        <v>250</v>
      </c>
      <c r="K21" s="70">
        <f>+'Washington volumes'!L21</f>
        <v>0</v>
      </c>
      <c r="L21" s="705">
        <f>ROUND((+H21*D21)+(H22*D22)+(J21*K21*12),0)</f>
        <v>0</v>
      </c>
      <c r="M21" s="72"/>
      <c r="N21" s="71">
        <v>1</v>
      </c>
      <c r="O21" s="685">
        <f>ROUND(+$N$10*(($L21*N21)/N$69),0)</f>
        <v>0</v>
      </c>
      <c r="P21" s="670">
        <f>IF(O21&lt;&gt;0,ROUND((O21/$I21)*$H21,5),ROUND((N$10/$I$69)*$H21*N21,5))</f>
        <v>2.2190000000000001E-2</v>
      </c>
      <c r="Q21" s="71">
        <v>1</v>
      </c>
      <c r="R21" s="685">
        <f>ROUND(+$Q$10*(($L21*Q21)/Q$69),0)</f>
        <v>0</v>
      </c>
      <c r="S21" s="598">
        <f>IF(R21&lt;&gt;0,ROUND((R21/$I21)*$H21,5),ROUND((Q$10/$I$69)*$H21*Q21,5))</f>
        <v>3.4199999999999999E-3</v>
      </c>
      <c r="T21" s="71">
        <v>1</v>
      </c>
      <c r="U21" s="685">
        <f>ROUND(+$T$10*(($L21*T21)/T$69),0)</f>
        <v>0</v>
      </c>
      <c r="V21" s="670">
        <f>IF(U21&lt;&gt;0,ROUND((U21/$I21)*$H21,5),ROUND((T$10/$I$69)*$H21*T21,5))</f>
        <v>8.0000000000000004E-4</v>
      </c>
      <c r="W21" s="71">
        <v>1</v>
      </c>
      <c r="X21" s="685">
        <f>ROUND(+$W$10*(($L21*W21)/W$69),0)</f>
        <v>0</v>
      </c>
      <c r="Y21" s="681">
        <f>IF(X21&lt;&gt;0,ROUND((X21/$I21)*$H21,5),ROUND((W$10/$I$69)*$H21*W21,5))</f>
        <v>-5.2999999999999998E-4</v>
      </c>
      <c r="Z21" s="71">
        <v>1</v>
      </c>
      <c r="AA21" s="197">
        <f>ROUND(+$Z$10*(($L21*Z21)/Z$69),0)</f>
        <v>0</v>
      </c>
      <c r="AB21" s="598">
        <f>IF(AA21&lt;&gt;0,ROUND((AA21/$I21)*$H21,5),ROUND((Z$10/$I$69)*$H21*Z21,5))</f>
        <v>0</v>
      </c>
      <c r="AD21" s="230"/>
    </row>
    <row r="22" spans="1:30" x14ac:dyDescent="0.25">
      <c r="A22" s="43">
        <f t="shared" si="0"/>
        <v>16</v>
      </c>
      <c r="B22" s="74"/>
      <c r="C22" s="22" t="s">
        <v>7</v>
      </c>
      <c r="D22" s="64">
        <f>+'Washington volumes'!J22</f>
        <v>0</v>
      </c>
      <c r="E22" s="587">
        <f>+'Rates in detail'!D22</f>
        <v>0.54000999999999988</v>
      </c>
      <c r="F22" s="587">
        <f>+'Rates in detail'!E22+'Rates in detail'!F22+'Rates in detail'!G22</f>
        <v>0.27038000000000001</v>
      </c>
      <c r="G22" s="587">
        <f>+Temporaries!D22</f>
        <v>4.0700000000000042E-3</v>
      </c>
      <c r="H22" s="587">
        <f>+E22-F22-G22</f>
        <v>0.26555999999999985</v>
      </c>
      <c r="I22" s="704"/>
      <c r="J22" s="371"/>
      <c r="K22" s="64"/>
      <c r="L22" s="704"/>
      <c r="M22" s="65"/>
      <c r="N22" s="66">
        <v>1</v>
      </c>
      <c r="O22" s="684"/>
      <c r="P22" s="603">
        <f>IF(O21&lt;&gt;0,ROUND((O21/$I21)*$H22,5),ROUND((N$10/$I$69)*$H22*N22,5))</f>
        <v>1.9550000000000001E-2</v>
      </c>
      <c r="Q22" s="66">
        <v>1</v>
      </c>
      <c r="R22" s="684"/>
      <c r="S22" s="597">
        <f>IF(R21&lt;&gt;0,ROUND((R21/$I21)*$H22,5),ROUND((Q$10/$I$69)*$H22*Q22,5))</f>
        <v>3.0100000000000001E-3</v>
      </c>
      <c r="T22" s="66">
        <v>1</v>
      </c>
      <c r="U22" s="684"/>
      <c r="V22" s="603">
        <f>IF(U21&lt;&gt;0,ROUND((U21/$I21)*$H22,5),ROUND((T$10/$I$69)*$H22*T22,5))</f>
        <v>7.1000000000000002E-4</v>
      </c>
      <c r="W22" s="66">
        <v>1</v>
      </c>
      <c r="X22" s="684"/>
      <c r="Y22" s="67">
        <f>IF(X21&lt;&gt;0,ROUND((X21/$I21)*$H22,5),ROUND((W$10/$I$69)*$H22*W22,5))</f>
        <v>-4.6999999999999999E-4</v>
      </c>
      <c r="Z22" s="66">
        <v>1</v>
      </c>
      <c r="AA22" s="64"/>
      <c r="AB22" s="597">
        <f>IF(AA21&lt;&gt;0,ROUND((AA21/$I21)*$H22,5),ROUND((Z$10/$I$69)*$H22*Z22,5))</f>
        <v>0</v>
      </c>
      <c r="AD22" s="230"/>
    </row>
    <row r="23" spans="1:30" x14ac:dyDescent="0.25">
      <c r="A23" s="43">
        <f t="shared" si="0"/>
        <v>17</v>
      </c>
      <c r="B23" s="69" t="s">
        <v>161</v>
      </c>
      <c r="C23" s="18" t="s">
        <v>6</v>
      </c>
      <c r="D23" s="70">
        <f>+'Washington volumes'!J23</f>
        <v>374507</v>
      </c>
      <c r="E23" s="588">
        <f>+'Rates in detail'!D23</f>
        <v>0.30076999999999998</v>
      </c>
      <c r="F23" s="588">
        <f>+'Rates in detail'!E23+'Rates in detail'!F23+'Rates in detail'!G23</f>
        <v>0</v>
      </c>
      <c r="G23" s="588">
        <f>+Temporaries!D23</f>
        <v>0</v>
      </c>
      <c r="H23" s="588">
        <f t="shared" si="13"/>
        <v>0.30076999999999998</v>
      </c>
      <c r="I23" s="705">
        <f>ROUND((+H23*D23)+(H24*D24),0)</f>
        <v>267788</v>
      </c>
      <c r="J23" s="231">
        <f>+'Avg Bill by RS'!G25</f>
        <v>500</v>
      </c>
      <c r="K23" s="70">
        <f>+'Washington volumes'!L23</f>
        <v>17</v>
      </c>
      <c r="L23" s="707">
        <f>ROUND((+H23*D23)+(H24*D24)+(J23*K23*12),0)</f>
        <v>369788</v>
      </c>
      <c r="M23" s="72"/>
      <c r="N23" s="71">
        <v>0</v>
      </c>
      <c r="O23" s="685">
        <f>ROUND(+$N$10*(($L23*N23)/N$69),0)</f>
        <v>0</v>
      </c>
      <c r="P23" s="670">
        <f>IF(O23&lt;&gt;0,ROUND((O23/$I23)*$H23,5),ROUND((N$10/$I$69)*$H23*N23,5))</f>
        <v>0</v>
      </c>
      <c r="Q23" s="71">
        <v>0</v>
      </c>
      <c r="R23" s="685">
        <f>ROUND(+$Q$10*(($L23*Q23)/Q$69),0)</f>
        <v>0</v>
      </c>
      <c r="S23" s="598">
        <f>IF(R23&lt;&gt;0,ROUND((R23/$I23)*$H23,5),ROUND((Q$10/$I$69)*$H23*Q23,5))</f>
        <v>0</v>
      </c>
      <c r="T23" s="71">
        <v>0</v>
      </c>
      <c r="U23" s="685">
        <f>ROUND(+$T$10*(($L23*T23)/T$69),0)</f>
        <v>0</v>
      </c>
      <c r="V23" s="670">
        <f>IF(U23&lt;&gt;0,ROUND((U23/$I23)*$H23,5),ROUND((T$10/$I$69)*$H23*T23,5))</f>
        <v>0</v>
      </c>
      <c r="W23" s="71">
        <v>1</v>
      </c>
      <c r="X23" s="685">
        <f>ROUND(+$W$10*(($L23*W23)/W$69),0)</f>
        <v>-515</v>
      </c>
      <c r="Y23" s="681">
        <f>IF(X23&lt;&gt;0,ROUND((X23/$I23)*$H23,5),ROUND((W$10/$I$69)*$H23*W23,5))</f>
        <v>-5.8E-4</v>
      </c>
      <c r="Z23" s="71">
        <v>0</v>
      </c>
      <c r="AA23" s="197">
        <f>ROUND(+$Z$10*(($L23*Z23)/Z$69),0)</f>
        <v>0</v>
      </c>
      <c r="AB23" s="598">
        <f>IF(AA23&lt;&gt;0,ROUND((AA23/$I23)*$H23,5),ROUND((Z$10/$I$69)*$H23*Z23,5))</f>
        <v>0</v>
      </c>
      <c r="AD23" s="230"/>
    </row>
    <row r="24" spans="1:30" x14ac:dyDescent="0.25">
      <c r="A24" s="43">
        <f t="shared" si="0"/>
        <v>18</v>
      </c>
      <c r="B24" s="74"/>
      <c r="C24" s="22" t="s">
        <v>7</v>
      </c>
      <c r="D24" s="64">
        <f>+'Washington volumes'!J24</f>
        <v>585464</v>
      </c>
      <c r="E24" s="587">
        <f>+'Rates in detail'!D24</f>
        <v>0.26500000000000001</v>
      </c>
      <c r="F24" s="587">
        <f>+'Rates in detail'!E24+'Rates in detail'!F24+'Rates in detail'!G24</f>
        <v>0</v>
      </c>
      <c r="G24" s="587">
        <f>+Temporaries!D24</f>
        <v>0</v>
      </c>
      <c r="H24" s="587">
        <f t="shared" si="13"/>
        <v>0.26500000000000001</v>
      </c>
      <c r="I24" s="704"/>
      <c r="J24" s="371"/>
      <c r="K24" s="64"/>
      <c r="L24" s="704"/>
      <c r="M24" s="65"/>
      <c r="N24" s="66">
        <v>0</v>
      </c>
      <c r="O24" s="684"/>
      <c r="P24" s="603">
        <f>IF(O23&lt;&gt;0,ROUND((O23/$I23)*$H24,5),ROUND((N$10/$I$69)*$H24*N24,5))</f>
        <v>0</v>
      </c>
      <c r="Q24" s="66">
        <v>0</v>
      </c>
      <c r="R24" s="684"/>
      <c r="S24" s="597">
        <f>IF(R23&lt;&gt;0,ROUND((R23/$I23)*$H24,5),ROUND((Q$10/$I$69)*$H24*Q24,5))</f>
        <v>0</v>
      </c>
      <c r="T24" s="66">
        <v>0</v>
      </c>
      <c r="U24" s="684"/>
      <c r="V24" s="603">
        <f>IF(U23&lt;&gt;0,ROUND((U23/$I23)*$H24,5),ROUND((T$10/$I$69)*$H24*T24,5))</f>
        <v>0</v>
      </c>
      <c r="W24" s="66">
        <v>1</v>
      </c>
      <c r="X24" s="684"/>
      <c r="Y24" s="67">
        <f>IF(X23&lt;&gt;0,ROUND((X23/$I23)*$H24,5),ROUND((W$10/$I$69)*$H24*W24,5))</f>
        <v>-5.1000000000000004E-4</v>
      </c>
      <c r="Z24" s="66">
        <v>0</v>
      </c>
      <c r="AA24" s="64"/>
      <c r="AB24" s="597">
        <f>IF(AA23&lt;&gt;0,ROUND((AA23/$I23)*$H24,5),ROUND((Z$10/$I$69)*$H24*Z24,5))</f>
        <v>0</v>
      </c>
      <c r="AD24" s="230"/>
    </row>
    <row r="25" spans="1:30" x14ac:dyDescent="0.25">
      <c r="A25" s="43">
        <f t="shared" si="0"/>
        <v>19</v>
      </c>
      <c r="B25" s="69" t="s">
        <v>367</v>
      </c>
      <c r="C25" s="18" t="s">
        <v>6</v>
      </c>
      <c r="D25" s="70">
        <f>+'Washington volumes'!J25</f>
        <v>319582</v>
      </c>
      <c r="E25" s="588">
        <f>+'Rates in detail'!D25</f>
        <v>0.53626000000000018</v>
      </c>
      <c r="F25" s="588">
        <f>+'Rates in detail'!E25+'Rates in detail'!F25+'Rates in detail'!G25</f>
        <v>0.27038000000000001</v>
      </c>
      <c r="G25" s="588">
        <f>+Temporaries!D25</f>
        <v>-3.5800000000000005E-2</v>
      </c>
      <c r="H25" s="588">
        <f>+E25-F25-G25</f>
        <v>0.30168000000000017</v>
      </c>
      <c r="I25" s="705">
        <f>ROUND((+H25*D25)+(H26*D26),0)</f>
        <v>193680</v>
      </c>
      <c r="J25" s="231">
        <f>+'Avg Bill by RS'!G28</f>
        <v>250</v>
      </c>
      <c r="K25" s="70">
        <f>+'Washington volumes'!L25</f>
        <v>15</v>
      </c>
      <c r="L25" s="705">
        <f>ROUND((+H25*D25)+(H26*D26)+(J25*K25*12),0)</f>
        <v>238680</v>
      </c>
      <c r="M25" s="72"/>
      <c r="N25" s="71">
        <v>0</v>
      </c>
      <c r="O25" s="685">
        <f>ROUND(+$N$10*(($L25*N25)/N$69),0)</f>
        <v>0</v>
      </c>
      <c r="P25" s="670">
        <f>IF(O25&lt;&gt;0,ROUND((O25/$I25)*$H25,5),ROUND((N$10/$I$69)*$H25*N25,5))</f>
        <v>0</v>
      </c>
      <c r="Q25" s="71">
        <v>1</v>
      </c>
      <c r="R25" s="685">
        <f>ROUND(+$Q$10*(($L25*Q25)/Q$69),0)</f>
        <v>2255</v>
      </c>
      <c r="S25" s="598">
        <f>IF(R25&lt;&gt;0,ROUND((R25/$I25)*$H25,5),ROUND((Q$10/$I$69)*$H25*Q25,5))</f>
        <v>3.5100000000000001E-3</v>
      </c>
      <c r="T25" s="71">
        <v>1</v>
      </c>
      <c r="U25" s="685">
        <f>ROUND(+$T$10*(($L25*T25)/T$69),0)</f>
        <v>528</v>
      </c>
      <c r="V25" s="670">
        <f>IF(U25&lt;&gt;0,ROUND((U25/$I25)*$H25,5),ROUND((T$10/$I$69)*$H25*T25,5))</f>
        <v>8.1999999999999998E-4</v>
      </c>
      <c r="W25" s="71">
        <v>1</v>
      </c>
      <c r="X25" s="685">
        <f>ROUND(+$W$10*(($L25*W25)/W$69),0)</f>
        <v>-332</v>
      </c>
      <c r="Y25" s="681">
        <f>IF(X25&lt;&gt;0,ROUND((X25/$I25)*$H25,5),ROUND((W$10/$I$69)*$H25*W25,5))</f>
        <v>-5.1999999999999995E-4</v>
      </c>
      <c r="Z25" s="71">
        <v>1</v>
      </c>
      <c r="AA25" s="197">
        <f>ROUND(+$Z$10*(($L25*Z25)/Z$69),0)</f>
        <v>0</v>
      </c>
      <c r="AB25" s="598">
        <f>IF(AA25&lt;&gt;0,ROUND((AA25/$I25)*$H25,5),ROUND((Z$10/$I$69)*$H25*Z25,5))</f>
        <v>0</v>
      </c>
      <c r="AD25" s="230"/>
    </row>
    <row r="26" spans="1:30" x14ac:dyDescent="0.25">
      <c r="A26" s="43">
        <f t="shared" si="0"/>
        <v>20</v>
      </c>
      <c r="B26" s="74"/>
      <c r="C26" s="22" t="s">
        <v>7</v>
      </c>
      <c r="D26" s="64">
        <f>+'Washington volumes'!J26</f>
        <v>365920</v>
      </c>
      <c r="E26" s="587">
        <f>+'Rates in detail'!D26</f>
        <v>0.49990999999999991</v>
      </c>
      <c r="F26" s="587">
        <f>+'Rates in detail'!E26+'Rates in detail'!F26+'Rates in detail'!G26</f>
        <v>0.27038000000000001</v>
      </c>
      <c r="G26" s="587">
        <f>+Temporaries!D26</f>
        <v>-3.6290000000000003E-2</v>
      </c>
      <c r="H26" s="587">
        <f>+E26-F26-G26</f>
        <v>0.26581999999999989</v>
      </c>
      <c r="I26" s="704"/>
      <c r="J26" s="371"/>
      <c r="K26" s="64"/>
      <c r="L26" s="704"/>
      <c r="M26" s="65"/>
      <c r="N26" s="66">
        <v>0</v>
      </c>
      <c r="O26" s="684"/>
      <c r="P26" s="603">
        <f>IF(O25&lt;&gt;0,ROUND((O25/$I25)*$H26,5),ROUND((N$10/$I$69)*$H26*N26,5))</f>
        <v>0</v>
      </c>
      <c r="Q26" s="66">
        <v>1</v>
      </c>
      <c r="R26" s="684"/>
      <c r="S26" s="597">
        <f>IF(R25&lt;&gt;0,ROUND((R25/$I25)*$H26,5),ROUND((Q$10/$I$69)*$H26*Q26,5))</f>
        <v>3.0899999999999999E-3</v>
      </c>
      <c r="T26" s="66">
        <v>1</v>
      </c>
      <c r="U26" s="684"/>
      <c r="V26" s="603">
        <f>IF(U25&lt;&gt;0,ROUND((U25/$I25)*$H26,5),ROUND((T$10/$I$69)*$H26*T26,5))</f>
        <v>7.2000000000000005E-4</v>
      </c>
      <c r="W26" s="66">
        <v>1</v>
      </c>
      <c r="X26" s="684"/>
      <c r="Y26" s="67">
        <f>IF(X25&lt;&gt;0,ROUND((X25/$I25)*$H26,5),ROUND((W$10/$I$69)*$H26*W26,5))</f>
        <v>-4.6000000000000001E-4</v>
      </c>
      <c r="Z26" s="66">
        <v>1</v>
      </c>
      <c r="AA26" s="64"/>
      <c r="AB26" s="597">
        <f>IF(AA25&lt;&gt;0,ROUND((AA25/$I25)*$H26,5),ROUND((Z$10/$I$69)*$H26*Z26,5))</f>
        <v>0</v>
      </c>
      <c r="AD26" s="230"/>
    </row>
    <row r="27" spans="1:30" x14ac:dyDescent="0.25">
      <c r="A27" s="43">
        <f t="shared" si="0"/>
        <v>21</v>
      </c>
      <c r="B27" s="69" t="s">
        <v>368</v>
      </c>
      <c r="C27" s="18" t="s">
        <v>6</v>
      </c>
      <c r="D27" s="70">
        <f>+'Washington volumes'!J27</f>
        <v>0</v>
      </c>
      <c r="E27" s="588">
        <f>+'Rates in detail'!D27</f>
        <v>0.55922000000000005</v>
      </c>
      <c r="F27" s="588">
        <f>+'Rates in detail'!E27+'Rates in detail'!F27+'Rates in detail'!G27</f>
        <v>0.27038000000000001</v>
      </c>
      <c r="G27" s="588">
        <f>+Temporaries!D27</f>
        <v>-1.2569999999999998E-2</v>
      </c>
      <c r="H27" s="588">
        <f t="shared" si="13"/>
        <v>0.30141000000000007</v>
      </c>
      <c r="I27" s="705">
        <f>ROUND((+H27*D27)+(H28*D28),0)</f>
        <v>0</v>
      </c>
      <c r="J27" s="231">
        <f>+'Avg Bill by RS'!G31</f>
        <v>250</v>
      </c>
      <c r="K27" s="70">
        <f>+'Washington volumes'!L27</f>
        <v>0</v>
      </c>
      <c r="L27" s="707">
        <f>ROUND((+H27*D27)+(H28*D28)+(J27*K27*12),0)</f>
        <v>0</v>
      </c>
      <c r="M27" s="72"/>
      <c r="N27" s="71">
        <v>0</v>
      </c>
      <c r="O27" s="685">
        <f>ROUND(+$N$10*(($L27*N27)/N$69),0)</f>
        <v>0</v>
      </c>
      <c r="P27" s="670">
        <f>IF(O27&lt;&gt;0,ROUND((O27/$I27)*$H27,5),ROUND((N$10/$I$69)*$H27*N27,5))</f>
        <v>0</v>
      </c>
      <c r="Q27" s="71">
        <v>1</v>
      </c>
      <c r="R27" s="685">
        <f>ROUND(+$Q$10*(($L27*Q27)/Q$69),0)</f>
        <v>0</v>
      </c>
      <c r="S27" s="598">
        <f>IF(R27&lt;&gt;0,ROUND((R27/$I27)*$H27,5),ROUND((Q$10/$I$69)*$H27*Q27,5))</f>
        <v>3.4199999999999999E-3</v>
      </c>
      <c r="T27" s="71">
        <v>1</v>
      </c>
      <c r="U27" s="685">
        <f>ROUND(+$T$10*(($L27*T27)/T$69),0)</f>
        <v>0</v>
      </c>
      <c r="V27" s="670">
        <f>IF(U27&lt;&gt;0,ROUND((U27/$I27)*$H27,5),ROUND((T$10/$I$69)*$H27*T27,5))</f>
        <v>8.0000000000000004E-4</v>
      </c>
      <c r="W27" s="71">
        <v>1</v>
      </c>
      <c r="X27" s="685">
        <f>ROUND(+$W$10*(($L27*W27)/W$69),0)</f>
        <v>0</v>
      </c>
      <c r="Y27" s="681">
        <f>IF(X27&lt;&gt;0,ROUND((X27/$I27)*$H27,5),ROUND((W$10/$I$69)*$H27*W27,5))</f>
        <v>-5.2999999999999998E-4</v>
      </c>
      <c r="Z27" s="71">
        <v>1</v>
      </c>
      <c r="AA27" s="197">
        <f>ROUND(+$Z$10*(($L27*Z27)/Z$69),0)</f>
        <v>0</v>
      </c>
      <c r="AB27" s="598">
        <f>IF(AA27&lt;&gt;0,ROUND((AA27/$I27)*$H27,5),ROUND((Z$10/$I$69)*$H27*Z27,5))</f>
        <v>0</v>
      </c>
      <c r="AD27" s="230"/>
    </row>
    <row r="28" spans="1:30" x14ac:dyDescent="0.25">
      <c r="A28" s="43">
        <f t="shared" si="0"/>
        <v>22</v>
      </c>
      <c r="B28" s="74"/>
      <c r="C28" s="22" t="s">
        <v>7</v>
      </c>
      <c r="D28" s="64">
        <f>+'Washington volumes'!J28</f>
        <v>0</v>
      </c>
      <c r="E28" s="587">
        <f>+'Rates in detail'!D28</f>
        <v>0.52289999999999992</v>
      </c>
      <c r="F28" s="587">
        <f>+'Rates in detail'!E28+'Rates in detail'!F28+'Rates in detail'!G28</f>
        <v>0.27038000000000001</v>
      </c>
      <c r="G28" s="587">
        <f>+Temporaries!D28</f>
        <v>-1.3039999999999998E-2</v>
      </c>
      <c r="H28" s="587">
        <f t="shared" si="13"/>
        <v>0.26555999999999991</v>
      </c>
      <c r="I28" s="704"/>
      <c r="J28" s="371"/>
      <c r="K28" s="64"/>
      <c r="L28" s="704"/>
      <c r="M28" s="65"/>
      <c r="N28" s="66">
        <v>0</v>
      </c>
      <c r="O28" s="684"/>
      <c r="P28" s="603">
        <f>IF(O27&lt;&gt;0,ROUND((O27/$I27)*$H28,5),ROUND((N$10/$I$69)*$H28*N28,5))</f>
        <v>0</v>
      </c>
      <c r="Q28" s="66">
        <v>1</v>
      </c>
      <c r="R28" s="684"/>
      <c r="S28" s="597">
        <f>IF(R27&lt;&gt;0,ROUND((R27/$I27)*$H28,5),ROUND((Q$10/$I$69)*$H28*Q28,5))</f>
        <v>3.0100000000000001E-3</v>
      </c>
      <c r="T28" s="66">
        <v>1</v>
      </c>
      <c r="U28" s="684"/>
      <c r="V28" s="603">
        <f>IF(U27&lt;&gt;0,ROUND((U27/$I27)*$H28,5),ROUND((T$10/$I$69)*$H28*T28,5))</f>
        <v>7.1000000000000002E-4</v>
      </c>
      <c r="W28" s="66">
        <v>1</v>
      </c>
      <c r="X28" s="684"/>
      <c r="Y28" s="67">
        <f>IF(X27&lt;&gt;0,ROUND((X27/$I27)*$H28,5),ROUND((W$10/$I$69)*$H28*W28,5))</f>
        <v>-4.6999999999999999E-4</v>
      </c>
      <c r="Z28" s="66">
        <v>1</v>
      </c>
      <c r="AA28" s="64"/>
      <c r="AB28" s="597">
        <f>IF(AA27&lt;&gt;0,ROUND((AA27/$I27)*$H28,5),ROUND((Z$10/$I$69)*$H28*Z28,5))</f>
        <v>0</v>
      </c>
      <c r="AD28" s="230"/>
    </row>
    <row r="29" spans="1:30" x14ac:dyDescent="0.25">
      <c r="A29" s="43">
        <f t="shared" si="0"/>
        <v>23</v>
      </c>
      <c r="B29" s="69" t="s">
        <v>163</v>
      </c>
      <c r="C29" s="18" t="s">
        <v>6</v>
      </c>
      <c r="D29" s="70">
        <f>+'Washington volumes'!J29</f>
        <v>572161.5</v>
      </c>
      <c r="E29" s="588">
        <f>+'Rates in detail'!D29</f>
        <v>0.36596999999999991</v>
      </c>
      <c r="F29" s="588">
        <f>+'Rates in detail'!E29+'Rates in detail'!F29+'Rates in detail'!G29</f>
        <v>0.27038000000000001</v>
      </c>
      <c r="G29" s="588">
        <f>+Temporaries!D29</f>
        <v>-2.3180000000000006E-2</v>
      </c>
      <c r="H29" s="588">
        <f t="shared" si="13"/>
        <v>0.1187699999999999</v>
      </c>
      <c r="I29" s="705">
        <f>ROUND((+H29*D29)+(H30*D30)+(H31*D31)+(H32*D32)+(H33*D33)+(H34*D34),0)</f>
        <v>125411</v>
      </c>
      <c r="J29" s="231">
        <f>+'Avg Bill by RS'!G34</f>
        <v>1300</v>
      </c>
      <c r="K29" s="70">
        <f>+'Washington volumes'!L29</f>
        <v>6</v>
      </c>
      <c r="L29" s="705">
        <f>ROUND((+H29*D29)+(H30*D30)+(H31*D31)+(H32*D32)+(H33*D33)+(H34*D34)+(J29*K29*12),0)</f>
        <v>219011</v>
      </c>
      <c r="M29" s="72"/>
      <c r="N29" s="71">
        <v>1</v>
      </c>
      <c r="O29" s="686">
        <f>ROUND(+$N$10*(($L29*N29)/N$69),0)</f>
        <v>13738</v>
      </c>
      <c r="P29" s="671">
        <f>IF(O29&lt;&gt;0,ROUND((O29/$I29)*$H29,5),ROUND((N$10/$I$69)*$H29*N29,5))</f>
        <v>1.3010000000000001E-2</v>
      </c>
      <c r="Q29" s="71">
        <v>1</v>
      </c>
      <c r="R29" s="686">
        <f>ROUND(+$Q$10*(($L29*Q29)/Q$69),0)</f>
        <v>2069</v>
      </c>
      <c r="S29" s="599">
        <f>IF(R29&lt;&gt;0,ROUND((R29/$I29)*$H29,5),ROUND((Q$10/$I$69)*$H29*Q29,5))</f>
        <v>1.9599999999999999E-3</v>
      </c>
      <c r="T29" s="71">
        <v>1</v>
      </c>
      <c r="U29" s="686">
        <f>ROUND(+$T$10*(($L29*T29)/T$69),0)</f>
        <v>485</v>
      </c>
      <c r="V29" s="671">
        <f>IF(U29&lt;&gt;0,ROUND((U29/$I29)*$H29,5),ROUND((T$10/$I$69)*$H29*T29,5))</f>
        <v>4.6000000000000001E-4</v>
      </c>
      <c r="W29" s="71">
        <v>1</v>
      </c>
      <c r="X29" s="686">
        <f>ROUND(+$W$10*(($L29*W29)/W$69),0)</f>
        <v>-305</v>
      </c>
      <c r="Y29" s="682">
        <f>IF(X29&lt;&gt;0,ROUND((X29/$I29)*$H29,5),ROUND((W$10/$I$69)*$H29*W29,5))</f>
        <v>-2.9E-4</v>
      </c>
      <c r="Z29" s="71">
        <v>1</v>
      </c>
      <c r="AA29" s="196">
        <f>ROUND(+$Z$10*(($L29*Z29)/Z$69),0)</f>
        <v>0</v>
      </c>
      <c r="AB29" s="599">
        <f>IF(AA29&lt;&gt;0,ROUND((AA29/$I29)*$H29,5),ROUND((Z$10/$I$69)*$H29*Z29,5))</f>
        <v>0</v>
      </c>
      <c r="AD29" s="230"/>
    </row>
    <row r="30" spans="1:30" x14ac:dyDescent="0.25">
      <c r="A30" s="43">
        <f t="shared" si="0"/>
        <v>24</v>
      </c>
      <c r="B30" s="69"/>
      <c r="C30" s="18" t="s">
        <v>7</v>
      </c>
      <c r="D30" s="70">
        <f>+'Washington volumes'!J30</f>
        <v>452309.5</v>
      </c>
      <c r="E30" s="588">
        <f>+'Rates in detail'!D30</f>
        <v>0.3517599999999998</v>
      </c>
      <c r="F30" s="588">
        <f>+'Rates in detail'!E30+'Rates in detail'!F30+'Rates in detail'!G30</f>
        <v>0.27038000000000001</v>
      </c>
      <c r="G30" s="588">
        <f>+Temporaries!D30</f>
        <v>-2.4940000000000004E-2</v>
      </c>
      <c r="H30" s="588">
        <f t="shared" si="13"/>
        <v>0.10631999999999979</v>
      </c>
      <c r="I30" s="706"/>
      <c r="J30" s="231"/>
      <c r="K30" s="70"/>
      <c r="L30" s="706"/>
      <c r="M30" s="72"/>
      <c r="N30" s="71">
        <v>1</v>
      </c>
      <c r="O30" s="687"/>
      <c r="P30" s="604">
        <f>IF(O29&lt;&gt;0,ROUND((O29/$I29)*$H30,5),ROUND((N$10/$I$69)*$H30*N30,5))</f>
        <v>1.1650000000000001E-2</v>
      </c>
      <c r="Q30" s="71">
        <v>1</v>
      </c>
      <c r="R30" s="687"/>
      <c r="S30" s="230">
        <f>IF(R29&lt;&gt;0,ROUND((R29/$I29)*$H30,5),ROUND((Q$10/$I$69)*$H30*Q30,5))</f>
        <v>1.75E-3</v>
      </c>
      <c r="T30" s="71">
        <v>1</v>
      </c>
      <c r="U30" s="687"/>
      <c r="V30" s="604">
        <f>IF(U29&lt;&gt;0,ROUND((U29/$I29)*$H30,5),ROUND((T$10/$I$69)*$H30*T30,5))</f>
        <v>4.0999999999999999E-4</v>
      </c>
      <c r="W30" s="71">
        <v>1</v>
      </c>
      <c r="X30" s="687"/>
      <c r="Y30" s="73">
        <f>IF(X29&lt;&gt;0,ROUND((X29/$I29)*$H30,5),ROUND((W$10/$I$69)*$H30*W30,5))</f>
        <v>-2.5999999999999998E-4</v>
      </c>
      <c r="Z30" s="71">
        <v>1</v>
      </c>
      <c r="AA30" s="70"/>
      <c r="AB30" s="230">
        <f>IF(AA29&lt;&gt;0,ROUND((AA29/$I29)*$H30,5),ROUND((Z$10/$I$69)*$H30*Z30,5))</f>
        <v>0</v>
      </c>
      <c r="AD30" s="230"/>
    </row>
    <row r="31" spans="1:30" x14ac:dyDescent="0.25">
      <c r="A31" s="43">
        <f t="shared" si="0"/>
        <v>25</v>
      </c>
      <c r="B31" s="69"/>
      <c r="C31" s="18" t="s">
        <v>8</v>
      </c>
      <c r="D31" s="70">
        <f>+'Washington volumes'!J31</f>
        <v>113397.9</v>
      </c>
      <c r="E31" s="588">
        <f>+'Rates in detail'!D31</f>
        <v>0.32346999999999992</v>
      </c>
      <c r="F31" s="588">
        <f>+'Rates in detail'!E31+'Rates in detail'!F31+'Rates in detail'!G31</f>
        <v>0.27038000000000001</v>
      </c>
      <c r="G31" s="588">
        <f>+Temporaries!D31</f>
        <v>-2.8450000000000003E-2</v>
      </c>
      <c r="H31" s="588">
        <f t="shared" si="13"/>
        <v>8.1539999999999918E-2</v>
      </c>
      <c r="I31" s="706"/>
      <c r="J31" s="231"/>
      <c r="K31" s="70"/>
      <c r="L31" s="706"/>
      <c r="M31" s="72"/>
      <c r="N31" s="71">
        <v>1</v>
      </c>
      <c r="O31" s="687"/>
      <c r="P31" s="604">
        <f>IF(O29&lt;&gt;0,ROUND((O29/$I29)*$H31,5),ROUND((N$10/$I$69)*$H31*N31,5))</f>
        <v>8.9300000000000004E-3</v>
      </c>
      <c r="Q31" s="71">
        <v>1</v>
      </c>
      <c r="R31" s="687"/>
      <c r="S31" s="230">
        <f>IF(R29&lt;&gt;0,ROUND((R29/$I29)*$H31,5),ROUND((Q$10/$I$69)*$H31*Q31,5))</f>
        <v>1.3500000000000001E-3</v>
      </c>
      <c r="T31" s="71">
        <v>1</v>
      </c>
      <c r="U31" s="687"/>
      <c r="V31" s="604">
        <f>IF(U29&lt;&gt;0,ROUND((U29/$I29)*$H31,5),ROUND((T$10/$I$69)*$H31*T31,5))</f>
        <v>3.2000000000000003E-4</v>
      </c>
      <c r="W31" s="71">
        <v>1</v>
      </c>
      <c r="X31" s="687"/>
      <c r="Y31" s="73">
        <f>IF(X29&lt;&gt;0,ROUND((X29/$I29)*$H31,5),ROUND((W$10/$I$69)*$H31*W31,5))</f>
        <v>-2.0000000000000001E-4</v>
      </c>
      <c r="Z31" s="71">
        <v>1</v>
      </c>
      <c r="AA31" s="70"/>
      <c r="AB31" s="230">
        <f>IF(AA29&lt;&gt;0,ROUND((AA29/$I29)*$H31,5),ROUND((Z$10/$I$69)*$H31*Z31,5))</f>
        <v>0</v>
      </c>
      <c r="AD31" s="230"/>
    </row>
    <row r="32" spans="1:30" x14ac:dyDescent="0.25">
      <c r="A32" s="43">
        <f t="shared" si="0"/>
        <v>26</v>
      </c>
      <c r="B32" s="69"/>
      <c r="C32" s="18" t="s">
        <v>9</v>
      </c>
      <c r="D32" s="70">
        <f>+'Washington volumes'!J32</f>
        <v>1825.6</v>
      </c>
      <c r="E32" s="588">
        <f>+'Rates in detail'!D32</f>
        <v>0.30485000000000018</v>
      </c>
      <c r="F32" s="588">
        <f>+'Rates in detail'!E32+'Rates in detail'!F32+'Rates in detail'!G32</f>
        <v>0.27038000000000001</v>
      </c>
      <c r="G32" s="588">
        <f>+Temporaries!D32</f>
        <v>-3.0760000000000003E-2</v>
      </c>
      <c r="H32" s="588">
        <f t="shared" si="13"/>
        <v>6.5230000000000177E-2</v>
      </c>
      <c r="I32" s="706"/>
      <c r="J32" s="231"/>
      <c r="K32" s="70"/>
      <c r="L32" s="706"/>
      <c r="M32" s="72"/>
      <c r="N32" s="71">
        <v>1</v>
      </c>
      <c r="O32" s="687"/>
      <c r="P32" s="604">
        <f>IF(O29&lt;&gt;0,ROUND((O29/$I29)*$H32,5),ROUND((N$10/$I$69)*$H32*N32,5))</f>
        <v>7.1500000000000001E-3</v>
      </c>
      <c r="Q32" s="71">
        <v>1</v>
      </c>
      <c r="R32" s="687"/>
      <c r="S32" s="230">
        <f>IF(R29&lt;&gt;0,ROUND((R29/$I29)*$H32,5),ROUND((Q$10/$I$69)*$H32*Q32,5))</f>
        <v>1.08E-3</v>
      </c>
      <c r="T32" s="71">
        <v>1</v>
      </c>
      <c r="U32" s="687"/>
      <c r="V32" s="604">
        <f>IF(U29&lt;&gt;0,ROUND((U29/$I29)*$H32,5),ROUND((T$10/$I$69)*$H32*T32,5))</f>
        <v>2.5000000000000001E-4</v>
      </c>
      <c r="W32" s="71">
        <v>1</v>
      </c>
      <c r="X32" s="687"/>
      <c r="Y32" s="73">
        <f>IF(X29&lt;&gt;0,ROUND((X29/$I29)*$H32,5),ROUND((W$10/$I$69)*$H32*W32,5))</f>
        <v>-1.6000000000000001E-4</v>
      </c>
      <c r="Z32" s="71">
        <v>1</v>
      </c>
      <c r="AA32" s="70"/>
      <c r="AB32" s="230">
        <f>IF(AA29&lt;&gt;0,ROUND((AA29/$I29)*$H32,5),ROUND((Z$10/$I$69)*$H32*Z32,5))</f>
        <v>0</v>
      </c>
      <c r="AD32" s="230"/>
    </row>
    <row r="33" spans="1:30" x14ac:dyDescent="0.25">
      <c r="A33" s="43">
        <f t="shared" si="0"/>
        <v>27</v>
      </c>
      <c r="B33" s="69"/>
      <c r="C33" s="18" t="s">
        <v>10</v>
      </c>
      <c r="D33" s="70">
        <f>+'Washington volumes'!J33</f>
        <v>0</v>
      </c>
      <c r="E33" s="588">
        <f>+'Rates in detail'!D33</f>
        <v>0.28002999999999995</v>
      </c>
      <c r="F33" s="588">
        <f>+'Rates in detail'!E33+'Rates in detail'!F33+'Rates in detail'!G33</f>
        <v>0.27038000000000001</v>
      </c>
      <c r="G33" s="588">
        <f>+Temporaries!D33</f>
        <v>-3.3830000000000006E-2</v>
      </c>
      <c r="H33" s="588">
        <f t="shared" si="13"/>
        <v>4.3479999999999942E-2</v>
      </c>
      <c r="I33" s="706"/>
      <c r="J33" s="231"/>
      <c r="K33" s="70"/>
      <c r="L33" s="706"/>
      <c r="M33" s="72"/>
      <c r="N33" s="71">
        <v>1</v>
      </c>
      <c r="O33" s="687"/>
      <c r="P33" s="604">
        <f>IF(O29&lt;&gt;0,ROUND((O29/$I29)*$H33,5),ROUND((N$10/$I$69)*$H33*N33,5))</f>
        <v>4.7600000000000003E-3</v>
      </c>
      <c r="Q33" s="71">
        <v>1</v>
      </c>
      <c r="R33" s="687"/>
      <c r="S33" s="230">
        <f>IF(R29&lt;&gt;0,ROUND((R29/$I29)*$H33,5),ROUND((Q$10/$I$69)*$H33*Q33,5))</f>
        <v>7.2000000000000005E-4</v>
      </c>
      <c r="T33" s="71">
        <v>1</v>
      </c>
      <c r="U33" s="687"/>
      <c r="V33" s="604">
        <f>IF(U29&lt;&gt;0,ROUND((U29/$I29)*$H33,5),ROUND((T$10/$I$69)*$H33*T33,5))</f>
        <v>1.7000000000000001E-4</v>
      </c>
      <c r="W33" s="71">
        <v>1</v>
      </c>
      <c r="X33" s="687"/>
      <c r="Y33" s="73">
        <f>IF(X29&lt;&gt;0,ROUND((X29/$I29)*$H33,5),ROUND((W$10/$I$69)*$H33*W33,5))</f>
        <v>-1.1E-4</v>
      </c>
      <c r="Z33" s="71">
        <v>1</v>
      </c>
      <c r="AA33" s="70"/>
      <c r="AB33" s="230">
        <f>IF(AA29&lt;&gt;0,ROUND((AA29/$I29)*$H33,5),ROUND((Z$10/$I$69)*$H33*Z33,5))</f>
        <v>0</v>
      </c>
      <c r="AD33" s="230"/>
    </row>
    <row r="34" spans="1:30" x14ac:dyDescent="0.25">
      <c r="A34" s="43">
        <f t="shared" si="0"/>
        <v>28</v>
      </c>
      <c r="B34" s="74"/>
      <c r="C34" s="22" t="s">
        <v>11</v>
      </c>
      <c r="D34" s="64">
        <f>+'Washington volumes'!J34</f>
        <v>0</v>
      </c>
      <c r="E34" s="587">
        <f>+'Rates in detail'!D34</f>
        <v>0.24900000000000005</v>
      </c>
      <c r="F34" s="587">
        <f>+'Rates in detail'!E34+'Rates in detail'!F34+'Rates in detail'!G34</f>
        <v>0.27038000000000001</v>
      </c>
      <c r="G34" s="587">
        <f>+Temporaries!D34</f>
        <v>-3.7680000000000005E-2</v>
      </c>
      <c r="H34" s="587">
        <f t="shared" si="13"/>
        <v>1.6300000000000051E-2</v>
      </c>
      <c r="I34" s="704"/>
      <c r="J34" s="371"/>
      <c r="K34" s="64"/>
      <c r="L34" s="704"/>
      <c r="M34" s="65"/>
      <c r="N34" s="66">
        <v>1</v>
      </c>
      <c r="O34" s="684"/>
      <c r="P34" s="603">
        <f>IF(O29&lt;&gt;0,ROUND((O29/$I29)*$H34,5),ROUND((N$10/$I$69)*$H34*N34,5))</f>
        <v>1.7899999999999999E-3</v>
      </c>
      <c r="Q34" s="66">
        <v>1</v>
      </c>
      <c r="R34" s="684"/>
      <c r="S34" s="597">
        <f>IF(R29&lt;&gt;0,ROUND((R29/$I29)*$H34,5),ROUND((Q$10/$I$69)*$H34*Q34,5))</f>
        <v>2.7E-4</v>
      </c>
      <c r="T34" s="66">
        <v>1</v>
      </c>
      <c r="U34" s="684"/>
      <c r="V34" s="603">
        <f>IF(U29&lt;&gt;0,ROUND((U29/$I29)*$H34,5),ROUND((T$10/$I$69)*$H34*T34,5))</f>
        <v>6.0000000000000002E-5</v>
      </c>
      <c r="W34" s="66">
        <v>1</v>
      </c>
      <c r="X34" s="684"/>
      <c r="Y34" s="67">
        <f>IF(X29&lt;&gt;0,ROUND((X29/$I29)*$H34,5),ROUND((W$10/$I$69)*$H34*W34,5))</f>
        <v>-4.0000000000000003E-5</v>
      </c>
      <c r="Z34" s="66">
        <v>1</v>
      </c>
      <c r="AA34" s="64"/>
      <c r="AB34" s="597">
        <f>IF(AA29&lt;&gt;0,ROUND((AA29/$I29)*$H34,5),ROUND((Z$10/$I$69)*$H34*Z34,5))</f>
        <v>0</v>
      </c>
      <c r="AD34" s="230"/>
    </row>
    <row r="35" spans="1:30" x14ac:dyDescent="0.25">
      <c r="A35" s="43">
        <f t="shared" si="0"/>
        <v>29</v>
      </c>
      <c r="B35" s="69" t="s">
        <v>164</v>
      </c>
      <c r="C35" s="18" t="s">
        <v>6</v>
      </c>
      <c r="D35" s="70">
        <f>+'Washington volumes'!J35</f>
        <v>1138365</v>
      </c>
      <c r="E35" s="588">
        <f>+'Rates in detail'!D35</f>
        <v>0.35160999999999998</v>
      </c>
      <c r="F35" s="588">
        <f>+'Rates in detail'!E35+'Rates in detail'!F35+'Rates in detail'!G35</f>
        <v>0.27038000000000001</v>
      </c>
      <c r="G35" s="588">
        <f>+Temporaries!D35</f>
        <v>-3.7480000000000006E-2</v>
      </c>
      <c r="H35" s="588">
        <f t="shared" si="13"/>
        <v>0.11870999999999998</v>
      </c>
      <c r="I35" s="705">
        <f>ROUND((+H35*D35)+(H36*D36)+(H37*D37)+(H38*D38)+(H39*D39)+(H40*D40),0)</f>
        <v>218844</v>
      </c>
      <c r="J35" s="231">
        <f>+'Avg Bill by RS'!G41</f>
        <v>1300</v>
      </c>
      <c r="K35" s="70">
        <f>+'Washington volumes'!L35</f>
        <v>12</v>
      </c>
      <c r="L35" s="705">
        <f>ROUND((+H35*D35)+(H36*D36)+(H37*D37)+(H38*D38)+(H39*D39)+(H40*D40)+(J35*K35*12),0)</f>
        <v>406044</v>
      </c>
      <c r="M35" s="72"/>
      <c r="N35" s="71">
        <v>0</v>
      </c>
      <c r="O35" s="686">
        <f>ROUND(+$N$10*(($L35*N35)/N$69),0)</f>
        <v>0</v>
      </c>
      <c r="P35" s="671">
        <f>IF(O35&lt;&gt;0,ROUND((O35/$I35)*$H35,5),ROUND((N$10/$I$69)*$H35*N35,5))</f>
        <v>0</v>
      </c>
      <c r="Q35" s="71">
        <v>1</v>
      </c>
      <c r="R35" s="686">
        <f>ROUND(+$Q$10*(($L35*Q35)/Q$69),0)</f>
        <v>3835</v>
      </c>
      <c r="S35" s="599">
        <f>IF(R35&lt;&gt;0,ROUND((R35/$I35)*$H35,5),ROUND((Q$10/$I$69)*$H35*Q35,5))</f>
        <v>2.0799999999999998E-3</v>
      </c>
      <c r="T35" s="71">
        <v>1</v>
      </c>
      <c r="U35" s="686">
        <f>ROUND(+$T$10*(($L35*T35)/T$69),0)</f>
        <v>899</v>
      </c>
      <c r="V35" s="671">
        <f>IF(U35&lt;&gt;0,ROUND((U35/$I35)*$H35,5),ROUND((T$10/$I$69)*$H35*T35,5))</f>
        <v>4.8999999999999998E-4</v>
      </c>
      <c r="W35" s="71">
        <v>1</v>
      </c>
      <c r="X35" s="686">
        <f>ROUND(+$W$10*(($L35*W35)/W$69),0)</f>
        <v>-565</v>
      </c>
      <c r="Y35" s="682">
        <f>IF(X35&lt;&gt;0,ROUND((X35/$I35)*$H35,5),ROUND((W$10/$I$69)*$H35*W35,5))</f>
        <v>-3.1E-4</v>
      </c>
      <c r="Z35" s="71">
        <v>1</v>
      </c>
      <c r="AA35" s="196">
        <f>ROUND(+$Z$10*(($L35*Z35)/Z$69),0)</f>
        <v>0</v>
      </c>
      <c r="AB35" s="599">
        <f>IF(AA35&lt;&gt;0,ROUND((AA35/$I35)*$H35,5),ROUND((Z$10/$I$69)*$H35*Z35,5))</f>
        <v>0</v>
      </c>
      <c r="AD35" s="230"/>
    </row>
    <row r="36" spans="1:30" x14ac:dyDescent="0.25">
      <c r="A36" s="43">
        <f t="shared" si="0"/>
        <v>30</v>
      </c>
      <c r="B36" s="69"/>
      <c r="C36" s="18" t="s">
        <v>7</v>
      </c>
      <c r="D36" s="70">
        <f>+'Washington volumes'!J36</f>
        <v>725589</v>
      </c>
      <c r="E36" s="588">
        <f>+'Rates in detail'!D36</f>
        <v>0.33889000000000008</v>
      </c>
      <c r="F36" s="588">
        <f>+'Rates in detail'!E36+'Rates in detail'!F36+'Rates in detail'!G36</f>
        <v>0.27038000000000001</v>
      </c>
      <c r="G36" s="588">
        <f>+Temporaries!D36</f>
        <v>-3.7750000000000006E-2</v>
      </c>
      <c r="H36" s="588">
        <f t="shared" si="13"/>
        <v>0.10626000000000008</v>
      </c>
      <c r="I36" s="706"/>
      <c r="J36" s="231"/>
      <c r="K36" s="70"/>
      <c r="L36" s="706"/>
      <c r="M36" s="72"/>
      <c r="N36" s="71">
        <v>0</v>
      </c>
      <c r="O36" s="687"/>
      <c r="P36" s="604">
        <f>IF(O35&lt;&gt;0,ROUND((O35/$I35)*$H36,5),ROUND((N$10/$I$69)*$H36*N36,5))</f>
        <v>0</v>
      </c>
      <c r="Q36" s="71">
        <v>1</v>
      </c>
      <c r="R36" s="687"/>
      <c r="S36" s="230">
        <f>IF(R35&lt;&gt;0,ROUND((R35/$I35)*$H36,5),ROUND((Q$10/$I$69)*$H36*Q36,5))</f>
        <v>1.8600000000000001E-3</v>
      </c>
      <c r="T36" s="71">
        <v>1</v>
      </c>
      <c r="U36" s="687"/>
      <c r="V36" s="604">
        <f>IF(U35&lt;&gt;0,ROUND((U35/$I35)*$H36,5),ROUND((T$10/$I$69)*$H36*T36,5))</f>
        <v>4.4000000000000002E-4</v>
      </c>
      <c r="W36" s="71">
        <v>1</v>
      </c>
      <c r="X36" s="687"/>
      <c r="Y36" s="73">
        <f>IF(X35&lt;&gt;0,ROUND((X35/$I35)*$H36,5),ROUND((W$10/$I$69)*$H36*W36,5))</f>
        <v>-2.7E-4</v>
      </c>
      <c r="Z36" s="71">
        <v>1</v>
      </c>
      <c r="AA36" s="70"/>
      <c r="AB36" s="230">
        <f>IF(AA35&lt;&gt;0,ROUND((AA35/$I35)*$H36,5),ROUND((Z$10/$I$69)*$H36*Z36,5))</f>
        <v>0</v>
      </c>
      <c r="AD36" s="230"/>
    </row>
    <row r="37" spans="1:30" x14ac:dyDescent="0.25">
      <c r="A37" s="43">
        <f t="shared" si="0"/>
        <v>31</v>
      </c>
      <c r="B37" s="69"/>
      <c r="C37" s="18" t="s">
        <v>8</v>
      </c>
      <c r="D37" s="70">
        <f>+'Washington volumes'!J37</f>
        <v>81079</v>
      </c>
      <c r="E37" s="588">
        <f>+'Rates in detail'!D37</f>
        <v>0.31359999999999988</v>
      </c>
      <c r="F37" s="588">
        <f>+'Rates in detail'!E37+'Rates in detail'!F37+'Rates in detail'!G37</f>
        <v>0.27038000000000001</v>
      </c>
      <c r="G37" s="588">
        <f>+Temporaries!D37</f>
        <v>-3.8270000000000005E-2</v>
      </c>
      <c r="H37" s="588">
        <f t="shared" si="13"/>
        <v>8.1489999999999868E-2</v>
      </c>
      <c r="I37" s="706"/>
      <c r="J37" s="231"/>
      <c r="K37" s="70"/>
      <c r="L37" s="706"/>
      <c r="M37" s="72"/>
      <c r="N37" s="71">
        <v>0</v>
      </c>
      <c r="O37" s="687"/>
      <c r="P37" s="604">
        <f>IF(O35&lt;&gt;0,ROUND((O35/$I35)*$H37,5),ROUND((N$10/$I$69)*$H37*N37,5))</f>
        <v>0</v>
      </c>
      <c r="Q37" s="71">
        <v>1</v>
      </c>
      <c r="R37" s="687"/>
      <c r="S37" s="230">
        <f>IF(R35&lt;&gt;0,ROUND((R35/$I35)*$H37,5),ROUND((Q$10/$I$69)*$H37*Q37,5))</f>
        <v>1.4300000000000001E-3</v>
      </c>
      <c r="T37" s="71">
        <v>1</v>
      </c>
      <c r="U37" s="687"/>
      <c r="V37" s="604">
        <f>IF(U35&lt;&gt;0,ROUND((U35/$I35)*$H37,5),ROUND((T$10/$I$69)*$H37*T37,5))</f>
        <v>3.3E-4</v>
      </c>
      <c r="W37" s="71">
        <v>1</v>
      </c>
      <c r="X37" s="687"/>
      <c r="Y37" s="73">
        <f>IF(X35&lt;&gt;0,ROUND((X35/$I35)*$H37,5),ROUND((W$10/$I$69)*$H37*W37,5))</f>
        <v>-2.1000000000000001E-4</v>
      </c>
      <c r="Z37" s="71">
        <v>1</v>
      </c>
      <c r="AA37" s="70"/>
      <c r="AB37" s="230">
        <f>IF(AA35&lt;&gt;0,ROUND((AA35/$I35)*$H37,5),ROUND((Z$10/$I$69)*$H37*Z37,5))</f>
        <v>0</v>
      </c>
      <c r="AD37" s="230"/>
    </row>
    <row r="38" spans="1:30" x14ac:dyDescent="0.25">
      <c r="A38" s="43">
        <f t="shared" si="0"/>
        <v>32</v>
      </c>
      <c r="B38" s="69"/>
      <c r="C38" s="18" t="s">
        <v>9</v>
      </c>
      <c r="D38" s="70">
        <f>+'Washington volumes'!J38</f>
        <v>0</v>
      </c>
      <c r="E38" s="588">
        <f>+'Rates in detail'!D38</f>
        <v>0.29696000000000011</v>
      </c>
      <c r="F38" s="588">
        <f>+'Rates in detail'!E38+'Rates in detail'!F38+'Rates in detail'!G38</f>
        <v>0.27038000000000001</v>
      </c>
      <c r="G38" s="588">
        <f>+Temporaries!D38</f>
        <v>-3.8610000000000005E-2</v>
      </c>
      <c r="H38" s="588">
        <f t="shared" si="13"/>
        <v>6.5190000000000109E-2</v>
      </c>
      <c r="I38" s="706"/>
      <c r="J38" s="231"/>
      <c r="K38" s="70"/>
      <c r="L38" s="706"/>
      <c r="M38" s="72"/>
      <c r="N38" s="71">
        <v>0</v>
      </c>
      <c r="O38" s="687"/>
      <c r="P38" s="604">
        <f>IF(O35&lt;&gt;0,ROUND((O35/$I35)*$H38,5),ROUND((N$10/$I$69)*$H38*N38,5))</f>
        <v>0</v>
      </c>
      <c r="Q38" s="71">
        <v>1</v>
      </c>
      <c r="R38" s="687"/>
      <c r="S38" s="230">
        <f>IF(R35&lt;&gt;0,ROUND((R35/$I35)*$H38,5),ROUND((Q$10/$I$69)*$H38*Q38,5))</f>
        <v>1.14E-3</v>
      </c>
      <c r="T38" s="71">
        <v>1</v>
      </c>
      <c r="U38" s="687"/>
      <c r="V38" s="604">
        <f>IF(U35&lt;&gt;0,ROUND((U35/$I35)*$H38,5),ROUND((T$10/$I$69)*$H38*T38,5))</f>
        <v>2.7E-4</v>
      </c>
      <c r="W38" s="71">
        <v>1</v>
      </c>
      <c r="X38" s="687"/>
      <c r="Y38" s="73">
        <f>IF(X35&lt;&gt;0,ROUND((X35/$I35)*$H38,5),ROUND((W$10/$I$69)*$H38*W38,5))</f>
        <v>-1.7000000000000001E-4</v>
      </c>
      <c r="Z38" s="71">
        <v>1</v>
      </c>
      <c r="AA38" s="70"/>
      <c r="AB38" s="230">
        <f>IF(AA35&lt;&gt;0,ROUND((AA35/$I35)*$H38,5),ROUND((Z$10/$I$69)*$H38*Z38,5))</f>
        <v>0</v>
      </c>
      <c r="AD38" s="230"/>
    </row>
    <row r="39" spans="1:30" x14ac:dyDescent="0.25">
      <c r="A39" s="43">
        <f t="shared" si="0"/>
        <v>33</v>
      </c>
      <c r="B39" s="69"/>
      <c r="C39" s="18" t="s">
        <v>10</v>
      </c>
      <c r="D39" s="70">
        <f>+'Washington volumes'!J39</f>
        <v>0</v>
      </c>
      <c r="E39" s="588">
        <f>+'Rates in detail'!D39</f>
        <v>0.27478000000000019</v>
      </c>
      <c r="F39" s="588">
        <f>+'Rates in detail'!E39+'Rates in detail'!F39+'Rates in detail'!G39</f>
        <v>0.27038000000000001</v>
      </c>
      <c r="G39" s="588">
        <f>+Temporaries!D39</f>
        <v>-3.9070000000000008E-2</v>
      </c>
      <c r="H39" s="588">
        <f t="shared" si="13"/>
        <v>4.3470000000000189E-2</v>
      </c>
      <c r="I39" s="706"/>
      <c r="J39" s="231"/>
      <c r="K39" s="70"/>
      <c r="L39" s="706"/>
      <c r="M39" s="72"/>
      <c r="N39" s="71">
        <v>0</v>
      </c>
      <c r="O39" s="687"/>
      <c r="P39" s="604">
        <f>IF(O35&lt;&gt;0,ROUND((O35/$I35)*$H39,5),ROUND((N$10/$I$69)*$H39*N39,5))</f>
        <v>0</v>
      </c>
      <c r="Q39" s="71">
        <v>1</v>
      </c>
      <c r="R39" s="687"/>
      <c r="S39" s="230">
        <f>IF(R35&lt;&gt;0,ROUND((R35/$I35)*$H39,5),ROUND((Q$10/$I$69)*$H39*Q39,5))</f>
        <v>7.6000000000000004E-4</v>
      </c>
      <c r="T39" s="71">
        <v>1</v>
      </c>
      <c r="U39" s="687"/>
      <c r="V39" s="604">
        <f>IF(U35&lt;&gt;0,ROUND((U35/$I35)*$H39,5),ROUND((T$10/$I$69)*$H39*T39,5))</f>
        <v>1.8000000000000001E-4</v>
      </c>
      <c r="W39" s="71">
        <v>1</v>
      </c>
      <c r="X39" s="687"/>
      <c r="Y39" s="73">
        <f>IF(X35&lt;&gt;0,ROUND((X35/$I35)*$H39,5),ROUND((W$10/$I$69)*$H39*W39,5))</f>
        <v>-1.1E-4</v>
      </c>
      <c r="Z39" s="71">
        <v>1</v>
      </c>
      <c r="AA39" s="70"/>
      <c r="AB39" s="230">
        <f>IF(AA35&lt;&gt;0,ROUND((AA35/$I35)*$H39,5),ROUND((Z$10/$I$69)*$H39*Z39,5))</f>
        <v>0</v>
      </c>
      <c r="AD39" s="230"/>
    </row>
    <row r="40" spans="1:30" x14ac:dyDescent="0.25">
      <c r="A40" s="43">
        <f t="shared" si="0"/>
        <v>34</v>
      </c>
      <c r="B40" s="74"/>
      <c r="C40" s="22" t="s">
        <v>11</v>
      </c>
      <c r="D40" s="64">
        <f>+'Washington volumes'!J40</f>
        <v>0</v>
      </c>
      <c r="E40" s="587">
        <f>+'Rates in detail'!D40</f>
        <v>0.24702999999999992</v>
      </c>
      <c r="F40" s="587">
        <f>+'Rates in detail'!E40+'Rates in detail'!F40+'Rates in detail'!G40</f>
        <v>0.27038000000000001</v>
      </c>
      <c r="G40" s="587">
        <f>+Temporaries!D40</f>
        <v>-3.9640000000000002E-2</v>
      </c>
      <c r="H40" s="587">
        <f t="shared" si="13"/>
        <v>1.6289999999999909E-2</v>
      </c>
      <c r="I40" s="704"/>
      <c r="J40" s="371"/>
      <c r="K40" s="64"/>
      <c r="L40" s="704"/>
      <c r="M40" s="65"/>
      <c r="N40" s="66">
        <v>0</v>
      </c>
      <c r="O40" s="684"/>
      <c r="P40" s="603">
        <f>IF(O35&lt;&gt;0,ROUND((O35/$I35)*$H40,5),ROUND((N$10/$I$69)*$H40*N40,5))</f>
        <v>0</v>
      </c>
      <c r="Q40" s="66">
        <v>1</v>
      </c>
      <c r="R40" s="684"/>
      <c r="S40" s="597">
        <f>IF(R35&lt;&gt;0,ROUND((R35/$I35)*$H40,5),ROUND((Q$10/$I$69)*$H40*Q40,5))</f>
        <v>2.9E-4</v>
      </c>
      <c r="T40" s="66">
        <v>1</v>
      </c>
      <c r="U40" s="684"/>
      <c r="V40" s="603">
        <f>IF(U35&lt;&gt;0,ROUND((U35/$I35)*$H40,5),ROUND((T$10/$I$69)*$H40*T40,5))</f>
        <v>6.9999999999999994E-5</v>
      </c>
      <c r="W40" s="66">
        <v>1</v>
      </c>
      <c r="X40" s="684"/>
      <c r="Y40" s="67">
        <f>IF(X35&lt;&gt;0,ROUND((X35/$I35)*$H40,5),ROUND((W$10/$I$69)*$H40*W40,5))</f>
        <v>-4.0000000000000003E-5</v>
      </c>
      <c r="Z40" s="66">
        <v>1</v>
      </c>
      <c r="AA40" s="64"/>
      <c r="AB40" s="597">
        <f>IF(AA35&lt;&gt;0,ROUND((AA35/$I35)*$H40,5),ROUND((Z$10/$I$69)*$H40*Z40,5))</f>
        <v>0</v>
      </c>
      <c r="AD40" s="230"/>
    </row>
    <row r="41" spans="1:30" x14ac:dyDescent="0.25">
      <c r="A41" s="43">
        <f t="shared" si="0"/>
        <v>35</v>
      </c>
      <c r="B41" s="69" t="s">
        <v>165</v>
      </c>
      <c r="C41" s="18" t="s">
        <v>6</v>
      </c>
      <c r="D41" s="70">
        <f>+'Washington volumes'!J41</f>
        <v>1313594</v>
      </c>
      <c r="E41" s="588">
        <f>+'Rates in detail'!D41</f>
        <v>0.11817999999999999</v>
      </c>
      <c r="F41" s="588">
        <f>+'Rates in detail'!E41+'Rates in detail'!F41+'Rates in detail'!G41</f>
        <v>0</v>
      </c>
      <c r="G41" s="588">
        <f>+Temporaries!D41</f>
        <v>0</v>
      </c>
      <c r="H41" s="588">
        <f t="shared" si="13"/>
        <v>0.11817999999999999</v>
      </c>
      <c r="I41" s="705">
        <f>ROUND((+H41*D41)+(H42*D42)+(H43*D43)+(H44*D44)+(H45*D45)+(H46*D46),0)</f>
        <v>532047</v>
      </c>
      <c r="J41" s="231">
        <f>+'Avg Bill by RS'!G48</f>
        <v>1550</v>
      </c>
      <c r="K41" s="70">
        <f>+'Washington volumes'!L41</f>
        <v>12</v>
      </c>
      <c r="L41" s="705">
        <f>ROUND((+H41*D41)+(H42*D42)+(H43*D43)+(H44*D44)+(H45*D45)+(H46*D46)+(J41*K41*12),0)</f>
        <v>755247</v>
      </c>
      <c r="M41" s="72"/>
      <c r="N41" s="71">
        <v>0</v>
      </c>
      <c r="O41" s="686">
        <f>ROUND(+$N$10*(($L41*N41)/N$69),0)</f>
        <v>0</v>
      </c>
      <c r="P41" s="671">
        <f>IF(O41&lt;&gt;0,ROUND((O41/$I41)*$H41,5),ROUND((N$10/$I$69)*$H41*N41,5))</f>
        <v>0</v>
      </c>
      <c r="Q41" s="71">
        <v>0</v>
      </c>
      <c r="R41" s="686">
        <f>ROUND(+$Q$10*(($L41*Q41)/Q$69),0)</f>
        <v>0</v>
      </c>
      <c r="S41" s="599">
        <f>IF(R41&lt;&gt;0,ROUND((R41/$I41)*$H41,5),ROUND((Q$10/$I$69)*$H41*Q41,5))</f>
        <v>0</v>
      </c>
      <c r="T41" s="71">
        <v>0</v>
      </c>
      <c r="U41" s="686">
        <f>ROUND(+$T$10*(($L41*T41)/T$69),0)</f>
        <v>0</v>
      </c>
      <c r="V41" s="671">
        <f>IF(U41&lt;&gt;0,ROUND((U41/$I41)*$H41,5),ROUND((T$10/$I$69)*$H41*T41,5))</f>
        <v>0</v>
      </c>
      <c r="W41" s="71">
        <v>1</v>
      </c>
      <c r="X41" s="686">
        <f>ROUND(+$W$10*(($L41*W41)/W$69),0)</f>
        <v>-1051</v>
      </c>
      <c r="Y41" s="682">
        <f>IF(X41&lt;&gt;0,ROUND((X41/$I41)*$H41,5),ROUND((W$10/$I$69)*$H41*W41,5))</f>
        <v>-2.3000000000000001E-4</v>
      </c>
      <c r="Z41" s="71">
        <v>0</v>
      </c>
      <c r="AA41" s="196">
        <f>ROUND(+$Z$10*(($L41*Z41)/Z$69),0)</f>
        <v>0</v>
      </c>
      <c r="AB41" s="599">
        <f>IF(AA41&lt;&gt;0,ROUND((AA41/$I41)*$H41,5),ROUND((Z$10/$I$69)*$H41*Z41,5))</f>
        <v>0</v>
      </c>
      <c r="AD41" s="230"/>
    </row>
    <row r="42" spans="1:30" x14ac:dyDescent="0.25">
      <c r="A42" s="43">
        <f t="shared" si="0"/>
        <v>36</v>
      </c>
      <c r="B42" s="69"/>
      <c r="C42" s="18" t="s">
        <v>7</v>
      </c>
      <c r="D42" s="70">
        <f>+'Washington volumes'!J42</f>
        <v>1609433</v>
      </c>
      <c r="E42" s="588">
        <f>+'Rates in detail'!D42</f>
        <v>0.10579</v>
      </c>
      <c r="F42" s="588">
        <f>+'Rates in detail'!E42+'Rates in detail'!F42+'Rates in detail'!G42</f>
        <v>0</v>
      </c>
      <c r="G42" s="588">
        <f>+Temporaries!D42</f>
        <v>0</v>
      </c>
      <c r="H42" s="588">
        <f t="shared" si="13"/>
        <v>0.10579</v>
      </c>
      <c r="I42" s="706"/>
      <c r="J42" s="231"/>
      <c r="K42" s="70"/>
      <c r="L42" s="706"/>
      <c r="M42" s="72"/>
      <c r="N42" s="71">
        <v>0</v>
      </c>
      <c r="O42" s="687"/>
      <c r="P42" s="604">
        <f>IF(O41&lt;&gt;0,ROUND((O41/$I41)*$H42,5),ROUND((N$10/$I$69)*$H42*N42,5))</f>
        <v>0</v>
      </c>
      <c r="Q42" s="71">
        <v>0</v>
      </c>
      <c r="R42" s="687"/>
      <c r="S42" s="230">
        <f>IF(R41&lt;&gt;0,ROUND((R41/$I41)*$H42,5),ROUND((Q$10/$I$69)*$H42*Q42,5))</f>
        <v>0</v>
      </c>
      <c r="T42" s="71">
        <v>0</v>
      </c>
      <c r="U42" s="687"/>
      <c r="V42" s="604">
        <f>IF(U41&lt;&gt;0,ROUND((U41/$I41)*$H42,5),ROUND((T$10/$I$69)*$H42*T42,5))</f>
        <v>0</v>
      </c>
      <c r="W42" s="71">
        <v>1</v>
      </c>
      <c r="X42" s="687"/>
      <c r="Y42" s="73">
        <f>IF(X41&lt;&gt;0,ROUND((X41/$I41)*$H42,5),ROUND((W$10/$I$69)*$H42*W42,5))</f>
        <v>-2.1000000000000001E-4</v>
      </c>
      <c r="Z42" s="71">
        <v>0</v>
      </c>
      <c r="AA42" s="70"/>
      <c r="AB42" s="230">
        <f>IF(AA41&lt;&gt;0,ROUND((AA41/$I41)*$H42,5),ROUND((Z$10/$I$69)*$H42*Z42,5))</f>
        <v>0</v>
      </c>
      <c r="AD42" s="230"/>
    </row>
    <row r="43" spans="1:30" x14ac:dyDescent="0.25">
      <c r="A43" s="43">
        <f t="shared" si="0"/>
        <v>37</v>
      </c>
      <c r="B43" s="69"/>
      <c r="C43" s="18" t="s">
        <v>8</v>
      </c>
      <c r="D43" s="70">
        <f>+'Washington volumes'!J43</f>
        <v>1138813</v>
      </c>
      <c r="E43" s="588">
        <f>+'Rates in detail'!D43</f>
        <v>8.1119999999999998E-2</v>
      </c>
      <c r="F43" s="588">
        <f>+'Rates in detail'!E43+'Rates in detail'!F43+'Rates in detail'!G43</f>
        <v>0</v>
      </c>
      <c r="G43" s="588">
        <f>+Temporaries!D43</f>
        <v>0</v>
      </c>
      <c r="H43" s="588">
        <f t="shared" si="13"/>
        <v>8.1119999999999998E-2</v>
      </c>
      <c r="I43" s="706"/>
      <c r="J43" s="231"/>
      <c r="K43" s="70"/>
      <c r="L43" s="706"/>
      <c r="M43" s="72"/>
      <c r="N43" s="71">
        <v>0</v>
      </c>
      <c r="O43" s="687"/>
      <c r="P43" s="604">
        <f>IF(O41&lt;&gt;0,ROUND((O41/$I41)*$H43,5),ROUND((N$10/$I$69)*$H43*N43,5))</f>
        <v>0</v>
      </c>
      <c r="Q43" s="71">
        <v>0</v>
      </c>
      <c r="R43" s="687"/>
      <c r="S43" s="230">
        <f>IF(R41&lt;&gt;0,ROUND((R41/$I41)*$H43,5),ROUND((Q$10/$I$69)*$H43*Q43,5))</f>
        <v>0</v>
      </c>
      <c r="T43" s="71">
        <v>0</v>
      </c>
      <c r="U43" s="687"/>
      <c r="V43" s="604">
        <f>IF(U41&lt;&gt;0,ROUND((U41/$I41)*$H43,5),ROUND((T$10/$I$69)*$H43*T43,5))</f>
        <v>0</v>
      </c>
      <c r="W43" s="71">
        <v>1</v>
      </c>
      <c r="X43" s="687"/>
      <c r="Y43" s="73">
        <f>IF(X41&lt;&gt;0,ROUND((X41/$I41)*$H43,5),ROUND((W$10/$I$69)*$H43*W43,5))</f>
        <v>-1.6000000000000001E-4</v>
      </c>
      <c r="Z43" s="71">
        <v>0</v>
      </c>
      <c r="AA43" s="70"/>
      <c r="AB43" s="230">
        <f>IF(AA41&lt;&gt;0,ROUND((AA41/$I41)*$H43,5),ROUND((Z$10/$I$69)*$H43*Z43,5))</f>
        <v>0</v>
      </c>
      <c r="AD43" s="230"/>
    </row>
    <row r="44" spans="1:30" x14ac:dyDescent="0.25">
      <c r="A44" s="43">
        <f t="shared" si="0"/>
        <v>38</v>
      </c>
      <c r="B44" s="69"/>
      <c r="C44" s="18" t="s">
        <v>9</v>
      </c>
      <c r="D44" s="70">
        <f>+'Washington volumes'!J44</f>
        <v>1522236</v>
      </c>
      <c r="E44" s="588">
        <f>+'Rates in detail'!D44</f>
        <v>6.4899999999999999E-2</v>
      </c>
      <c r="F44" s="588">
        <f>+'Rates in detail'!E44+'Rates in detail'!F44+'Rates in detail'!G44</f>
        <v>0</v>
      </c>
      <c r="G44" s="588">
        <f>+Temporaries!D44</f>
        <v>0</v>
      </c>
      <c r="H44" s="588">
        <f t="shared" si="13"/>
        <v>6.4899999999999999E-2</v>
      </c>
      <c r="I44" s="706"/>
      <c r="J44" s="231"/>
      <c r="K44" s="70"/>
      <c r="L44" s="706"/>
      <c r="M44" s="72"/>
      <c r="N44" s="71">
        <v>0</v>
      </c>
      <c r="O44" s="687"/>
      <c r="P44" s="604">
        <f>IF(O41&lt;&gt;0,ROUND((O41/$I41)*$H44,5),ROUND((N$10/$I$69)*$H44*N44,5))</f>
        <v>0</v>
      </c>
      <c r="Q44" s="71">
        <v>0</v>
      </c>
      <c r="R44" s="687"/>
      <c r="S44" s="230">
        <f>IF(R41&lt;&gt;0,ROUND((R41/$I41)*$H44,5),ROUND((Q$10/$I$69)*$H44*Q44,5))</f>
        <v>0</v>
      </c>
      <c r="T44" s="71">
        <v>0</v>
      </c>
      <c r="U44" s="687"/>
      <c r="V44" s="604">
        <f>IF(U41&lt;&gt;0,ROUND((U41/$I41)*$H44,5),ROUND((T$10/$I$69)*$H44*T44,5))</f>
        <v>0</v>
      </c>
      <c r="W44" s="71">
        <v>1</v>
      </c>
      <c r="X44" s="687"/>
      <c r="Y44" s="73">
        <f>IF(X41&lt;&gt;0,ROUND((X41/$I41)*$H44,5),ROUND((W$10/$I$69)*$H44*W44,5))</f>
        <v>-1.2999999999999999E-4</v>
      </c>
      <c r="Z44" s="71">
        <v>0</v>
      </c>
      <c r="AA44" s="70"/>
      <c r="AB44" s="230">
        <f>IF(AA41&lt;&gt;0,ROUND((AA41/$I41)*$H44,5),ROUND((Z$10/$I$69)*$H44*Z44,5))</f>
        <v>0</v>
      </c>
      <c r="AD44" s="230"/>
    </row>
    <row r="45" spans="1:30" x14ac:dyDescent="0.25">
      <c r="A45" s="43">
        <f t="shared" si="0"/>
        <v>39</v>
      </c>
      <c r="B45" s="69"/>
      <c r="C45" s="18" t="s">
        <v>10</v>
      </c>
      <c r="D45" s="70">
        <f>+'Washington volumes'!J45</f>
        <v>355242</v>
      </c>
      <c r="E45" s="588">
        <f>+'Rates in detail'!D45</f>
        <v>4.3270000000000003E-2</v>
      </c>
      <c r="F45" s="588">
        <f>+'Rates in detail'!E45+'Rates in detail'!F45+'Rates in detail'!G45</f>
        <v>0</v>
      </c>
      <c r="G45" s="588">
        <f>+Temporaries!D45</f>
        <v>0</v>
      </c>
      <c r="H45" s="588">
        <f t="shared" si="13"/>
        <v>4.3270000000000003E-2</v>
      </c>
      <c r="I45" s="706"/>
      <c r="J45" s="231"/>
      <c r="K45" s="70"/>
      <c r="L45" s="706"/>
      <c r="M45" s="72"/>
      <c r="N45" s="71">
        <v>0</v>
      </c>
      <c r="O45" s="687"/>
      <c r="P45" s="604">
        <f>IF(O41&lt;&gt;0,ROUND((O41/$I41)*$H45,5),ROUND((N$10/$I$69)*$H45*N45,5))</f>
        <v>0</v>
      </c>
      <c r="Q45" s="71">
        <v>0</v>
      </c>
      <c r="R45" s="687"/>
      <c r="S45" s="230">
        <f>IF(R41&lt;&gt;0,ROUND((R41/$I41)*$H45,5),ROUND((Q$10/$I$69)*$H45*Q45,5))</f>
        <v>0</v>
      </c>
      <c r="T45" s="71">
        <v>0</v>
      </c>
      <c r="U45" s="687"/>
      <c r="V45" s="604">
        <f>IF(U41&lt;&gt;0,ROUND((U41/$I41)*$H45,5),ROUND((T$10/$I$69)*$H45*T45,5))</f>
        <v>0</v>
      </c>
      <c r="W45" s="71">
        <v>1</v>
      </c>
      <c r="X45" s="687"/>
      <c r="Y45" s="73">
        <f>IF(X41&lt;&gt;0,ROUND((X41/$I41)*$H45,5),ROUND((W$10/$I$69)*$H45*W45,5))</f>
        <v>-9.0000000000000006E-5</v>
      </c>
      <c r="Z45" s="71">
        <v>0</v>
      </c>
      <c r="AA45" s="70"/>
      <c r="AB45" s="230">
        <f>IF(AA41&lt;&gt;0,ROUND((AA41/$I41)*$H45,5),ROUND((Z$10/$I$69)*$H45*Z45,5))</f>
        <v>0</v>
      </c>
      <c r="AD45" s="230"/>
    </row>
    <row r="46" spans="1:30" x14ac:dyDescent="0.25">
      <c r="A46" s="43">
        <f t="shared" si="0"/>
        <v>40</v>
      </c>
      <c r="B46" s="74"/>
      <c r="C46" s="22" t="s">
        <v>11</v>
      </c>
      <c r="D46" s="64">
        <f>+'Washington volumes'!J46</f>
        <v>0</v>
      </c>
      <c r="E46" s="587">
        <f>+'Rates in detail'!D46</f>
        <v>1.6219999999999998E-2</v>
      </c>
      <c r="F46" s="587">
        <f>+'Rates in detail'!E46+'Rates in detail'!F46+'Rates in detail'!G46</f>
        <v>0</v>
      </c>
      <c r="G46" s="587">
        <f>+Temporaries!D46</f>
        <v>0</v>
      </c>
      <c r="H46" s="587">
        <f t="shared" si="13"/>
        <v>1.6219999999999998E-2</v>
      </c>
      <c r="I46" s="704"/>
      <c r="J46" s="371"/>
      <c r="K46" s="64"/>
      <c r="L46" s="704"/>
      <c r="M46" s="65"/>
      <c r="N46" s="66">
        <v>0</v>
      </c>
      <c r="O46" s="684"/>
      <c r="P46" s="603">
        <f>IF(O41&lt;&gt;0,ROUND((O41/$I41)*$H46,5),ROUND((N$10/$I$69)*$H46*N46,5))</f>
        <v>0</v>
      </c>
      <c r="Q46" s="66">
        <v>0</v>
      </c>
      <c r="R46" s="684"/>
      <c r="S46" s="597">
        <f>IF(R41&lt;&gt;0,ROUND((R41/$I41)*$H46,5),ROUND((Q$10/$I$69)*$H46*Q46,5))</f>
        <v>0</v>
      </c>
      <c r="T46" s="66">
        <v>0</v>
      </c>
      <c r="U46" s="684"/>
      <c r="V46" s="603">
        <f>IF(U41&lt;&gt;0,ROUND((U41/$I41)*$H46,5),ROUND((T$10/$I$69)*$H46*T46,5))</f>
        <v>0</v>
      </c>
      <c r="W46" s="66">
        <v>1</v>
      </c>
      <c r="X46" s="684"/>
      <c r="Y46" s="67">
        <f>IF(X41&lt;&gt;0,ROUND((X41/$I41)*$H46,5),ROUND((W$10/$I$69)*$H46*W46,5))</f>
        <v>-3.0000000000000001E-5</v>
      </c>
      <c r="Z46" s="66">
        <v>0</v>
      </c>
      <c r="AA46" s="64"/>
      <c r="AB46" s="597">
        <f>IF(AA41&lt;&gt;0,ROUND((AA41/$I41)*$H46,5),ROUND((Z$10/$I$69)*$H46*Z46,5))</f>
        <v>0</v>
      </c>
      <c r="AD46" s="230"/>
    </row>
    <row r="47" spans="1:30" x14ac:dyDescent="0.25">
      <c r="A47" s="43">
        <f t="shared" si="0"/>
        <v>41</v>
      </c>
      <c r="B47" s="69" t="s">
        <v>369</v>
      </c>
      <c r="C47" s="18" t="s">
        <v>6</v>
      </c>
      <c r="D47" s="70">
        <f>+'Washington volumes'!J47</f>
        <v>250151</v>
      </c>
      <c r="E47" s="588">
        <f>+'Rates in detail'!D47</f>
        <v>0.38132999999999995</v>
      </c>
      <c r="F47" s="588">
        <f>+'Rates in detail'!E47+'Rates in detail'!F47+'Rates in detail'!G47</f>
        <v>0.27038000000000001</v>
      </c>
      <c r="G47" s="588">
        <f>+Temporaries!D47</f>
        <v>-7.6099999999999987E-3</v>
      </c>
      <c r="H47" s="588">
        <f t="shared" ref="H47:H52" si="14">+E47-F47-G47</f>
        <v>0.11855999999999994</v>
      </c>
      <c r="I47" s="705">
        <f>ROUND((+H47*D47)+(H48*D48)+(H49*D49)+(H50*D50)+(H51*D51)+(H52*D52),0)</f>
        <v>104866</v>
      </c>
      <c r="J47" s="231">
        <f>+'Avg Bill by RS'!G55</f>
        <v>1300</v>
      </c>
      <c r="K47" s="70">
        <f>+'Washington volumes'!L47</f>
        <v>3</v>
      </c>
      <c r="L47" s="705">
        <f>ROUND((+H47*D47)+(H48*D48)+(H49*D49)+(H50*D50)+(H51*D51)+(H52*D52)+(J47*K47*12),0)</f>
        <v>151666</v>
      </c>
      <c r="M47" s="72"/>
      <c r="N47" s="71">
        <v>1</v>
      </c>
      <c r="O47" s="686">
        <f>ROUND(+$N$10*(($L47*N47)/N$69),0)</f>
        <v>9513</v>
      </c>
      <c r="P47" s="671">
        <f>IF(O47&lt;&gt;0,ROUND((O47/$I47)*$H47,5),ROUND((N$10/$I$69)*$H47*N47,5))</f>
        <v>1.076E-2</v>
      </c>
      <c r="Q47" s="71">
        <v>1</v>
      </c>
      <c r="R47" s="686">
        <f>ROUND(+$Q$10*(($L47*Q47)/Q$69),0)</f>
        <v>1433</v>
      </c>
      <c r="S47" s="599">
        <f>IF(R47&lt;&gt;0,ROUND((R47/$I47)*$H47,5),ROUND((Q$10/$I$69)*$H47*Q47,5))</f>
        <v>1.6199999999999999E-3</v>
      </c>
      <c r="T47" s="71">
        <v>1</v>
      </c>
      <c r="U47" s="686">
        <f>ROUND(+$T$10*(($L47*T47)/T$69),0)</f>
        <v>336</v>
      </c>
      <c r="V47" s="671">
        <f>IF(U47&lt;&gt;0,ROUND((U47/$I47)*$H47,5),ROUND((T$10/$I$69)*$H47*T47,5))</f>
        <v>3.8000000000000002E-4</v>
      </c>
      <c r="W47" s="71">
        <v>1</v>
      </c>
      <c r="X47" s="686">
        <f>ROUND(+$W$10*(($L47*W47)/W$69),0)</f>
        <v>-211</v>
      </c>
      <c r="Y47" s="682">
        <f>IF(X47&lt;&gt;0,ROUND((X47/$I47)*$H47,5),ROUND((W$10/$I$69)*$H47*W47,5))</f>
        <v>-2.4000000000000001E-4</v>
      </c>
      <c r="Z47" s="71">
        <v>1</v>
      </c>
      <c r="AA47" s="196">
        <f>ROUND(+$Z$10*(($L47*Z47)/Z$69),0)</f>
        <v>0</v>
      </c>
      <c r="AB47" s="599">
        <f>IF(AA47&lt;&gt;0,ROUND((AA47/$I47)*$H47,5),ROUND((Z$10/$I$69)*$H47*Z47,5))</f>
        <v>0</v>
      </c>
      <c r="AD47" s="230"/>
    </row>
    <row r="48" spans="1:30" x14ac:dyDescent="0.25">
      <c r="A48" s="43">
        <f t="shared" si="0"/>
        <v>42</v>
      </c>
      <c r="B48" s="69"/>
      <c r="C48" s="18" t="s">
        <v>7</v>
      </c>
      <c r="D48" s="70">
        <f>+'Washington volumes'!J48</f>
        <v>486821</v>
      </c>
      <c r="E48" s="588">
        <f>+'Rates in detail'!D48</f>
        <v>0.3679599999999999</v>
      </c>
      <c r="F48" s="588">
        <f>+'Rates in detail'!E48+'Rates in detail'!F48+'Rates in detail'!G48</f>
        <v>0.27038000000000001</v>
      </c>
      <c r="G48" s="588">
        <f>+Temporaries!D48</f>
        <v>-8.5399999999999972E-3</v>
      </c>
      <c r="H48" s="588">
        <f t="shared" si="14"/>
        <v>0.10611999999999988</v>
      </c>
      <c r="I48" s="706"/>
      <c r="J48" s="231"/>
      <c r="K48" s="70"/>
      <c r="L48" s="706"/>
      <c r="M48" s="72"/>
      <c r="N48" s="71">
        <v>1</v>
      </c>
      <c r="O48" s="687"/>
      <c r="P48" s="604">
        <f>IF(O47&lt;&gt;0,ROUND((O47/$I47)*$H48,5),ROUND((N$10/$I$69)*$H48*N48,5))</f>
        <v>9.6299999999999997E-3</v>
      </c>
      <c r="Q48" s="71">
        <v>1</v>
      </c>
      <c r="R48" s="687"/>
      <c r="S48" s="230">
        <f>IF(R47&lt;&gt;0,ROUND((R47/$I47)*$H48,5),ROUND((Q$10/$I$69)*$H48*Q48,5))</f>
        <v>1.4499999999999999E-3</v>
      </c>
      <c r="T48" s="71">
        <v>1</v>
      </c>
      <c r="U48" s="687"/>
      <c r="V48" s="604">
        <f>IF(U47&lt;&gt;0,ROUND((U47/$I47)*$H48,5),ROUND((T$10/$I$69)*$H48*T48,5))</f>
        <v>3.4000000000000002E-4</v>
      </c>
      <c r="W48" s="71">
        <v>1</v>
      </c>
      <c r="X48" s="687"/>
      <c r="Y48" s="73">
        <f>IF(X47&lt;&gt;0,ROUND((X47/$I47)*$H48,5),ROUND((W$10/$I$69)*$H48*W48,5))</f>
        <v>-2.1000000000000001E-4</v>
      </c>
      <c r="Z48" s="71">
        <v>1</v>
      </c>
      <c r="AA48" s="70"/>
      <c r="AB48" s="230">
        <f>IF(AA47&lt;&gt;0,ROUND((AA47/$I47)*$H48,5),ROUND((Z$10/$I$69)*$H48*Z48,5))</f>
        <v>0</v>
      </c>
      <c r="AD48" s="230"/>
    </row>
    <row r="49" spans="1:30" x14ac:dyDescent="0.25">
      <c r="A49" s="43">
        <f t="shared" si="0"/>
        <v>43</v>
      </c>
      <c r="B49" s="69"/>
      <c r="C49" s="18" t="s">
        <v>8</v>
      </c>
      <c r="D49" s="70">
        <f>+'Washington volumes'!J49</f>
        <v>246036</v>
      </c>
      <c r="E49" s="588">
        <f>+'Rates in detail'!D49</f>
        <v>0.34134000000000014</v>
      </c>
      <c r="F49" s="588">
        <f>+'Rates in detail'!E49+'Rates in detail'!F49+'Rates in detail'!G49</f>
        <v>0.27038000000000001</v>
      </c>
      <c r="G49" s="588">
        <f>+Temporaries!D49</f>
        <v>-1.0419999999999999E-2</v>
      </c>
      <c r="H49" s="588">
        <f t="shared" si="14"/>
        <v>8.1380000000000133E-2</v>
      </c>
      <c r="I49" s="706"/>
      <c r="J49" s="231"/>
      <c r="K49" s="70"/>
      <c r="L49" s="706"/>
      <c r="M49" s="72"/>
      <c r="N49" s="71">
        <v>1</v>
      </c>
      <c r="O49" s="687"/>
      <c r="P49" s="604">
        <f>IF(O47&lt;&gt;0,ROUND((O47/$I47)*$H49,5),ROUND((N$10/$I$69)*$H49*N49,5))</f>
        <v>7.3800000000000003E-3</v>
      </c>
      <c r="Q49" s="71">
        <v>1</v>
      </c>
      <c r="R49" s="687"/>
      <c r="S49" s="230">
        <f>IF(R47&lt;&gt;0,ROUND((R47/$I47)*$H49,5),ROUND((Q$10/$I$69)*$H49*Q49,5))</f>
        <v>1.1100000000000001E-3</v>
      </c>
      <c r="T49" s="71">
        <v>1</v>
      </c>
      <c r="U49" s="687"/>
      <c r="V49" s="604">
        <f>IF(U47&lt;&gt;0,ROUND((U47/$I47)*$H49,5),ROUND((T$10/$I$69)*$H49*T49,5))</f>
        <v>2.5999999999999998E-4</v>
      </c>
      <c r="W49" s="71">
        <v>1</v>
      </c>
      <c r="X49" s="687"/>
      <c r="Y49" s="73">
        <f>IF(X47&lt;&gt;0,ROUND((X47/$I47)*$H49,5),ROUND((W$10/$I$69)*$H49*W49,5))</f>
        <v>-1.6000000000000001E-4</v>
      </c>
      <c r="Z49" s="71">
        <v>1</v>
      </c>
      <c r="AA49" s="70"/>
      <c r="AB49" s="230">
        <f>IF(AA47&lt;&gt;0,ROUND((AA47/$I47)*$H49,5),ROUND((Z$10/$I$69)*$H49*Z49,5))</f>
        <v>0</v>
      </c>
      <c r="AD49" s="230"/>
    </row>
    <row r="50" spans="1:30" x14ac:dyDescent="0.25">
      <c r="A50" s="43">
        <f t="shared" si="0"/>
        <v>44</v>
      </c>
      <c r="B50" s="69"/>
      <c r="C50" s="18" t="s">
        <v>9</v>
      </c>
      <c r="D50" s="70">
        <f>+'Washington volumes'!J50</f>
        <v>54140</v>
      </c>
      <c r="E50" s="588">
        <f>+'Rates in detail'!D50</f>
        <v>0.32383999999999996</v>
      </c>
      <c r="F50" s="588">
        <f>+'Rates in detail'!E50+'Rates in detail'!F50+'Rates in detail'!G50</f>
        <v>0.27038000000000001</v>
      </c>
      <c r="G50" s="588">
        <f>+Temporaries!D50</f>
        <v>-1.1639999999999998E-2</v>
      </c>
      <c r="H50" s="588">
        <f t="shared" si="14"/>
        <v>6.509999999999995E-2</v>
      </c>
      <c r="I50" s="706"/>
      <c r="J50" s="231"/>
      <c r="K50" s="70"/>
      <c r="L50" s="706"/>
      <c r="M50" s="72"/>
      <c r="N50" s="71">
        <v>1</v>
      </c>
      <c r="O50" s="687"/>
      <c r="P50" s="604">
        <f>IF(O47&lt;&gt;0,ROUND((O47/$I47)*$H50,5),ROUND((N$10/$I$69)*$H50*N50,5))</f>
        <v>5.9100000000000003E-3</v>
      </c>
      <c r="Q50" s="71">
        <v>1</v>
      </c>
      <c r="R50" s="687"/>
      <c r="S50" s="230">
        <f>IF(R47&lt;&gt;0,ROUND((R47/$I47)*$H50,5),ROUND((Q$10/$I$69)*$H50*Q50,5))</f>
        <v>8.8999999999999995E-4</v>
      </c>
      <c r="T50" s="71">
        <v>1</v>
      </c>
      <c r="U50" s="687"/>
      <c r="V50" s="604">
        <f>IF(U47&lt;&gt;0,ROUND((U47/$I47)*$H50,5),ROUND((T$10/$I$69)*$H50*T50,5))</f>
        <v>2.1000000000000001E-4</v>
      </c>
      <c r="W50" s="71">
        <v>1</v>
      </c>
      <c r="X50" s="687"/>
      <c r="Y50" s="73">
        <f>IF(X47&lt;&gt;0,ROUND((X47/$I47)*$H50,5),ROUND((W$10/$I$69)*$H50*W50,5))</f>
        <v>-1.2999999999999999E-4</v>
      </c>
      <c r="Z50" s="71">
        <v>1</v>
      </c>
      <c r="AA50" s="70"/>
      <c r="AB50" s="230">
        <f>IF(AA47&lt;&gt;0,ROUND((AA47/$I47)*$H50,5),ROUND((Z$10/$I$69)*$H50*Z50,5))</f>
        <v>0</v>
      </c>
      <c r="AD50" s="230"/>
    </row>
    <row r="51" spans="1:30" x14ac:dyDescent="0.25">
      <c r="A51" s="43">
        <f t="shared" si="0"/>
        <v>45</v>
      </c>
      <c r="B51" s="69"/>
      <c r="C51" s="18" t="s">
        <v>10</v>
      </c>
      <c r="D51" s="70">
        <f>+'Washington volumes'!J51</f>
        <v>0</v>
      </c>
      <c r="E51" s="588">
        <f>+'Rates in detail'!D51</f>
        <v>0.30050000000000004</v>
      </c>
      <c r="F51" s="588">
        <f>+'Rates in detail'!E51+'Rates in detail'!F51+'Rates in detail'!G51</f>
        <v>0.27038000000000001</v>
      </c>
      <c r="G51" s="588">
        <f>+Temporaries!D51</f>
        <v>-1.3279999999999998E-2</v>
      </c>
      <c r="H51" s="588">
        <f t="shared" si="14"/>
        <v>4.3400000000000036E-2</v>
      </c>
      <c r="I51" s="706"/>
      <c r="J51" s="231"/>
      <c r="K51" s="70"/>
      <c r="L51" s="706"/>
      <c r="M51" s="72"/>
      <c r="N51" s="71">
        <v>1</v>
      </c>
      <c r="O51" s="687"/>
      <c r="P51" s="604">
        <f>IF(O47&lt;&gt;0,ROUND((O47/$I47)*$H51,5),ROUND((N$10/$I$69)*$H51*N51,5))</f>
        <v>3.9399999999999999E-3</v>
      </c>
      <c r="Q51" s="71">
        <v>1</v>
      </c>
      <c r="R51" s="687"/>
      <c r="S51" s="230">
        <f>IF(R47&lt;&gt;0,ROUND((R47/$I47)*$H51,5),ROUND((Q$10/$I$69)*$H51*Q51,5))</f>
        <v>5.9000000000000003E-4</v>
      </c>
      <c r="T51" s="71">
        <v>1</v>
      </c>
      <c r="U51" s="687"/>
      <c r="V51" s="604">
        <f>IF(U47&lt;&gt;0,ROUND((U47/$I47)*$H51,5),ROUND((T$10/$I$69)*$H51*T51,5))</f>
        <v>1.3999999999999999E-4</v>
      </c>
      <c r="W51" s="71">
        <v>1</v>
      </c>
      <c r="X51" s="687"/>
      <c r="Y51" s="73">
        <f>IF(X47&lt;&gt;0,ROUND((X47/$I47)*$H51,5),ROUND((W$10/$I$69)*$H51*W51,5))</f>
        <v>-9.0000000000000006E-5</v>
      </c>
      <c r="Z51" s="71">
        <v>1</v>
      </c>
      <c r="AA51" s="70"/>
      <c r="AB51" s="230">
        <f>IF(AA47&lt;&gt;0,ROUND((AA47/$I47)*$H51,5),ROUND((Z$10/$I$69)*$H51*Z51,5))</f>
        <v>0</v>
      </c>
      <c r="AD51" s="230"/>
    </row>
    <row r="52" spans="1:30" x14ac:dyDescent="0.25">
      <c r="A52" s="43">
        <f t="shared" si="0"/>
        <v>46</v>
      </c>
      <c r="B52" s="74"/>
      <c r="C52" s="22" t="s">
        <v>11</v>
      </c>
      <c r="D52" s="64">
        <f>+'Washington volumes'!J52</f>
        <v>0</v>
      </c>
      <c r="E52" s="587">
        <f>+'Rates in detail'!D52</f>
        <v>0.27133999999999991</v>
      </c>
      <c r="F52" s="587">
        <f>+'Rates in detail'!E52+'Rates in detail'!F52+'Rates in detail'!G52</f>
        <v>0.27038000000000001</v>
      </c>
      <c r="G52" s="587">
        <f>+Temporaries!D52</f>
        <v>-1.5319999999999999E-2</v>
      </c>
      <c r="H52" s="587">
        <f t="shared" si="14"/>
        <v>1.6279999999999906E-2</v>
      </c>
      <c r="I52" s="704"/>
      <c r="J52" s="371"/>
      <c r="K52" s="64"/>
      <c r="L52" s="704"/>
      <c r="M52" s="65"/>
      <c r="N52" s="66">
        <v>1</v>
      </c>
      <c r="O52" s="684"/>
      <c r="P52" s="603">
        <f>IF(O47&lt;&gt;0,ROUND((O47/$I47)*$H52,5),ROUND((N$10/$I$69)*$H52*N52,5))</f>
        <v>1.48E-3</v>
      </c>
      <c r="Q52" s="66">
        <v>1</v>
      </c>
      <c r="R52" s="684"/>
      <c r="S52" s="597">
        <f>IF(R47&lt;&gt;0,ROUND((R47/$I47)*$H52,5),ROUND((Q$10/$I$69)*$H52*Q52,5))</f>
        <v>2.2000000000000001E-4</v>
      </c>
      <c r="T52" s="66">
        <v>1</v>
      </c>
      <c r="U52" s="684"/>
      <c r="V52" s="603">
        <f>IF(U47&lt;&gt;0,ROUND((U47/$I47)*$H52,5),ROUND((T$10/$I$69)*$H52*T52,5))</f>
        <v>5.0000000000000002E-5</v>
      </c>
      <c r="W52" s="66">
        <v>1</v>
      </c>
      <c r="X52" s="684"/>
      <c r="Y52" s="67">
        <f>IF(X47&lt;&gt;0,ROUND((X47/$I47)*$H52,5),ROUND((W$10/$I$69)*$H52*W52,5))</f>
        <v>-3.0000000000000001E-5</v>
      </c>
      <c r="Z52" s="66">
        <v>1</v>
      </c>
      <c r="AA52" s="64"/>
      <c r="AB52" s="597">
        <f>IF(AA47&lt;&gt;0,ROUND((AA47/$I47)*$H52,5),ROUND((Z$10/$I$69)*$H52*Z52,5))</f>
        <v>0</v>
      </c>
      <c r="AD52" s="230"/>
    </row>
    <row r="53" spans="1:30" x14ac:dyDescent="0.25">
      <c r="A53" s="43">
        <f t="shared" si="0"/>
        <v>47</v>
      </c>
      <c r="B53" s="69" t="s">
        <v>370</v>
      </c>
      <c r="C53" s="18" t="s">
        <v>6</v>
      </c>
      <c r="D53" s="70">
        <f>+'Washington volumes'!J53</f>
        <v>179269</v>
      </c>
      <c r="E53" s="588">
        <f>+'Rates in detail'!D53</f>
        <v>0.37669999999999992</v>
      </c>
      <c r="F53" s="588">
        <f>+'Rates in detail'!E53+'Rates in detail'!F53+'Rates in detail'!G53</f>
        <v>0.27038000000000001</v>
      </c>
      <c r="G53" s="588">
        <f>+Temporaries!D53</f>
        <v>-1.2379999999999999E-2</v>
      </c>
      <c r="H53" s="588">
        <f t="shared" si="13"/>
        <v>0.11869999999999992</v>
      </c>
      <c r="I53" s="705">
        <f>ROUND((+H53*D53)+(H54*D54)+(H55*D55)+(H56*D56)+(H57*D57)+(H58*D58),0)</f>
        <v>36173</v>
      </c>
      <c r="J53" s="231">
        <f>+'Avg Bill by RS'!G62</f>
        <v>1300</v>
      </c>
      <c r="K53" s="70">
        <f>+'Washington volumes'!L53</f>
        <v>2</v>
      </c>
      <c r="L53" s="705">
        <f>ROUND((+H53*D53)+(H54*D54)+(H55*D55)+(H56*D56)+(H57*D57)+(H58*D58)+(J53*K53*12),0)</f>
        <v>67373</v>
      </c>
      <c r="M53" s="72"/>
      <c r="N53" s="71">
        <v>0</v>
      </c>
      <c r="O53" s="686">
        <f>ROUND(+$N$10*(($L53*N53)/N$69),0)</f>
        <v>0</v>
      </c>
      <c r="P53" s="671">
        <f>IF(O53&lt;&gt;0,ROUND((O53/$I53)*$H53,5),ROUND((N$10/$I$69)*$H53*N53,5))</f>
        <v>0</v>
      </c>
      <c r="Q53" s="71">
        <v>1</v>
      </c>
      <c r="R53" s="686">
        <f>ROUND(+$Q$10*(($L53*Q53)/Q$69),0)</f>
        <v>636</v>
      </c>
      <c r="S53" s="599">
        <f>IF(R53&lt;&gt;0,ROUND((R53/$I53)*$H53,5),ROUND((Q$10/$I$69)*$H53*Q53,5))</f>
        <v>2.0899999999999998E-3</v>
      </c>
      <c r="T53" s="71">
        <v>1</v>
      </c>
      <c r="U53" s="686">
        <f>ROUND(+$T$10*(($L53*T53)/T$69),0)</f>
        <v>149</v>
      </c>
      <c r="V53" s="671">
        <f>IF(U53&lt;&gt;0,ROUND((U53/$I53)*$H53,5),ROUND((T$10/$I$69)*$H53*T53,5))</f>
        <v>4.8999999999999998E-4</v>
      </c>
      <c r="W53" s="71">
        <v>1</v>
      </c>
      <c r="X53" s="686">
        <f>ROUND(+$W$10*(($L53*W53)/W$69),0)</f>
        <v>-94</v>
      </c>
      <c r="Y53" s="682">
        <f>IF(X53&lt;&gt;0,ROUND((X53/$I53)*$H53,5),ROUND((W$10/$I$69)*$H53*W53,5))</f>
        <v>-3.1E-4</v>
      </c>
      <c r="Z53" s="71">
        <v>1</v>
      </c>
      <c r="AA53" s="196">
        <f>ROUND(+$Z$10*(($L53*Z53)/Z$69),0)</f>
        <v>0</v>
      </c>
      <c r="AB53" s="599">
        <f>IF(AA53&lt;&gt;0,ROUND((AA53/$I53)*$H53,5),ROUND((Z$10/$I$69)*$H53*Z53,5))</f>
        <v>0</v>
      </c>
      <c r="AD53" s="230"/>
    </row>
    <row r="54" spans="1:30" x14ac:dyDescent="0.25">
      <c r="A54" s="43">
        <f t="shared" si="0"/>
        <v>48</v>
      </c>
      <c r="B54" s="69"/>
      <c r="C54" s="18" t="s">
        <v>7</v>
      </c>
      <c r="D54" s="70">
        <f>+'Washington volumes'!J54</f>
        <v>140180</v>
      </c>
      <c r="E54" s="588">
        <f>+'Rates in detail'!D54</f>
        <v>0.36380999999999991</v>
      </c>
      <c r="F54" s="588">
        <f>+'Rates in detail'!E54+'Rates in detail'!F54+'Rates in detail'!G54</f>
        <v>0.27038000000000001</v>
      </c>
      <c r="G54" s="588">
        <f>+Temporaries!D54</f>
        <v>-1.2819999999999998E-2</v>
      </c>
      <c r="H54" s="588">
        <f t="shared" si="13"/>
        <v>0.1062499999999999</v>
      </c>
      <c r="I54" s="706"/>
      <c r="J54" s="231"/>
      <c r="K54" s="70"/>
      <c r="L54" s="706"/>
      <c r="M54" s="72"/>
      <c r="N54" s="71">
        <v>0</v>
      </c>
      <c r="O54" s="687"/>
      <c r="P54" s="604">
        <f>IF(O53&lt;&gt;0,ROUND((O53/$I53)*$H54,5),ROUND((N$10/$I$69)*$H54*N54,5))</f>
        <v>0</v>
      </c>
      <c r="Q54" s="71">
        <v>1</v>
      </c>
      <c r="R54" s="687"/>
      <c r="S54" s="230">
        <f>IF(R53&lt;&gt;0,ROUND((R53/$I53)*$H54,5),ROUND((Q$10/$I$69)*$H54*Q54,5))</f>
        <v>1.8699999999999999E-3</v>
      </c>
      <c r="T54" s="71">
        <v>1</v>
      </c>
      <c r="U54" s="687"/>
      <c r="V54" s="604">
        <f>IF(U53&lt;&gt;0,ROUND((U53/$I53)*$H54,5),ROUND((T$10/$I$69)*$H54*T54,5))</f>
        <v>4.4000000000000002E-4</v>
      </c>
      <c r="W54" s="71">
        <v>1</v>
      </c>
      <c r="X54" s="687"/>
      <c r="Y54" s="73">
        <f>IF(X53&lt;&gt;0,ROUND((X53/$I53)*$H54,5),ROUND((W$10/$I$69)*$H54*W54,5))</f>
        <v>-2.7999999999999998E-4</v>
      </c>
      <c r="Z54" s="71">
        <v>1</v>
      </c>
      <c r="AA54" s="70"/>
      <c r="AB54" s="230">
        <f>IF(AA53&lt;&gt;0,ROUND((AA53/$I53)*$H54,5),ROUND((Z$10/$I$69)*$H54*Z54,5))</f>
        <v>0</v>
      </c>
      <c r="AD54" s="230"/>
    </row>
    <row r="55" spans="1:30" x14ac:dyDescent="0.25">
      <c r="A55" s="43">
        <f t="shared" si="0"/>
        <v>49</v>
      </c>
      <c r="B55" s="69"/>
      <c r="C55" s="18" t="s">
        <v>8</v>
      </c>
      <c r="D55" s="70">
        <f>+'Washington volumes'!J55</f>
        <v>0</v>
      </c>
      <c r="E55" s="588">
        <f>+'Rates in detail'!D55</f>
        <v>0.33817000000000014</v>
      </c>
      <c r="F55" s="588">
        <f>+'Rates in detail'!E55+'Rates in detail'!F55+'Rates in detail'!G55</f>
        <v>0.27038000000000001</v>
      </c>
      <c r="G55" s="588">
        <f>+Temporaries!D55</f>
        <v>-1.3689999999999999E-2</v>
      </c>
      <c r="H55" s="588">
        <f t="shared" si="13"/>
        <v>8.1480000000000122E-2</v>
      </c>
      <c r="I55" s="706"/>
      <c r="J55" s="231"/>
      <c r="K55" s="70"/>
      <c r="L55" s="706"/>
      <c r="M55" s="72"/>
      <c r="N55" s="71">
        <v>0</v>
      </c>
      <c r="O55" s="687"/>
      <c r="P55" s="604">
        <f>IF(O53&lt;&gt;0,ROUND((O53/$I53)*$H55,5),ROUND((N$10/$I$69)*$H55*N55,5))</f>
        <v>0</v>
      </c>
      <c r="Q55" s="71">
        <v>1</v>
      </c>
      <c r="R55" s="687"/>
      <c r="S55" s="230">
        <f>IF(R53&lt;&gt;0,ROUND((R53/$I53)*$H55,5),ROUND((Q$10/$I$69)*$H55*Q55,5))</f>
        <v>1.4300000000000001E-3</v>
      </c>
      <c r="T55" s="71">
        <v>1</v>
      </c>
      <c r="U55" s="687"/>
      <c r="V55" s="604">
        <f>IF(U53&lt;&gt;0,ROUND((U53/$I53)*$H55,5),ROUND((T$10/$I$69)*$H55*T55,5))</f>
        <v>3.4000000000000002E-4</v>
      </c>
      <c r="W55" s="71">
        <v>1</v>
      </c>
      <c r="X55" s="687"/>
      <c r="Y55" s="73">
        <f>IF(X53&lt;&gt;0,ROUND((X53/$I53)*$H55,5),ROUND((W$10/$I$69)*$H55*W55,5))</f>
        <v>-2.1000000000000001E-4</v>
      </c>
      <c r="Z55" s="71">
        <v>1</v>
      </c>
      <c r="AA55" s="70"/>
      <c r="AB55" s="230">
        <f>IF(AA53&lt;&gt;0,ROUND((AA53/$I53)*$H55,5),ROUND((Z$10/$I$69)*$H55*Z55,5))</f>
        <v>0</v>
      </c>
      <c r="AD55" s="230"/>
    </row>
    <row r="56" spans="1:30" x14ac:dyDescent="0.25">
      <c r="A56" s="43">
        <f t="shared" si="0"/>
        <v>50</v>
      </c>
      <c r="B56" s="69"/>
      <c r="C56" s="18" t="s">
        <v>9</v>
      </c>
      <c r="D56" s="70">
        <f>+'Washington volumes'!J56</f>
        <v>0</v>
      </c>
      <c r="E56" s="588">
        <f>+'Rates in detail'!D56</f>
        <v>0.32129999999999981</v>
      </c>
      <c r="F56" s="588">
        <f>+'Rates in detail'!E56+'Rates in detail'!F56+'Rates in detail'!G56</f>
        <v>0.27038000000000001</v>
      </c>
      <c r="G56" s="588">
        <f>+Temporaries!D56</f>
        <v>-1.4259999999999998E-2</v>
      </c>
      <c r="H56" s="588">
        <f t="shared" si="13"/>
        <v>6.5179999999999794E-2</v>
      </c>
      <c r="I56" s="706"/>
      <c r="J56" s="231"/>
      <c r="K56" s="70"/>
      <c r="L56" s="706"/>
      <c r="M56" s="72"/>
      <c r="N56" s="71">
        <v>0</v>
      </c>
      <c r="O56" s="687"/>
      <c r="P56" s="604">
        <f>IF(O53&lt;&gt;0,ROUND((O53/$I53)*$H56,5),ROUND((N$10/$I$69)*$H56*N56,5))</f>
        <v>0</v>
      </c>
      <c r="Q56" s="71">
        <v>1</v>
      </c>
      <c r="R56" s="687"/>
      <c r="S56" s="230">
        <f>IF(R53&lt;&gt;0,ROUND((R53/$I53)*$H56,5),ROUND((Q$10/$I$69)*$H56*Q56,5))</f>
        <v>1.15E-3</v>
      </c>
      <c r="T56" s="71">
        <v>1</v>
      </c>
      <c r="U56" s="687"/>
      <c r="V56" s="604">
        <f>IF(U53&lt;&gt;0,ROUND((U53/$I53)*$H56,5),ROUND((T$10/$I$69)*$H56*T56,5))</f>
        <v>2.7E-4</v>
      </c>
      <c r="W56" s="71">
        <v>1</v>
      </c>
      <c r="X56" s="687"/>
      <c r="Y56" s="73">
        <f>IF(X53&lt;&gt;0,ROUND((X53/$I53)*$H56,5),ROUND((W$10/$I$69)*$H56*W56,5))</f>
        <v>-1.7000000000000001E-4</v>
      </c>
      <c r="Z56" s="71">
        <v>1</v>
      </c>
      <c r="AA56" s="70"/>
      <c r="AB56" s="230">
        <f>IF(AA53&lt;&gt;0,ROUND((AA53/$I53)*$H56,5),ROUND((Z$10/$I$69)*$H56*Z56,5))</f>
        <v>0</v>
      </c>
      <c r="AD56" s="230"/>
    </row>
    <row r="57" spans="1:30" x14ac:dyDescent="0.25">
      <c r="A57" s="43">
        <f t="shared" si="0"/>
        <v>51</v>
      </c>
      <c r="B57" s="69"/>
      <c r="C57" s="18" t="s">
        <v>10</v>
      </c>
      <c r="D57" s="70">
        <f>+'Washington volumes'!J57</f>
        <v>0</v>
      </c>
      <c r="E57" s="588">
        <f>+'Rates in detail'!D57</f>
        <v>0.29879</v>
      </c>
      <c r="F57" s="588">
        <f>+'Rates in detail'!E57+'Rates in detail'!F57+'Rates in detail'!G57</f>
        <v>0.27038000000000001</v>
      </c>
      <c r="G57" s="588">
        <f>+Temporaries!D57</f>
        <v>-1.5039999999999998E-2</v>
      </c>
      <c r="H57" s="588">
        <f t="shared" si="13"/>
        <v>4.3449999999999989E-2</v>
      </c>
      <c r="I57" s="706"/>
      <c r="J57" s="231"/>
      <c r="K57" s="70"/>
      <c r="L57" s="706"/>
      <c r="M57" s="72"/>
      <c r="N57" s="71">
        <v>0</v>
      </c>
      <c r="O57" s="687"/>
      <c r="P57" s="604">
        <f>IF(O53&lt;&gt;0,ROUND((O53/$I53)*$H57,5),ROUND((N$10/$I$69)*$H57*N57,5))</f>
        <v>0</v>
      </c>
      <c r="Q57" s="71">
        <v>1</v>
      </c>
      <c r="R57" s="687"/>
      <c r="S57" s="230">
        <f>IF(R53&lt;&gt;0,ROUND((R53/$I53)*$H57,5),ROUND((Q$10/$I$69)*$H57*Q57,5))</f>
        <v>7.6000000000000004E-4</v>
      </c>
      <c r="T57" s="71">
        <v>1</v>
      </c>
      <c r="U57" s="687"/>
      <c r="V57" s="604">
        <f>IF(U53&lt;&gt;0,ROUND((U53/$I53)*$H57,5),ROUND((T$10/$I$69)*$H57*T57,5))</f>
        <v>1.8000000000000001E-4</v>
      </c>
      <c r="W57" s="71">
        <v>1</v>
      </c>
      <c r="X57" s="687"/>
      <c r="Y57" s="73">
        <f>IF(X53&lt;&gt;0,ROUND((X53/$I53)*$H57,5),ROUND((W$10/$I$69)*$H57*W57,5))</f>
        <v>-1.1E-4</v>
      </c>
      <c r="Z57" s="71">
        <v>1</v>
      </c>
      <c r="AA57" s="70"/>
      <c r="AB57" s="230">
        <f>IF(AA53&lt;&gt;0,ROUND((AA53/$I53)*$H57,5),ROUND((Z$10/$I$69)*$H57*Z57,5))</f>
        <v>0</v>
      </c>
      <c r="AD57" s="230"/>
    </row>
    <row r="58" spans="1:30" x14ac:dyDescent="0.25">
      <c r="A58" s="43">
        <f t="shared" si="0"/>
        <v>52</v>
      </c>
      <c r="B58" s="74"/>
      <c r="C58" s="22" t="s">
        <v>11</v>
      </c>
      <c r="D58" s="64">
        <f>+'Washington volumes'!J58</f>
        <v>0</v>
      </c>
      <c r="E58" s="587">
        <f>+'Rates in detail'!D58</f>
        <v>0.27068999999999993</v>
      </c>
      <c r="F58" s="587">
        <f>+'Rates in detail'!E58+'Rates in detail'!F58+'Rates in detail'!G58</f>
        <v>0.27038000000000001</v>
      </c>
      <c r="G58" s="587">
        <f>+Temporaries!D58</f>
        <v>-1.5989999999999997E-2</v>
      </c>
      <c r="H58" s="587">
        <f t="shared" si="13"/>
        <v>1.6299999999999919E-2</v>
      </c>
      <c r="I58" s="704"/>
      <c r="J58" s="371"/>
      <c r="K58" s="64"/>
      <c r="L58" s="704"/>
      <c r="M58" s="65"/>
      <c r="N58" s="66">
        <v>0</v>
      </c>
      <c r="O58" s="684"/>
      <c r="P58" s="603">
        <f>IF(O53&lt;&gt;0,ROUND((O53/$I53)*$H58,5),ROUND((N$10/$I$69)*$H58*N58,5))</f>
        <v>0</v>
      </c>
      <c r="Q58" s="66">
        <v>1</v>
      </c>
      <c r="R58" s="684"/>
      <c r="S58" s="597">
        <f>IF(R53&lt;&gt;0,ROUND((R53/$I53)*$H58,5),ROUND((Q$10/$I$69)*$H58*Q58,5))</f>
        <v>2.9E-4</v>
      </c>
      <c r="T58" s="66">
        <v>1</v>
      </c>
      <c r="U58" s="684"/>
      <c r="V58" s="603">
        <f>IF(U53&lt;&gt;0,ROUND((U53/$I53)*$H58,5),ROUND((T$10/$I$69)*$H58*T58,5))</f>
        <v>6.9999999999999994E-5</v>
      </c>
      <c r="W58" s="66">
        <v>1</v>
      </c>
      <c r="X58" s="684"/>
      <c r="Y58" s="67">
        <f>IF(X53&lt;&gt;0,ROUND((X53/$I53)*$H58,5),ROUND((W$10/$I$69)*$H58*W58,5))</f>
        <v>-4.0000000000000003E-5</v>
      </c>
      <c r="Z58" s="66">
        <v>1</v>
      </c>
      <c r="AA58" s="64"/>
      <c r="AB58" s="597">
        <f>IF(AA53&lt;&gt;0,ROUND((AA53/$I53)*$H58,5),ROUND((Z$10/$I$69)*$H58*Z58,5))</f>
        <v>0</v>
      </c>
      <c r="AD58" s="230"/>
    </row>
    <row r="59" spans="1:30" x14ac:dyDescent="0.25">
      <c r="A59" s="43">
        <f t="shared" si="0"/>
        <v>53</v>
      </c>
      <c r="B59" s="69" t="s">
        <v>166</v>
      </c>
      <c r="C59" s="18" t="s">
        <v>6</v>
      </c>
      <c r="D59" s="70">
        <f>+'Washington volumes'!J59</f>
        <v>906535</v>
      </c>
      <c r="E59" s="589">
        <f>+'Rates in detail'!D59</f>
        <v>0.11817999999999999</v>
      </c>
      <c r="F59" s="589">
        <f>+'Rates in detail'!E59+'Rates in detail'!F59+'Rates in detail'!G59</f>
        <v>0</v>
      </c>
      <c r="G59" s="589">
        <f>+Temporaries!D59</f>
        <v>0</v>
      </c>
      <c r="H59" s="589">
        <f t="shared" si="13"/>
        <v>0.11817999999999999</v>
      </c>
      <c r="I59" s="705">
        <f>ROUND((+H59*D59)+(H60*D60)+(H61*D61)+(H62*D62)+(H63*D63)+(H64*D64),0)</f>
        <v>778666</v>
      </c>
      <c r="J59" s="372">
        <f>+'Avg Bill by RS'!G69</f>
        <v>1550</v>
      </c>
      <c r="K59" s="70">
        <f>+'Washington volumes'!L59</f>
        <v>11</v>
      </c>
      <c r="L59" s="705">
        <f>ROUND((+H59*D59)+(H60*D60)+(H61*D61)+(H62*D62)+(H63*D63)+(H64*D64)+(J59*K59*12),0)</f>
        <v>983266</v>
      </c>
      <c r="M59" s="76"/>
      <c r="N59" s="71">
        <v>0</v>
      </c>
      <c r="O59" s="686">
        <f>ROUND(+$N$10*(($L59*N59)/N$69),0)</f>
        <v>0</v>
      </c>
      <c r="P59" s="671">
        <f>IF(O59&lt;&gt;0,ROUND((O59/$I59)*$H59,5),ROUND((N$10/$I$69)*$H59*N59,5))</f>
        <v>0</v>
      </c>
      <c r="Q59" s="71">
        <v>0</v>
      </c>
      <c r="R59" s="686">
        <f>ROUND(+$Q$10*(($L59*Q59)/Q$69),0)</f>
        <v>0</v>
      </c>
      <c r="S59" s="599">
        <f>IF(R59&lt;&gt;0,ROUND((R59/$I59)*$H59,5),ROUND((Q$10/$I$69)*$H59*Q59,5))</f>
        <v>0</v>
      </c>
      <c r="T59" s="71">
        <v>0</v>
      </c>
      <c r="U59" s="686">
        <f>ROUND(+$T$10*(($L59*T59)/T$69),0)</f>
        <v>0</v>
      </c>
      <c r="V59" s="671">
        <f>IF(U59&lt;&gt;0,ROUND((U59/$I59)*$H59,5),ROUND((T$10/$I$69)*$H59*T59,5))</f>
        <v>0</v>
      </c>
      <c r="W59" s="71">
        <v>1</v>
      </c>
      <c r="X59" s="686">
        <f>ROUND(+$W$10*(($L59*W59)/W$69),0)</f>
        <v>-1368</v>
      </c>
      <c r="Y59" s="682">
        <f>IF(X59&lt;&gt;0,ROUND((X59/$I59)*$H59,5),ROUND((W$10/$I$69)*$H59*W59,5))</f>
        <v>-2.1000000000000001E-4</v>
      </c>
      <c r="Z59" s="71">
        <v>0</v>
      </c>
      <c r="AA59" s="196">
        <f>ROUND(+$Z$10*(($L59*Z59)/Z$69),0)</f>
        <v>0</v>
      </c>
      <c r="AB59" s="599">
        <f>IF(AA59&lt;&gt;0,ROUND((AA59/$I59)*$H59,5),ROUND((Z$10/$I$69)*$H59*Z59,5))</f>
        <v>0</v>
      </c>
      <c r="AD59" s="230"/>
    </row>
    <row r="60" spans="1:30" x14ac:dyDescent="0.25">
      <c r="A60" s="43">
        <f t="shared" si="0"/>
        <v>54</v>
      </c>
      <c r="B60" s="69"/>
      <c r="C60" s="18" t="s">
        <v>7</v>
      </c>
      <c r="D60" s="70">
        <f>+'Washington volumes'!J60</f>
        <v>1644618</v>
      </c>
      <c r="E60" s="590">
        <f>+'Rates in detail'!D60</f>
        <v>0.10579</v>
      </c>
      <c r="F60" s="590">
        <f>+'Rates in detail'!E60+'Rates in detail'!F60+'Rates in detail'!G60</f>
        <v>0</v>
      </c>
      <c r="G60" s="590">
        <f>+Temporaries!D60</f>
        <v>0</v>
      </c>
      <c r="H60" s="590">
        <f t="shared" si="13"/>
        <v>0.10579</v>
      </c>
      <c r="I60" s="706"/>
      <c r="J60" s="373"/>
      <c r="K60" s="70"/>
      <c r="L60" s="706"/>
      <c r="M60" s="76"/>
      <c r="N60" s="71">
        <v>0</v>
      </c>
      <c r="O60" s="687"/>
      <c r="P60" s="604">
        <f>IF(O59&lt;&gt;0,ROUND((O59/$I59)*$H60,5),ROUND((N$10/$I$69)*$H60*N60,5))</f>
        <v>0</v>
      </c>
      <c r="Q60" s="71">
        <v>0</v>
      </c>
      <c r="R60" s="687"/>
      <c r="S60" s="230">
        <f>IF(R59&lt;&gt;0,ROUND((R59/$I59)*$H60,5),ROUND((Q$10/$I$69)*$H60*Q60,5))</f>
        <v>0</v>
      </c>
      <c r="T60" s="71">
        <v>0</v>
      </c>
      <c r="U60" s="687"/>
      <c r="V60" s="604">
        <f>IF(U59&lt;&gt;0,ROUND((U59/$I59)*$H60,5),ROUND((T$10/$I$69)*$H60*T60,5))</f>
        <v>0</v>
      </c>
      <c r="W60" s="71">
        <v>1</v>
      </c>
      <c r="X60" s="687"/>
      <c r="Y60" s="73">
        <f>IF(X59&lt;&gt;0,ROUND((X59/$I59)*$H60,5),ROUND((W$10/$I$69)*$H60*W60,5))</f>
        <v>-1.9000000000000001E-4</v>
      </c>
      <c r="Z60" s="71">
        <v>0</v>
      </c>
      <c r="AA60" s="70"/>
      <c r="AB60" s="230">
        <f>IF(AA59&lt;&gt;0,ROUND((AA59/$I59)*$H60,5),ROUND((Z$10/$I$69)*$H60*Z60,5))</f>
        <v>0</v>
      </c>
      <c r="AD60" s="230"/>
    </row>
    <row r="61" spans="1:30" x14ac:dyDescent="0.25">
      <c r="A61" s="43">
        <f t="shared" si="0"/>
        <v>55</v>
      </c>
      <c r="B61" s="69"/>
      <c r="C61" s="18" t="s">
        <v>8</v>
      </c>
      <c r="D61" s="70">
        <f>+'Washington volumes'!J61</f>
        <v>1375643</v>
      </c>
      <c r="E61" s="590">
        <f>+'Rates in detail'!D61</f>
        <v>8.1119999999999998E-2</v>
      </c>
      <c r="F61" s="590">
        <f>+'Rates in detail'!E61+'Rates in detail'!F61+'Rates in detail'!G61</f>
        <v>0</v>
      </c>
      <c r="G61" s="590">
        <f>+Temporaries!D61</f>
        <v>0</v>
      </c>
      <c r="H61" s="590">
        <f t="shared" si="13"/>
        <v>8.1119999999999998E-2</v>
      </c>
      <c r="I61" s="706"/>
      <c r="J61" s="373"/>
      <c r="K61" s="70"/>
      <c r="L61" s="706"/>
      <c r="M61" s="76"/>
      <c r="N61" s="71">
        <v>0</v>
      </c>
      <c r="O61" s="687"/>
      <c r="P61" s="604">
        <f>IF(O59&lt;&gt;0,ROUND((O59/$I59)*$H61,5),ROUND((N$10/$I$69)*$H61*N61,5))</f>
        <v>0</v>
      </c>
      <c r="Q61" s="71">
        <v>0</v>
      </c>
      <c r="R61" s="687"/>
      <c r="S61" s="230">
        <f>IF(R59&lt;&gt;0,ROUND((R59/$I59)*$H61,5),ROUND((Q$10/$I$69)*$H61*Q61,5))</f>
        <v>0</v>
      </c>
      <c r="T61" s="71">
        <v>0</v>
      </c>
      <c r="U61" s="687"/>
      <c r="V61" s="604">
        <f>IF(U59&lt;&gt;0,ROUND((U59/$I59)*$H61,5),ROUND((T$10/$I$69)*$H61*T61,5))</f>
        <v>0</v>
      </c>
      <c r="W61" s="71">
        <v>1</v>
      </c>
      <c r="X61" s="687"/>
      <c r="Y61" s="73">
        <f>IF(X59&lt;&gt;0,ROUND((X59/$I59)*$H61,5),ROUND((W$10/$I$69)*$H61*W61,5))</f>
        <v>-1.3999999999999999E-4</v>
      </c>
      <c r="Z61" s="71">
        <v>0</v>
      </c>
      <c r="AA61" s="70"/>
      <c r="AB61" s="230">
        <f>IF(AA59&lt;&gt;0,ROUND((AA59/$I59)*$H61,5),ROUND((Z$10/$I$69)*$H61*Z61,5))</f>
        <v>0</v>
      </c>
      <c r="AD61" s="230"/>
    </row>
    <row r="62" spans="1:30" x14ac:dyDescent="0.25">
      <c r="A62" s="43">
        <f t="shared" si="0"/>
        <v>56</v>
      </c>
      <c r="B62" s="69"/>
      <c r="C62" s="18" t="s">
        <v>9</v>
      </c>
      <c r="D62" s="70">
        <f>+'Washington volumes'!J62</f>
        <v>4240259</v>
      </c>
      <c r="E62" s="590">
        <f>+'Rates in detail'!D62</f>
        <v>6.4899999999999999E-2</v>
      </c>
      <c r="F62" s="590">
        <f>+'Rates in detail'!E62+'Rates in detail'!F62+'Rates in detail'!G62</f>
        <v>0</v>
      </c>
      <c r="G62" s="590">
        <f>+Temporaries!D62</f>
        <v>0</v>
      </c>
      <c r="H62" s="590">
        <f t="shared" si="13"/>
        <v>6.4899999999999999E-2</v>
      </c>
      <c r="I62" s="706"/>
      <c r="J62" s="373"/>
      <c r="K62" s="70"/>
      <c r="L62" s="706"/>
      <c r="M62" s="76"/>
      <c r="N62" s="71">
        <v>0</v>
      </c>
      <c r="O62" s="687"/>
      <c r="P62" s="604">
        <f>IF(O59&lt;&gt;0,ROUND((O59/$I59)*$H62,5),ROUND((N$10/$I$69)*$H62*N62,5))</f>
        <v>0</v>
      </c>
      <c r="Q62" s="71">
        <v>0</v>
      </c>
      <c r="R62" s="687"/>
      <c r="S62" s="230">
        <f>IF(R59&lt;&gt;0,ROUND((R59/$I59)*$H62,5),ROUND((Q$10/$I$69)*$H62*Q62,5))</f>
        <v>0</v>
      </c>
      <c r="T62" s="71">
        <v>0</v>
      </c>
      <c r="U62" s="687"/>
      <c r="V62" s="604">
        <f>IF(U59&lt;&gt;0,ROUND((U59/$I59)*$H62,5),ROUND((T$10/$I$69)*$H62*T62,5))</f>
        <v>0</v>
      </c>
      <c r="W62" s="71">
        <v>1</v>
      </c>
      <c r="X62" s="687"/>
      <c r="Y62" s="73">
        <f>IF(X59&lt;&gt;0,ROUND((X59/$I59)*$H62,5),ROUND((W$10/$I$69)*$H62*W62,5))</f>
        <v>-1.1E-4</v>
      </c>
      <c r="Z62" s="71">
        <v>0</v>
      </c>
      <c r="AA62" s="70"/>
      <c r="AB62" s="230">
        <f>IF(AA59&lt;&gt;0,ROUND((AA59/$I59)*$H62,5),ROUND((Z$10/$I$69)*$H62*Z62,5))</f>
        <v>0</v>
      </c>
      <c r="AD62" s="230"/>
    </row>
    <row r="63" spans="1:30" x14ac:dyDescent="0.25">
      <c r="A63" s="43">
        <f t="shared" si="0"/>
        <v>57</v>
      </c>
      <c r="B63" s="69"/>
      <c r="C63" s="18" t="s">
        <v>10</v>
      </c>
      <c r="D63" s="70">
        <f>+'Washington volumes'!J63</f>
        <v>2559794</v>
      </c>
      <c r="E63" s="590">
        <f>+'Rates in detail'!D63</f>
        <v>4.3270000000000003E-2</v>
      </c>
      <c r="F63" s="590">
        <f>+'Rates in detail'!E63+'Rates in detail'!F63+'Rates in detail'!G63</f>
        <v>0</v>
      </c>
      <c r="G63" s="590">
        <f>+Temporaries!D63</f>
        <v>0</v>
      </c>
      <c r="H63" s="590">
        <f t="shared" si="13"/>
        <v>4.3270000000000003E-2</v>
      </c>
      <c r="I63" s="706"/>
      <c r="J63" s="373"/>
      <c r="K63" s="70"/>
      <c r="L63" s="706"/>
      <c r="M63" s="76"/>
      <c r="N63" s="71">
        <v>0</v>
      </c>
      <c r="O63" s="687"/>
      <c r="P63" s="604">
        <f>IF(O59&lt;&gt;0,ROUND((O59/$I59)*$H63,5),ROUND((N$10/$I$69)*$H63*N63,5))</f>
        <v>0</v>
      </c>
      <c r="Q63" s="71">
        <v>0</v>
      </c>
      <c r="R63" s="687"/>
      <c r="S63" s="230">
        <f>IF(R59&lt;&gt;0,ROUND((R59/$I59)*$H63,5),ROUND((Q$10/$I$69)*$H63*Q63,5))</f>
        <v>0</v>
      </c>
      <c r="T63" s="71">
        <v>0</v>
      </c>
      <c r="U63" s="687"/>
      <c r="V63" s="604">
        <f>IF(U59&lt;&gt;0,ROUND((U59/$I59)*$H63,5),ROUND((T$10/$I$69)*$H63*T63,5))</f>
        <v>0</v>
      </c>
      <c r="W63" s="71">
        <v>1</v>
      </c>
      <c r="X63" s="687"/>
      <c r="Y63" s="73">
        <f>IF(X59&lt;&gt;0,ROUND((X59/$I59)*$H63,5),ROUND((W$10/$I$69)*$H63*W63,5))</f>
        <v>-8.0000000000000007E-5</v>
      </c>
      <c r="Z63" s="71">
        <v>0</v>
      </c>
      <c r="AA63" s="70"/>
      <c r="AB63" s="230">
        <f>IF(AA59&lt;&gt;0,ROUND((AA59/$I59)*$H63,5),ROUND((Z$10/$I$69)*$H63*Z63,5))</f>
        <v>0</v>
      </c>
      <c r="AD63" s="230"/>
    </row>
    <row r="64" spans="1:30" x14ac:dyDescent="0.25">
      <c r="A64" s="43">
        <f t="shared" si="0"/>
        <v>58</v>
      </c>
      <c r="B64" s="74"/>
      <c r="C64" s="22" t="s">
        <v>11</v>
      </c>
      <c r="D64" s="64">
        <f>+'Washington volumes'!J64</f>
        <v>0</v>
      </c>
      <c r="E64" s="591">
        <f>+'Rates in detail'!D64</f>
        <v>1.6219999999999998E-2</v>
      </c>
      <c r="F64" s="591">
        <f>+'Rates in detail'!E64+'Rates in detail'!F64+'Rates in detail'!G64</f>
        <v>0</v>
      </c>
      <c r="G64" s="591">
        <f>+Temporaries!D64</f>
        <v>0</v>
      </c>
      <c r="H64" s="591">
        <f t="shared" si="13"/>
        <v>1.6219999999999998E-2</v>
      </c>
      <c r="I64" s="704"/>
      <c r="J64" s="374"/>
      <c r="K64" s="64"/>
      <c r="L64" s="704"/>
      <c r="M64" s="80"/>
      <c r="N64" s="66">
        <v>0</v>
      </c>
      <c r="O64" s="684"/>
      <c r="P64" s="603">
        <f>IF(O59&lt;&gt;0,ROUND((O59/$I59)*$H64,5),ROUND((N$10/$I$69)*$H64*N64,5))</f>
        <v>0</v>
      </c>
      <c r="Q64" s="66">
        <v>0</v>
      </c>
      <c r="R64" s="684"/>
      <c r="S64" s="597">
        <f>IF(R59&lt;&gt;0,ROUND((R59/$I59)*$H64,5),ROUND((Q$10/$I$69)*$H64*Q64,5))</f>
        <v>0</v>
      </c>
      <c r="T64" s="66">
        <v>0</v>
      </c>
      <c r="U64" s="684"/>
      <c r="V64" s="603">
        <f>IF(U59&lt;&gt;0,ROUND((U59/$I59)*$H64,5),ROUND((T$10/$I$69)*$H64*T64,5))</f>
        <v>0</v>
      </c>
      <c r="W64" s="66">
        <v>1</v>
      </c>
      <c r="X64" s="684"/>
      <c r="Y64" s="67">
        <f>IF(X59&lt;&gt;0,ROUND((X59/$I59)*$H64,5),ROUND((W$10/$I$69)*$H64*W64,5))</f>
        <v>-3.0000000000000001E-5</v>
      </c>
      <c r="Z64" s="66">
        <v>0</v>
      </c>
      <c r="AA64" s="64"/>
      <c r="AB64" s="597">
        <f>IF(AA59&lt;&gt;0,ROUND((AA59/$I59)*$H64,5),ROUND((Z$10/$I$69)*$H64*Z64,5))</f>
        <v>0</v>
      </c>
      <c r="AD64" s="230"/>
    </row>
    <row r="65" spans="1:30" x14ac:dyDescent="0.25">
      <c r="A65" s="43">
        <f t="shared" si="0"/>
        <v>59</v>
      </c>
      <c r="B65" s="74" t="s">
        <v>167</v>
      </c>
      <c r="C65" s="21"/>
      <c r="D65" s="64">
        <f>+'Washington volumes'!J65</f>
        <v>0</v>
      </c>
      <c r="E65" s="592">
        <f>+'Rates in detail'!D65</f>
        <v>4.9899999999999996E-3</v>
      </c>
      <c r="F65" s="592">
        <f>+'Rates in detail'!E65+'Rates in detail'!F65+'Rates in detail'!G65</f>
        <v>0</v>
      </c>
      <c r="G65" s="592">
        <f>+Temporaries!D65</f>
        <v>0</v>
      </c>
      <c r="H65" s="592">
        <f t="shared" si="13"/>
        <v>4.9899999999999996E-3</v>
      </c>
      <c r="I65" s="704">
        <f>ROUND(H65*D65,0)</f>
        <v>0</v>
      </c>
      <c r="J65" s="375">
        <f>+'Avg Bill by RS'!G76</f>
        <v>38000</v>
      </c>
      <c r="K65" s="64">
        <f>+'Washington volumes'!L65</f>
        <v>0</v>
      </c>
      <c r="L65" s="704">
        <f>ROUND(I65+(J65*K65*12),0)</f>
        <v>0</v>
      </c>
      <c r="M65" s="81"/>
      <c r="N65" s="66">
        <v>0</v>
      </c>
      <c r="O65" s="684">
        <f>ROUND(+$N$10*(($L65*N65)/N$69),0)</f>
        <v>0</v>
      </c>
      <c r="P65" s="603">
        <f>IF(O65&lt;&gt;0,ROUND((O65/$I61)*$H65,5),ROUND((N$10/$I$69)*$H65*N65,5))</f>
        <v>0</v>
      </c>
      <c r="Q65" s="66">
        <v>0</v>
      </c>
      <c r="R65" s="684">
        <f>ROUND(+$Q$10*(($L65*Q65)/Q$69),0)</f>
        <v>0</v>
      </c>
      <c r="S65" s="597">
        <f>IF(R65&lt;&gt;0,ROUND((R65/$I61)*$H65,5),ROUND((Q$10/$I$69)*$H65*Q65,5))</f>
        <v>0</v>
      </c>
      <c r="T65" s="672">
        <v>0</v>
      </c>
      <c r="U65" s="684">
        <f>ROUND(+$T$10*(($L65*T65)/T$69),0)</f>
        <v>0</v>
      </c>
      <c r="V65" s="673">
        <f>IF(U65&lt;&gt;0,ROUND((U65/$I61)*$H65,5),ROUND((T$10/$I$69)*$H65*T65,5))</f>
        <v>0</v>
      </c>
      <c r="W65" s="672">
        <v>1</v>
      </c>
      <c r="X65" s="684">
        <f>ROUND(+$T$10*(($L65*W65)/W$69),0)</f>
        <v>0</v>
      </c>
      <c r="Y65" s="683">
        <f>IF(X65&lt;&gt;0,ROUND((X65/$I61)*$H65,5),ROUND((W$10/$I$69)*$H65*W65,5))</f>
        <v>-1.0000000000000001E-5</v>
      </c>
      <c r="Z65" s="66">
        <v>0</v>
      </c>
      <c r="AA65" s="64">
        <f>ROUND(+$Z$10*(($L65*Z65)/Z$69),0)</f>
        <v>0</v>
      </c>
      <c r="AB65" s="597">
        <f>IF(AA65&lt;&gt;0,ROUND((AA65/$I61)*$H65,5),ROUND((Z$10/$I$69)*$H65*Z65,5))</f>
        <v>0</v>
      </c>
      <c r="AD65" s="230"/>
    </row>
    <row r="66" spans="1:30" x14ac:dyDescent="0.25">
      <c r="A66" s="43">
        <f t="shared" si="0"/>
        <v>60</v>
      </c>
      <c r="B66" s="16" t="s">
        <v>168</v>
      </c>
      <c r="C66" s="13"/>
      <c r="D66" s="64">
        <f>+'Washington volumes'!J66</f>
        <v>0</v>
      </c>
      <c r="E66" s="591">
        <f>+'Rates in detail'!D66</f>
        <v>4.9899999999999996E-3</v>
      </c>
      <c r="F66" s="591">
        <f>+'Rates in detail'!E66+'Rates in detail'!F66+'Rates in detail'!G66</f>
        <v>0</v>
      </c>
      <c r="G66" s="591">
        <f>+Temporaries!D66</f>
        <v>0</v>
      </c>
      <c r="H66" s="591">
        <f t="shared" si="13"/>
        <v>4.9899999999999996E-3</v>
      </c>
      <c r="I66" s="704">
        <f>ROUND(H66*D66,0)</f>
        <v>0</v>
      </c>
      <c r="J66" s="374">
        <f>+'Avg Bill by RS'!G77</f>
        <v>38000</v>
      </c>
      <c r="K66" s="64">
        <f>+'Washington volumes'!L66</f>
        <v>0</v>
      </c>
      <c r="L66" s="704">
        <f>ROUND(I66+(J66*K66*12),0)</f>
        <v>0</v>
      </c>
      <c r="M66" s="80"/>
      <c r="N66" s="66">
        <v>0</v>
      </c>
      <c r="O66" s="684">
        <f>ROUND(+$N$10*(($L66*N66)/N$69),0)</f>
        <v>0</v>
      </c>
      <c r="P66" s="603">
        <f>IF(O66&lt;&gt;0,ROUND((O66/$I62)*$H66,5),ROUND((N$10/$I$69)*$H66*N66,5))</f>
        <v>0</v>
      </c>
      <c r="Q66" s="66">
        <v>0</v>
      </c>
      <c r="R66" s="684">
        <f>ROUND(+$Q$10*(($L66*Q66)/Q$69),0)</f>
        <v>0</v>
      </c>
      <c r="S66" s="597">
        <f>IF(R66&lt;&gt;0,ROUND((R66/$I62)*$H66,5),ROUND((Q$10/$I$69)*$H66*Q66,5))</f>
        <v>0</v>
      </c>
      <c r="T66" s="66">
        <v>0</v>
      </c>
      <c r="U66" s="684">
        <f>ROUND(+$T$10*(($L66*T66)/T$69),0)</f>
        <v>0</v>
      </c>
      <c r="V66" s="603">
        <f>IF(U66&lt;&gt;0,ROUND((U66/$I62)*$H66,5),ROUND((T$10/$I$69)*$H66*T66,5))</f>
        <v>0</v>
      </c>
      <c r="W66" s="66">
        <v>1</v>
      </c>
      <c r="X66" s="684">
        <f>ROUND(+$T$10*(($L66*W66)/W$69),0)</f>
        <v>0</v>
      </c>
      <c r="Y66" s="67">
        <f>IF(X66&lt;&gt;0,ROUND((X66/$I62)*$H66,5),ROUND((W$10/$I$69)*$H66*W66,5))</f>
        <v>-1.0000000000000001E-5</v>
      </c>
      <c r="Z66" s="66">
        <v>0</v>
      </c>
      <c r="AA66" s="64">
        <f>ROUND(+$Z$10*(($L66*Z66)/Z$69),0)</f>
        <v>0</v>
      </c>
      <c r="AB66" s="597">
        <f>IF(AA66&lt;&gt;0,ROUND((AA66/$I62)*$H66,5),ROUND((Z$10/$I$69)*$H66*Z66,5))</f>
        <v>0</v>
      </c>
      <c r="AD66" s="230"/>
    </row>
    <row r="67" spans="1:30" x14ac:dyDescent="0.25">
      <c r="A67" s="43">
        <f t="shared" si="0"/>
        <v>61</v>
      </c>
      <c r="B67" s="15" t="s">
        <v>217</v>
      </c>
      <c r="C67" s="13"/>
      <c r="D67" s="64"/>
      <c r="E67" s="593"/>
      <c r="F67" s="593"/>
      <c r="G67" s="593"/>
      <c r="H67" s="593"/>
      <c r="I67" s="704"/>
      <c r="J67" s="376"/>
      <c r="K67" s="64"/>
      <c r="L67" s="595"/>
      <c r="M67" s="80"/>
      <c r="N67" s="66"/>
      <c r="O67" s="64"/>
      <c r="P67" s="702"/>
      <c r="Q67" s="66"/>
      <c r="R67" s="64"/>
      <c r="S67" s="597"/>
      <c r="T67" s="66"/>
      <c r="U67" s="64"/>
      <c r="V67" s="603"/>
      <c r="W67" s="66"/>
      <c r="X67" s="64"/>
      <c r="Y67" s="67"/>
      <c r="Z67" s="66"/>
      <c r="AA67" s="64"/>
      <c r="AB67" s="597"/>
    </row>
    <row r="68" spans="1:30" x14ac:dyDescent="0.25">
      <c r="A68" s="43">
        <f t="shared" si="0"/>
        <v>62</v>
      </c>
      <c r="E68" s="594"/>
      <c r="F68" s="594"/>
      <c r="G68" s="594"/>
      <c r="H68" s="594"/>
      <c r="I68" s="596"/>
      <c r="L68" s="596"/>
      <c r="N68" s="82"/>
      <c r="Q68" s="82"/>
      <c r="T68" s="82"/>
      <c r="W68" s="82"/>
      <c r="X68" s="2"/>
      <c r="Z68" s="82"/>
    </row>
    <row r="69" spans="1:30" x14ac:dyDescent="0.25">
      <c r="A69" s="43">
        <f t="shared" si="0"/>
        <v>63</v>
      </c>
      <c r="B69" s="2" t="s">
        <v>176</v>
      </c>
      <c r="D69" s="78">
        <f>SUM(D13:D68)</f>
        <v>97119890.200000003</v>
      </c>
      <c r="E69" s="594"/>
      <c r="F69" s="594"/>
      <c r="G69" s="594"/>
      <c r="H69" s="594"/>
      <c r="I69" s="601">
        <f>SUM(I13:I67)</f>
        <v>32637878</v>
      </c>
      <c r="J69" s="78"/>
      <c r="K69" s="78"/>
      <c r="L69" s="601">
        <f>SUM(L13:L67)</f>
        <v>41325195</v>
      </c>
      <c r="N69" s="602">
        <f>ROUND(($L13*N13)+($L14*N14)+($L15*N15)+($L16*N16)+($L17*N17)+($L18*N18)+($L19*N19)+($L$21*N21)+($L23*N23)+($L$25*N25)+($L27*N27)+($L29*N29)+($L35*N35)+($L41*N41)+($L$47*N47)+($L53*N53)+($L59*N59)+($L65*N65)+($L66*N66)+($L67*N67),0)</f>
        <v>38299228</v>
      </c>
      <c r="O69" s="600">
        <f>SUM(O13:O68)</f>
        <v>2402328</v>
      </c>
      <c r="Q69" s="626">
        <f>ROUND(($L13*Q13)+($L14*Q14)+($L15*Q15)+($L16*Q16)+($L17*Q17)+($L18*Q18)+($L19*Q19)+($L$21*Q21)+($L23*Q23)+($L$25*Q25)+($L27*Q27)+($L29*Q29)+($L35*Q35)+($L41*Q41)+($L$47*Q47)+($L53*Q53)+($L59*Q59)+($L65*Q65)+($L66*Q66)+($L67*Q67),0)</f>
        <v>39216894</v>
      </c>
      <c r="R69" s="600">
        <f>SUM(R13:R68)</f>
        <v>370439</v>
      </c>
      <c r="T69" s="626">
        <f>ROUND(($L13*T13)+($L14*T14)+($L15*T15)+($L16*T16)+($L17*T17)+($L18*T18)+($L19*T19)+($L$21*T21)+($L23*T23)+($L$25*T25)+($L27*T27)+($L29*T29)+($L35*T35)+($L41*T41)+($L$47*T47)+($L53*T53)+($L59*T59)+($L65*T65)+($L66*T66)+($L67*T67),0)</f>
        <v>39216894</v>
      </c>
      <c r="U69" s="600">
        <f>SUM(U13:U68)</f>
        <v>86792</v>
      </c>
      <c r="W69" s="626">
        <f>ROUND(($L13*W13)+($L14*W14)+($L15*W15)+($L16*W16)+($L17*W17)+($L18*W18)+($L19*W19)+($L$21*W21)+($L23*W23)+($L$25*W25)+($L27*W27)+($L29*W29)+($L35*W35)+($L41*W41)+($L$47*W47)+($L53*W53)+($L59*W59)+($L65*W65)+($L66*W66)+($L67*W67),0)</f>
        <v>41325195</v>
      </c>
      <c r="X69" s="78">
        <f>SUM(X13:X68)</f>
        <v>-57515</v>
      </c>
      <c r="Z69" s="626">
        <f>ROUND(($L13*Z13)+($L14*Z14)+($L15*Z15)+($L16*Z16)+($L17*Z17)+($L18*Z18)+($L19*Z19)+($L$21*Z21)+($L23*Z23)+($L$25*Z25)+($L27*Z27)+($L29*Z29)+($L35*Z35)+($L41*Z41)+($L$47*Z47)+($L53*Z53)+($L59*Z59)+($L65*Z65)+($L66*Z66)+($L67*Z67),0)</f>
        <v>39216894</v>
      </c>
      <c r="AA69" s="600">
        <f>SUM(AA13:AA68)</f>
        <v>0</v>
      </c>
    </row>
    <row r="70" spans="1:30" x14ac:dyDescent="0.25">
      <c r="A70" s="43">
        <f t="shared" si="0"/>
        <v>64</v>
      </c>
      <c r="M70" s="34"/>
      <c r="N70" s="206"/>
      <c r="Q70" s="206"/>
      <c r="T70" s="206"/>
      <c r="W70" s="206"/>
      <c r="X70" s="2"/>
      <c r="Z70" s="206"/>
    </row>
    <row r="71" spans="1:30" ht="13.8" thickBot="1" x14ac:dyDescent="0.3">
      <c r="A71" s="43">
        <f t="shared" si="0"/>
        <v>65</v>
      </c>
      <c r="B71" s="26" t="s">
        <v>211</v>
      </c>
      <c r="E71" s="2"/>
      <c r="F71" s="2"/>
      <c r="G71" s="2"/>
      <c r="H71" s="2"/>
      <c r="J71" s="2"/>
      <c r="M71" s="2"/>
      <c r="N71" s="2"/>
      <c r="Q71" s="2"/>
      <c r="T71" s="2"/>
      <c r="W71" s="2"/>
      <c r="X71" s="2"/>
      <c r="Z71" s="2"/>
    </row>
    <row r="72" spans="1:30" ht="13.8" thickBot="1" x14ac:dyDescent="0.3">
      <c r="A72" s="43">
        <f>+A71+1</f>
        <v>66</v>
      </c>
      <c r="B72" s="27" t="s">
        <v>212</v>
      </c>
      <c r="C72" s="29"/>
      <c r="D72" s="29"/>
      <c r="E72" s="29"/>
      <c r="F72" s="29"/>
      <c r="G72" s="29"/>
      <c r="H72" s="29"/>
      <c r="I72" s="29"/>
      <c r="J72" s="29"/>
      <c r="K72" s="30" t="s">
        <v>177</v>
      </c>
      <c r="L72" s="29"/>
      <c r="M72" s="29"/>
      <c r="N72" s="30" t="s">
        <v>379</v>
      </c>
      <c r="O72" s="29"/>
      <c r="P72" s="204"/>
      <c r="Q72" s="30" t="s">
        <v>640</v>
      </c>
      <c r="R72" s="29"/>
      <c r="S72" s="204"/>
      <c r="T72" s="30" t="s">
        <v>380</v>
      </c>
      <c r="U72" s="29"/>
      <c r="V72" s="204"/>
      <c r="W72" s="30" t="s">
        <v>333</v>
      </c>
      <c r="X72" s="29"/>
      <c r="Y72" s="204"/>
      <c r="Z72" s="30" t="s">
        <v>332</v>
      </c>
      <c r="AA72" s="29"/>
      <c r="AB72" s="204"/>
    </row>
    <row r="73" spans="1:30" ht="13.8" thickBot="1" x14ac:dyDescent="0.3">
      <c r="A73" s="43">
        <f t="shared" si="0"/>
        <v>67</v>
      </c>
      <c r="B73" s="26" t="s">
        <v>541</v>
      </c>
      <c r="E73" s="2"/>
      <c r="F73" s="2"/>
      <c r="G73" s="2"/>
      <c r="H73" s="2"/>
      <c r="J73" s="2"/>
      <c r="M73" s="2"/>
      <c r="N73" s="2"/>
      <c r="Q73" s="2"/>
      <c r="T73" s="2"/>
      <c r="W73" s="2"/>
      <c r="X73" s="2"/>
      <c r="Z73" s="2"/>
    </row>
    <row r="74" spans="1:30" ht="13.8" thickBot="1" x14ac:dyDescent="0.3">
      <c r="A74" s="43">
        <f>+A73+1</f>
        <v>68</v>
      </c>
      <c r="B74" s="27" t="s">
        <v>542</v>
      </c>
      <c r="C74" s="29"/>
      <c r="D74" s="29"/>
      <c r="E74" s="29"/>
      <c r="F74" s="29"/>
      <c r="G74" s="29"/>
      <c r="H74" s="29"/>
      <c r="I74" s="29"/>
      <c r="J74" s="29"/>
      <c r="K74" s="29"/>
      <c r="L74" s="29"/>
      <c r="M74" s="29"/>
      <c r="N74" s="30" t="s">
        <v>544</v>
      </c>
      <c r="O74" s="29"/>
      <c r="P74" s="204"/>
      <c r="Q74" s="519" t="s">
        <v>545</v>
      </c>
      <c r="R74" s="29"/>
      <c r="S74" s="204"/>
      <c r="T74" s="519" t="s">
        <v>546</v>
      </c>
      <c r="U74" s="29"/>
      <c r="V74" s="204"/>
      <c r="W74" s="30" t="s">
        <v>639</v>
      </c>
      <c r="X74" s="29"/>
      <c r="Y74" s="204"/>
      <c r="Z74" s="30" t="s">
        <v>543</v>
      </c>
      <c r="AA74" s="29"/>
      <c r="AB74" s="204"/>
    </row>
    <row r="75" spans="1:30" x14ac:dyDescent="0.25">
      <c r="A75" s="43">
        <f>+A72+1</f>
        <v>67</v>
      </c>
      <c r="N75" s="82"/>
      <c r="Q75" s="82"/>
      <c r="T75" s="82"/>
      <c r="Z75" s="82"/>
    </row>
    <row r="76" spans="1:30" x14ac:dyDescent="0.25">
      <c r="A76" s="43">
        <f>+A75+1</f>
        <v>68</v>
      </c>
      <c r="B76" s="664" t="s">
        <v>241</v>
      </c>
      <c r="N76" s="82"/>
      <c r="Q76" s="82"/>
      <c r="T76" s="82"/>
      <c r="Z76" s="82"/>
    </row>
    <row r="80" spans="1:30" x14ac:dyDescent="0.25">
      <c r="N80" s="42" t="s">
        <v>269</v>
      </c>
      <c r="O80" s="158">
        <f>+O13+O15</f>
        <v>1748279</v>
      </c>
      <c r="Q80" s="42" t="s">
        <v>269</v>
      </c>
      <c r="R80" s="158">
        <f>+R13+R15</f>
        <v>263276</v>
      </c>
      <c r="T80" s="42" t="s">
        <v>269</v>
      </c>
      <c r="U80" s="158">
        <f>+U13+U15</f>
        <v>61684</v>
      </c>
      <c r="Z80" s="42" t="s">
        <v>269</v>
      </c>
      <c r="AA80" s="158">
        <f>+AA13+AA15</f>
        <v>0</v>
      </c>
    </row>
    <row r="81" spans="14:27" s="3" customFormat="1" x14ac:dyDescent="0.25">
      <c r="N81" s="42" t="s">
        <v>16</v>
      </c>
      <c r="O81" s="158">
        <f>+O14+O16+SUM(O29:O34)+SUM(O19:O20)+SUM(O47:O52)+SUM(O21:O22)</f>
        <v>642615</v>
      </c>
      <c r="P81" s="92"/>
      <c r="Q81" s="42" t="s">
        <v>16</v>
      </c>
      <c r="R81" s="158">
        <f>+R14+R16+SUM(R29:R34)+SUM(R19:R20)+SUM(R47:R52)+SUM(R21:R22)</f>
        <v>96773</v>
      </c>
      <c r="S81" s="92"/>
      <c r="T81" s="42" t="s">
        <v>16</v>
      </c>
      <c r="U81" s="158">
        <f>+U14+U16+SUM(U29:U34)+SUM(U19:U20)+SUM(U47:U52)+SUM(U21:U22)</f>
        <v>22674</v>
      </c>
      <c r="V81" s="92"/>
      <c r="W81" s="92"/>
      <c r="X81" s="92"/>
      <c r="Y81" s="92"/>
      <c r="Z81" s="42" t="s">
        <v>16</v>
      </c>
      <c r="AA81" s="523">
        <f>+AA14+AA16+SUM(AA29:AA34)+SUM(AA19:AA20)+SUM(AA47:AA52)+SUM(AA21:AA22)</f>
        <v>0</v>
      </c>
    </row>
    <row r="82" spans="14:27" s="3" customFormat="1" x14ac:dyDescent="0.25">
      <c r="N82" s="42" t="s">
        <v>84</v>
      </c>
      <c r="O82" s="120">
        <f>+O17++SUM(O27:O28)+SUM(O35:O40)+SUM(O53:O58)+SUM(O59:O64)+SUM(O41:O46)+O23+SUM(O25:O26)</f>
        <v>0</v>
      </c>
      <c r="P82" s="92"/>
      <c r="Q82" s="42" t="s">
        <v>84</v>
      </c>
      <c r="R82" s="120">
        <f>+R17++SUM(R27:R28)+SUM(R35:R40)+SUM(R53:R58)+SUM(R59:R64)+SUM(R41:R46)+R23+SUM(R25:R26)</f>
        <v>8668</v>
      </c>
      <c r="S82" s="92"/>
      <c r="T82" s="42" t="s">
        <v>84</v>
      </c>
      <c r="U82" s="120">
        <f>+U17++SUM(U27:U28)+SUM(U35:U40)+SUM(U53:U58)+SUM(U59:U64)+SUM(U41:U46)+U23+SUM(U25:U26)</f>
        <v>2031</v>
      </c>
      <c r="V82" s="92"/>
      <c r="W82" s="92"/>
      <c r="X82" s="92"/>
      <c r="Y82" s="92"/>
      <c r="Z82" s="42" t="s">
        <v>84</v>
      </c>
      <c r="AA82" s="120">
        <f>+AA17++SUM(AA27:AA28)+SUM(AA35:AA40)+SUM(AA53:AA58)+SUM(AA59:AA64)+SUM(AA41:AA46)+AA23+SUM(AA25:AA26)</f>
        <v>0</v>
      </c>
    </row>
    <row r="83" spans="14:27" s="3" customFormat="1" x14ac:dyDescent="0.25">
      <c r="N83" s="42">
        <v>27</v>
      </c>
      <c r="O83" s="120">
        <f>+O18</f>
        <v>11434</v>
      </c>
      <c r="P83" s="92"/>
      <c r="Q83" s="42">
        <v>27</v>
      </c>
      <c r="R83" s="120">
        <f>+R18</f>
        <v>1722</v>
      </c>
      <c r="S83" s="92"/>
      <c r="T83" s="42">
        <v>27</v>
      </c>
      <c r="U83" s="120">
        <f>+U18</f>
        <v>403</v>
      </c>
      <c r="V83" s="92"/>
      <c r="W83" s="92"/>
      <c r="X83" s="92"/>
      <c r="Y83" s="92"/>
      <c r="Z83" s="42">
        <v>27</v>
      </c>
      <c r="AA83" s="120">
        <f>+AA18</f>
        <v>0</v>
      </c>
    </row>
    <row r="84" spans="14:27" s="3" customFormat="1" x14ac:dyDescent="0.25">
      <c r="N84" s="42"/>
      <c r="O84" s="158">
        <f>SUM(O80:O83)</f>
        <v>2402328</v>
      </c>
      <c r="P84" s="92"/>
      <c r="Q84" s="42"/>
      <c r="R84" s="158">
        <f>SUM(R80:R83)</f>
        <v>370439</v>
      </c>
      <c r="S84" s="92"/>
      <c r="T84" s="42"/>
      <c r="U84" s="158">
        <f>SUM(U80:U83)</f>
        <v>86792</v>
      </c>
      <c r="V84" s="92"/>
      <c r="W84" s="92"/>
      <c r="X84" s="92"/>
      <c r="Y84" s="92"/>
      <c r="Z84" s="42"/>
      <c r="AA84" s="158">
        <f>SUM(AA80:AA83)</f>
        <v>0</v>
      </c>
    </row>
    <row r="85" spans="14:27" s="3" customFormat="1" x14ac:dyDescent="0.25">
      <c r="N85" s="42"/>
      <c r="O85" s="78">
        <f>+O84-O69</f>
        <v>0</v>
      </c>
      <c r="P85" s="92"/>
      <c r="Q85" s="42"/>
      <c r="R85" s="78">
        <f>+R84-R69</f>
        <v>0</v>
      </c>
      <c r="S85" s="92"/>
      <c r="T85" s="42"/>
      <c r="U85" s="78">
        <f>+U84-U69</f>
        <v>0</v>
      </c>
      <c r="V85" s="92"/>
      <c r="W85" s="92"/>
      <c r="X85" s="92"/>
      <c r="Y85" s="92"/>
      <c r="Z85" s="42"/>
      <c r="AA85" s="78">
        <f>+AA84-AA69</f>
        <v>0</v>
      </c>
    </row>
    <row r="87" spans="14:27" s="3" customFormat="1" x14ac:dyDescent="0.25">
      <c r="N87" s="42"/>
      <c r="O87" s="2"/>
      <c r="P87" s="92"/>
      <c r="Q87" s="42"/>
      <c r="R87" s="2"/>
      <c r="S87" s="92"/>
      <c r="T87" s="42"/>
      <c r="U87" s="2"/>
      <c r="V87" s="92"/>
      <c r="W87" s="92"/>
      <c r="X87" s="92"/>
      <c r="Y87" s="92"/>
      <c r="Z87" s="42" t="s">
        <v>269</v>
      </c>
      <c r="AA87" s="158">
        <f>+AA80</f>
        <v>0</v>
      </c>
    </row>
    <row r="88" spans="14:27" s="3" customFormat="1" x14ac:dyDescent="0.25">
      <c r="N88" s="42"/>
      <c r="O88" s="2"/>
      <c r="P88" s="92"/>
      <c r="Q88" s="42"/>
      <c r="R88" s="2"/>
      <c r="S88" s="92"/>
      <c r="T88" s="42"/>
      <c r="U88" s="2"/>
      <c r="V88" s="92"/>
      <c r="W88" s="92"/>
      <c r="X88" s="92"/>
      <c r="Y88" s="92"/>
      <c r="Z88" s="42" t="s">
        <v>553</v>
      </c>
      <c r="AA88" s="78">
        <f>+AA14+AA16+AA19+AA29</f>
        <v>0</v>
      </c>
    </row>
    <row r="89" spans="14:27" s="3" customFormat="1" x14ac:dyDescent="0.25">
      <c r="N89" s="42"/>
      <c r="O89" s="2"/>
      <c r="P89" s="92"/>
      <c r="Q89" s="42"/>
      <c r="R89" s="2"/>
      <c r="S89" s="92"/>
      <c r="T89" s="42"/>
      <c r="U89" s="2"/>
      <c r="V89" s="92"/>
      <c r="W89" s="92"/>
      <c r="X89" s="92"/>
      <c r="Y89" s="92"/>
      <c r="Z89" s="42" t="s">
        <v>552</v>
      </c>
      <c r="AA89" s="78">
        <f>+AA17+AA25+AA35</f>
        <v>0</v>
      </c>
    </row>
    <row r="90" spans="14:27" s="3" customFormat="1" x14ac:dyDescent="0.25">
      <c r="N90" s="42"/>
      <c r="O90" s="2"/>
      <c r="P90" s="92"/>
      <c r="Q90" s="42"/>
      <c r="R90" s="2"/>
      <c r="S90" s="92"/>
      <c r="T90" s="42"/>
      <c r="U90" s="2"/>
      <c r="V90" s="92"/>
      <c r="W90" s="92"/>
      <c r="X90" s="92"/>
      <c r="Y90" s="92"/>
      <c r="Z90" s="42" t="s">
        <v>554</v>
      </c>
      <c r="AA90" s="78">
        <f>+AA21+AA27+AA47+AA53</f>
        <v>0</v>
      </c>
    </row>
  </sheetData>
  <mergeCells count="3">
    <mergeCell ref="L11:L12"/>
    <mergeCell ref="W7:Y7"/>
    <mergeCell ref="T7:V7"/>
  </mergeCells>
  <phoneticPr fontId="2" type="noConversion"/>
  <pageMargins left="0.5" right="0.5" top="0.5" bottom="0.25" header="0.25" footer="0.25"/>
  <pageSetup scale="58" orientation="landscape" r:id="rId1"/>
  <headerFooter alignWithMargins="0">
    <oddHeader xml:space="preserve">&amp;RUG-181053 NWN Compliance Filing
Advice 19-07 / Work Paper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AC0F86E6201B749BFF193A83EBAB7E2" ma:contentTypeVersion="76" ma:contentTypeDescription="" ma:contentTypeScope="" ma:versionID="a883e322bdab798471268fcb39c5349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2018-12-31T08:00:00+00:00</OpenedDate>
    <SignificantOrder xmlns="dc463f71-b30c-4ab2-9473-d307f9d35888">false</SignificantOrder>
    <Date1 xmlns="dc463f71-b30c-4ab2-9473-d307f9d35888">2019-10-28T07:00:00+00:00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181053</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1EFC13E-4F0D-40E6-BAB2-738309A4F69D}"/>
</file>

<file path=customXml/itemProps2.xml><?xml version="1.0" encoding="utf-8"?>
<ds:datastoreItem xmlns:ds="http://schemas.openxmlformats.org/officeDocument/2006/customXml" ds:itemID="{76C5D1B1-1455-44F0-B3C6-B827144BE1B9}">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1485089-DD14-4CEB-A5A0-0DDA01B9DAF6}">
  <ds:schemaRefs>
    <ds:schemaRef ds:uri="http://schemas.microsoft.com/sharepoint/v3/contenttype/forms"/>
  </ds:schemaRefs>
</ds:datastoreItem>
</file>

<file path=customXml/itemProps4.xml><?xml version="1.0" encoding="utf-8"?>
<ds:datastoreItem xmlns:ds="http://schemas.openxmlformats.org/officeDocument/2006/customXml" ds:itemID="{B6DD94E9-DB2A-49E2-A608-DB0F338342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Index &amp; Documentation</vt:lpstr>
      <vt:lpstr>Inputs</vt:lpstr>
      <vt:lpstr>Washington volumes</vt:lpstr>
      <vt:lpstr>Avg Bill by RS</vt:lpstr>
      <vt:lpstr>Rates in summary</vt:lpstr>
      <vt:lpstr>Rates in detail</vt:lpstr>
      <vt:lpstr>Temporaries</vt:lpstr>
      <vt:lpstr>Allocation equal ¢ per therm</vt:lpstr>
      <vt:lpstr>Allocation = % of margin</vt:lpstr>
      <vt:lpstr>Inputs for FCST MGN</vt:lpstr>
      <vt:lpstr>Amortization</vt:lpstr>
      <vt:lpstr>Rates for MAS GS</vt:lpstr>
      <vt:lpstr>EFFDATE</vt:lpstr>
      <vt:lpstr>'Allocation = % of margin'!Print_Area</vt:lpstr>
      <vt:lpstr>'Allocation equal ¢ per therm'!Print_Area</vt:lpstr>
      <vt:lpstr>Amortization!Print_Area</vt:lpstr>
      <vt:lpstr>Inputs!Print_Area</vt:lpstr>
      <vt:lpstr>'Inputs for FCST MGN'!Print_Area</vt:lpstr>
      <vt:lpstr>'Rates for MAS GS'!Print_Area</vt:lpstr>
      <vt:lpstr>'Rates in detail'!Print_Area</vt:lpstr>
      <vt:lpstr>'Rates in summary'!Print_Area</vt:lpstr>
      <vt:lpstr>Temporaries!Print_Area</vt:lpstr>
      <vt:lpstr>'Washington volumes'!Print_Area</vt:lpstr>
      <vt:lpstr>'Allocation = % of margin'!Print_Titles</vt:lpstr>
      <vt:lpstr>'Allocation equal ¢ per therm'!Print_Titles</vt:lpstr>
      <vt:lpstr>Amortization!Print_Titles</vt:lpstr>
      <vt:lpstr>'Avg Bill by RS'!Print_Titles</vt:lpstr>
      <vt:lpstr>'Inputs for FCST MGN'!Print_Titles</vt:lpstr>
      <vt:lpstr>Temporaries!Print_Titles</vt:lpstr>
      <vt:lpstr>revsens</vt:lpstr>
    </vt:vector>
  </TitlesOfParts>
  <Company>NW Natural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NCS</dc:creator>
  <cp:lastModifiedBy>Lee, Erica N</cp:lastModifiedBy>
  <cp:lastPrinted>2019-10-28T21:15:27Z</cp:lastPrinted>
  <dcterms:created xsi:type="dcterms:W3CDTF">2005-11-10T23:09:08Z</dcterms:created>
  <dcterms:modified xsi:type="dcterms:W3CDTF">2019-10-28T21:15:29Z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0x0101006E56B4D1795A2E4DB2F0B01679ED314A007AC0F86E6201B749BFF193A83EBAB7E2</vt:lpwstr>
  </property>
  <property fmtid="{D5CDD505-2E9C-101B-9397-08002B2CF9AE}" pid="3" name="_docset_NoMedatataSyncRequired">
    <vt:lpwstr>False</vt:lpwstr>
  </property>
  <property fmtid="{D5CDD505-2E9C-101B-9397-08002B2CF9AE}" pid="4" name="IsEFSEC">
    <vt:bool>false</vt:bool>
  </property>
</Properties>
</file>