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Ryan\Ryan\"/>
    </mc:Choice>
  </mc:AlternateContent>
  <xr:revisionPtr revIDLastSave="0" documentId="13_ncr:1_{8ADB530C-C157-4250-917A-79502D73B531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Avoided Costs Summary" sheetId="1" r:id="rId1"/>
    <sheet name="Commodity Costs Avoided Detail" sheetId="2" r:id="rId2"/>
    <sheet name="Greenhouse Gas Costs Avoided De" sheetId="4" r:id="rId3"/>
  </sheets>
  <externalReferences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4" l="1"/>
  <c r="B34" i="1"/>
  <c r="O30" i="4" l="1"/>
  <c r="K33" i="1" s="1"/>
  <c r="J30" i="4"/>
  <c r="E30" i="4"/>
  <c r="I30" i="4" s="1"/>
  <c r="F30" i="4"/>
  <c r="G30" i="4"/>
  <c r="H30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2" i="4"/>
  <c r="AI25" i="2"/>
  <c r="AI21" i="2"/>
  <c r="AI22" i="2" s="1"/>
  <c r="H36" i="1" l="1"/>
  <c r="EL53" i="1" l="1"/>
  <c r="EL40" i="1"/>
  <c r="EL41" i="1"/>
  <c r="EL42" i="1"/>
  <c r="EL43" i="1"/>
  <c r="EL44" i="1"/>
  <c r="EL45" i="1"/>
  <c r="EL46" i="1"/>
  <c r="EL47" i="1"/>
  <c r="EL48" i="1"/>
  <c r="EL49" i="1"/>
  <c r="EL50" i="1"/>
  <c r="EL51" i="1"/>
  <c r="EL52" i="1"/>
  <c r="DI47" i="1" l="1"/>
  <c r="DI48" i="1"/>
  <c r="DI49" i="1"/>
  <c r="DI50" i="1"/>
  <c r="DI51" i="1"/>
  <c r="DI52" i="1"/>
  <c r="DI53" i="1"/>
  <c r="DI41" i="1"/>
  <c r="DI42" i="1"/>
  <c r="DI43" i="1"/>
  <c r="DI44" i="1"/>
  <c r="DI45" i="1"/>
  <c r="DI46" i="1"/>
  <c r="DI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40" i="1"/>
  <c r="CX41" i="1"/>
  <c r="CX42" i="1"/>
  <c r="CX43" i="1"/>
  <c r="CX44" i="1"/>
  <c r="CX45" i="1"/>
  <c r="CX46" i="1"/>
  <c r="CX47" i="1"/>
  <c r="CX48" i="1"/>
  <c r="CX49" i="1"/>
  <c r="CX50" i="1"/>
  <c r="CX51" i="1"/>
  <c r="CX52" i="1"/>
  <c r="CX53" i="1"/>
  <c r="CX40" i="1"/>
  <c r="J34" i="1" l="1"/>
  <c r="M5" i="1" l="1"/>
  <c r="A5" i="1"/>
  <c r="C34" i="1"/>
  <c r="D34" i="1"/>
  <c r="E34" i="1"/>
  <c r="G34" i="1"/>
  <c r="CY5" i="1"/>
  <c r="CZ5" i="1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" i="2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AF24" i="1" l="1"/>
  <c r="AG24" i="1"/>
  <c r="AH24" i="1"/>
  <c r="AI24" i="1"/>
  <c r="AJ24" i="1"/>
  <c r="AM24" i="1"/>
  <c r="AN24" i="1"/>
  <c r="AO24" i="1"/>
  <c r="AP24" i="1"/>
  <c r="AQ24" i="1"/>
  <c r="AF25" i="1"/>
  <c r="AG25" i="1"/>
  <c r="AH25" i="1"/>
  <c r="AI25" i="1"/>
  <c r="AJ25" i="1"/>
  <c r="AM25" i="1"/>
  <c r="AN25" i="1"/>
  <c r="AO25" i="1"/>
  <c r="AP25" i="1"/>
  <c r="AQ25" i="1"/>
  <c r="AF26" i="1"/>
  <c r="AG26" i="1"/>
  <c r="AH26" i="1"/>
  <c r="AI26" i="1"/>
  <c r="AJ26" i="1"/>
  <c r="AM26" i="1"/>
  <c r="AN26" i="1"/>
  <c r="AO26" i="1"/>
  <c r="AP26" i="1"/>
  <c r="AQ26" i="1"/>
  <c r="AF27" i="1"/>
  <c r="AG27" i="1"/>
  <c r="AH27" i="1"/>
  <c r="AI27" i="1"/>
  <c r="AJ27" i="1"/>
  <c r="AM27" i="1"/>
  <c r="AN27" i="1"/>
  <c r="AO27" i="1"/>
  <c r="AP27" i="1"/>
  <c r="AQ27" i="1"/>
  <c r="AF28" i="1"/>
  <c r="AG28" i="1"/>
  <c r="AH28" i="1"/>
  <c r="AI28" i="1"/>
  <c r="AJ28" i="1"/>
  <c r="AM28" i="1"/>
  <c r="AN28" i="1"/>
  <c r="AO28" i="1"/>
  <c r="AP28" i="1"/>
  <c r="AQ28" i="1"/>
  <c r="AF29" i="1"/>
  <c r="AG29" i="1"/>
  <c r="AH29" i="1"/>
  <c r="AI29" i="1"/>
  <c r="AJ29" i="1"/>
  <c r="AM29" i="1"/>
  <c r="AN29" i="1"/>
  <c r="AO29" i="1"/>
  <c r="AP29" i="1"/>
  <c r="AQ29" i="1"/>
  <c r="AF30" i="1"/>
  <c r="AG30" i="1"/>
  <c r="AH30" i="1"/>
  <c r="AI30" i="1"/>
  <c r="AJ30" i="1"/>
  <c r="AM30" i="1"/>
  <c r="AN30" i="1"/>
  <c r="AO30" i="1"/>
  <c r="AP30" i="1"/>
  <c r="AQ30" i="1"/>
  <c r="AF31" i="1"/>
  <c r="AG31" i="1"/>
  <c r="AH31" i="1"/>
  <c r="AI31" i="1"/>
  <c r="AJ31" i="1"/>
  <c r="AM31" i="1"/>
  <c r="AN31" i="1"/>
  <c r="AO31" i="1"/>
  <c r="AP31" i="1"/>
  <c r="AQ31" i="1"/>
  <c r="AF32" i="1"/>
  <c r="AG32" i="1"/>
  <c r="AH32" i="1"/>
  <c r="AI32" i="1"/>
  <c r="AJ32" i="1"/>
  <c r="AM32" i="1"/>
  <c r="AN32" i="1"/>
  <c r="AO32" i="1"/>
  <c r="AP32" i="1"/>
  <c r="AQ32" i="1"/>
  <c r="AF33" i="1"/>
  <c r="AG33" i="1"/>
  <c r="AH33" i="1"/>
  <c r="AI33" i="1"/>
  <c r="AJ33" i="1"/>
  <c r="AM33" i="1"/>
  <c r="AN33" i="1"/>
  <c r="AO33" i="1"/>
  <c r="AP33" i="1"/>
  <c r="AQ33" i="1"/>
  <c r="P24" i="1"/>
  <c r="Q24" i="1"/>
  <c r="R24" i="1"/>
  <c r="S24" i="1"/>
  <c r="T24" i="1"/>
  <c r="W24" i="1"/>
  <c r="X24" i="1"/>
  <c r="Y24" i="1"/>
  <c r="Z24" i="1"/>
  <c r="AA24" i="1"/>
  <c r="P25" i="1"/>
  <c r="Q25" i="1"/>
  <c r="R25" i="1"/>
  <c r="S25" i="1"/>
  <c r="T25" i="1"/>
  <c r="W25" i="1"/>
  <c r="X25" i="1"/>
  <c r="Y25" i="1"/>
  <c r="Z25" i="1"/>
  <c r="AA25" i="1"/>
  <c r="P26" i="1"/>
  <c r="Q26" i="1"/>
  <c r="R26" i="1"/>
  <c r="S26" i="1"/>
  <c r="T26" i="1"/>
  <c r="W26" i="1"/>
  <c r="X26" i="1"/>
  <c r="Y26" i="1"/>
  <c r="Z26" i="1"/>
  <c r="AA26" i="1"/>
  <c r="P27" i="1"/>
  <c r="Q27" i="1"/>
  <c r="R27" i="1"/>
  <c r="S27" i="1"/>
  <c r="T27" i="1"/>
  <c r="W27" i="1"/>
  <c r="BB27" i="1" s="1"/>
  <c r="X27" i="1"/>
  <c r="Y27" i="1"/>
  <c r="Z27" i="1"/>
  <c r="AA27" i="1"/>
  <c r="P28" i="1"/>
  <c r="Q28" i="1"/>
  <c r="R28" i="1"/>
  <c r="S28" i="1"/>
  <c r="T28" i="1"/>
  <c r="W28" i="1"/>
  <c r="X28" i="1"/>
  <c r="Y28" i="1"/>
  <c r="Z28" i="1"/>
  <c r="BE28" i="1" s="1"/>
  <c r="AA28" i="1"/>
  <c r="P29" i="1"/>
  <c r="Q29" i="1"/>
  <c r="R29" i="1"/>
  <c r="S29" i="1"/>
  <c r="T29" i="1"/>
  <c r="W29" i="1"/>
  <c r="X29" i="1"/>
  <c r="Y29" i="1"/>
  <c r="Z29" i="1"/>
  <c r="AA29" i="1"/>
  <c r="P30" i="1"/>
  <c r="Q30" i="1"/>
  <c r="R30" i="1"/>
  <c r="S30" i="1"/>
  <c r="T30" i="1"/>
  <c r="W30" i="1"/>
  <c r="X30" i="1"/>
  <c r="Y30" i="1"/>
  <c r="Z30" i="1"/>
  <c r="AA30" i="1"/>
  <c r="P31" i="1"/>
  <c r="Q31" i="1"/>
  <c r="R31" i="1"/>
  <c r="S31" i="1"/>
  <c r="AY31" i="1" s="1"/>
  <c r="T31" i="1"/>
  <c r="W31" i="1"/>
  <c r="X31" i="1"/>
  <c r="Y31" i="1"/>
  <c r="Z31" i="1"/>
  <c r="AA31" i="1"/>
  <c r="P32" i="1"/>
  <c r="Q32" i="1"/>
  <c r="R32" i="1"/>
  <c r="S32" i="1"/>
  <c r="T32" i="1"/>
  <c r="W32" i="1"/>
  <c r="X32" i="1"/>
  <c r="Y32" i="1"/>
  <c r="Z32" i="1"/>
  <c r="AA32" i="1"/>
  <c r="P33" i="1"/>
  <c r="Q33" i="1"/>
  <c r="R33" i="1"/>
  <c r="S33" i="1"/>
  <c r="T33" i="1"/>
  <c r="W33" i="1"/>
  <c r="X33" i="1"/>
  <c r="Y33" i="1"/>
  <c r="Z33" i="1"/>
  <c r="AA33" i="1"/>
  <c r="CS5" i="1"/>
  <c r="DC5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BB25" i="1" l="1"/>
  <c r="F34" i="1"/>
  <c r="BC28" i="1"/>
  <c r="BE26" i="1"/>
  <c r="AX26" i="1"/>
  <c r="BC24" i="1"/>
  <c r="AY33" i="1"/>
  <c r="AW30" i="1"/>
  <c r="AY29" i="1"/>
  <c r="BF26" i="1"/>
  <c r="AW26" i="1"/>
  <c r="BB31" i="1"/>
  <c r="AX32" i="1"/>
  <c r="AX28" i="1"/>
  <c r="BC26" i="1"/>
  <c r="AX24" i="1"/>
  <c r="BF32" i="1"/>
  <c r="AW32" i="1"/>
  <c r="AW28" i="1"/>
  <c r="AW24" i="1"/>
  <c r="BE32" i="1"/>
  <c r="BE24" i="1"/>
  <c r="BB33" i="1"/>
  <c r="BF33" i="1"/>
  <c r="AW33" i="1"/>
  <c r="AY32" i="1"/>
  <c r="AW29" i="1"/>
  <c r="AY28" i="1"/>
  <c r="BD26" i="1"/>
  <c r="BF25" i="1"/>
  <c r="BE33" i="1"/>
  <c r="AV33" i="1"/>
  <c r="AZ31" i="1"/>
  <c r="BC30" i="1"/>
  <c r="BE29" i="1"/>
  <c r="AV29" i="1"/>
  <c r="AZ27" i="1"/>
  <c r="BE25" i="1"/>
  <c r="AV25" i="1"/>
  <c r="BD33" i="1"/>
  <c r="BB30" i="1"/>
  <c r="BD29" i="1"/>
  <c r="BF28" i="1"/>
  <c r="AY27" i="1"/>
  <c r="BB26" i="1"/>
  <c r="BF24" i="1"/>
  <c r="BC33" i="1"/>
  <c r="AV32" i="1"/>
  <c r="AX31" i="1"/>
  <c r="AZ30" i="1"/>
  <c r="BC29" i="1"/>
  <c r="AV28" i="1"/>
  <c r="AX27" i="1"/>
  <c r="BC25" i="1"/>
  <c r="AV24" i="1"/>
  <c r="BD32" i="1"/>
  <c r="AW31" i="1"/>
  <c r="AY30" i="1"/>
  <c r="BB29" i="1"/>
  <c r="BD28" i="1"/>
  <c r="BF27" i="1"/>
  <c r="AW27" i="1"/>
  <c r="AY26" i="1"/>
  <c r="BD24" i="1"/>
  <c r="AZ33" i="1"/>
  <c r="BC32" i="1"/>
  <c r="BE31" i="1"/>
  <c r="AV31" i="1"/>
  <c r="AX30" i="1"/>
  <c r="AZ29" i="1"/>
  <c r="BE27" i="1"/>
  <c r="AV27" i="1"/>
  <c r="AZ25" i="1"/>
  <c r="BD31" i="1"/>
  <c r="BF30" i="1"/>
  <c r="BB28" i="1"/>
  <c r="BD27" i="1"/>
  <c r="AY25" i="1"/>
  <c r="AX33" i="1"/>
  <c r="AZ32" i="1"/>
  <c r="BC31" i="1"/>
  <c r="BE30" i="1"/>
  <c r="AV30" i="1"/>
  <c r="AX29" i="1"/>
  <c r="AZ28" i="1"/>
  <c r="BC27" i="1"/>
  <c r="AV26" i="1"/>
  <c r="AZ24" i="1"/>
  <c r="AX25" i="1"/>
  <c r="BB24" i="1"/>
  <c r="BD30" i="1"/>
  <c r="AZ26" i="1"/>
  <c r="BD25" i="1"/>
  <c r="AW25" i="1"/>
  <c r="BF29" i="1"/>
  <c r="AY24" i="1"/>
  <c r="BB32" i="1"/>
  <c r="BF31" i="1"/>
  <c r="AH31" i="2"/>
  <c r="AE3" i="2"/>
  <c r="AF3" i="2"/>
  <c r="AG3" i="2"/>
  <c r="AH3" i="2"/>
  <c r="AE4" i="2"/>
  <c r="AF4" i="2"/>
  <c r="AG4" i="2"/>
  <c r="AH4" i="2"/>
  <c r="AE5" i="2"/>
  <c r="AF5" i="2"/>
  <c r="AG5" i="2"/>
  <c r="AH5" i="2"/>
  <c r="AE6" i="2"/>
  <c r="AF6" i="2"/>
  <c r="AG6" i="2"/>
  <c r="AH6" i="2"/>
  <c r="AE7" i="2"/>
  <c r="AF7" i="2"/>
  <c r="AG7" i="2"/>
  <c r="AH7" i="2"/>
  <c r="AE8" i="2"/>
  <c r="AF8" i="2"/>
  <c r="AG8" i="2"/>
  <c r="AH8" i="2"/>
  <c r="AE9" i="2"/>
  <c r="AF9" i="2"/>
  <c r="AG9" i="2"/>
  <c r="AH9" i="2"/>
  <c r="AE10" i="2"/>
  <c r="AF10" i="2"/>
  <c r="AG10" i="2"/>
  <c r="AH10" i="2"/>
  <c r="AE11" i="2"/>
  <c r="AF11" i="2"/>
  <c r="AG11" i="2"/>
  <c r="AH11" i="2"/>
  <c r="AE12" i="2"/>
  <c r="AF12" i="2"/>
  <c r="AG12" i="2"/>
  <c r="AH12" i="2"/>
  <c r="AE13" i="2"/>
  <c r="AF13" i="2"/>
  <c r="AG13" i="2"/>
  <c r="AH13" i="2"/>
  <c r="AE14" i="2"/>
  <c r="AF14" i="2"/>
  <c r="AG14" i="2"/>
  <c r="AH14" i="2"/>
  <c r="AE15" i="2"/>
  <c r="AF15" i="2"/>
  <c r="AG15" i="2"/>
  <c r="AH15" i="2"/>
  <c r="AE16" i="2"/>
  <c r="AF16" i="2"/>
  <c r="AG16" i="2"/>
  <c r="AH16" i="2"/>
  <c r="AE17" i="2"/>
  <c r="AF17" i="2"/>
  <c r="AG17" i="2"/>
  <c r="AH17" i="2"/>
  <c r="AE18" i="2"/>
  <c r="AF18" i="2"/>
  <c r="AG18" i="2"/>
  <c r="AH18" i="2"/>
  <c r="AE19" i="2"/>
  <c r="AF19" i="2"/>
  <c r="AG19" i="2"/>
  <c r="AH19" i="2"/>
  <c r="AE20" i="2"/>
  <c r="AF20" i="2"/>
  <c r="AG20" i="2"/>
  <c r="AH20" i="2"/>
  <c r="AE21" i="2"/>
  <c r="AF21" i="2"/>
  <c r="AG21" i="2"/>
  <c r="AH21" i="2"/>
  <c r="AE22" i="2"/>
  <c r="AF22" i="2"/>
  <c r="AG22" i="2"/>
  <c r="AH22" i="2"/>
  <c r="AE23" i="2"/>
  <c r="AF23" i="2"/>
  <c r="AG23" i="2"/>
  <c r="AH23" i="2"/>
  <c r="AE24" i="2"/>
  <c r="AF24" i="2"/>
  <c r="AG24" i="2"/>
  <c r="AH24" i="2"/>
  <c r="AE25" i="2"/>
  <c r="AF25" i="2"/>
  <c r="AG25" i="2"/>
  <c r="AH25" i="2"/>
  <c r="AE26" i="2"/>
  <c r="AF26" i="2"/>
  <c r="AG26" i="2"/>
  <c r="AH26" i="2"/>
  <c r="AE27" i="2"/>
  <c r="AF27" i="2"/>
  <c r="AG27" i="2"/>
  <c r="AH27" i="2"/>
  <c r="AE28" i="2"/>
  <c r="AF28" i="2"/>
  <c r="AG28" i="2"/>
  <c r="AH28" i="2"/>
  <c r="AE29" i="2"/>
  <c r="AF29" i="2"/>
  <c r="AG29" i="2"/>
  <c r="AH29" i="2"/>
  <c r="AE30" i="2"/>
  <c r="AF30" i="2"/>
  <c r="AG30" i="2"/>
  <c r="AH30" i="2"/>
  <c r="AE31" i="2"/>
  <c r="AF31" i="2"/>
  <c r="AG31" i="2"/>
  <c r="N55" i="2"/>
  <c r="N56" i="2"/>
  <c r="N57" i="2"/>
  <c r="N58" i="2"/>
  <c r="N59" i="2"/>
  <c r="N60" i="2"/>
  <c r="N61" i="2"/>
  <c r="N62" i="2"/>
  <c r="N63" i="2"/>
  <c r="B35" i="2"/>
  <c r="C35" i="2"/>
  <c r="D35" i="2"/>
  <c r="E35" i="2"/>
  <c r="F35" i="2"/>
  <c r="G35" i="2"/>
  <c r="H35" i="2"/>
  <c r="I35" i="2"/>
  <c r="J35" i="2"/>
  <c r="K35" i="2"/>
  <c r="L35" i="2"/>
  <c r="M35" i="2"/>
  <c r="B36" i="2"/>
  <c r="C36" i="2"/>
  <c r="D36" i="2"/>
  <c r="E36" i="2"/>
  <c r="F36" i="2"/>
  <c r="G36" i="2"/>
  <c r="H36" i="2"/>
  <c r="I36" i="2"/>
  <c r="J36" i="2"/>
  <c r="K36" i="2"/>
  <c r="L36" i="2"/>
  <c r="M36" i="2"/>
  <c r="B37" i="2"/>
  <c r="C37" i="2"/>
  <c r="D37" i="2"/>
  <c r="E37" i="2"/>
  <c r="F37" i="2"/>
  <c r="G37" i="2"/>
  <c r="H37" i="2"/>
  <c r="I37" i="2"/>
  <c r="J37" i="2"/>
  <c r="K37" i="2"/>
  <c r="L37" i="2"/>
  <c r="M37" i="2"/>
  <c r="B38" i="2"/>
  <c r="C38" i="2"/>
  <c r="D38" i="2"/>
  <c r="E38" i="2"/>
  <c r="F38" i="2"/>
  <c r="G38" i="2"/>
  <c r="H38" i="2"/>
  <c r="I38" i="2"/>
  <c r="J38" i="2"/>
  <c r="K38" i="2"/>
  <c r="L38" i="2"/>
  <c r="M38" i="2"/>
  <c r="B39" i="2"/>
  <c r="C39" i="2"/>
  <c r="D39" i="2"/>
  <c r="E39" i="2"/>
  <c r="F39" i="2"/>
  <c r="G39" i="2"/>
  <c r="H39" i="2"/>
  <c r="I39" i="2"/>
  <c r="J39" i="2"/>
  <c r="K39" i="2"/>
  <c r="L39" i="2"/>
  <c r="M39" i="2"/>
  <c r="B40" i="2"/>
  <c r="C40" i="2"/>
  <c r="D40" i="2"/>
  <c r="E40" i="2"/>
  <c r="F40" i="2"/>
  <c r="G40" i="2"/>
  <c r="H40" i="2"/>
  <c r="I40" i="2"/>
  <c r="J40" i="2"/>
  <c r="K40" i="2"/>
  <c r="L40" i="2"/>
  <c r="M40" i="2"/>
  <c r="B41" i="2"/>
  <c r="C41" i="2"/>
  <c r="D41" i="2"/>
  <c r="E41" i="2"/>
  <c r="F41" i="2"/>
  <c r="G41" i="2"/>
  <c r="H41" i="2"/>
  <c r="I41" i="2"/>
  <c r="J41" i="2"/>
  <c r="K41" i="2"/>
  <c r="L41" i="2"/>
  <c r="M41" i="2"/>
  <c r="B42" i="2"/>
  <c r="C42" i="2"/>
  <c r="D42" i="2"/>
  <c r="E42" i="2"/>
  <c r="F42" i="2"/>
  <c r="G42" i="2"/>
  <c r="H42" i="2"/>
  <c r="I42" i="2"/>
  <c r="J42" i="2"/>
  <c r="K42" i="2"/>
  <c r="L42" i="2"/>
  <c r="M42" i="2"/>
  <c r="B43" i="2"/>
  <c r="C43" i="2"/>
  <c r="D43" i="2"/>
  <c r="E43" i="2"/>
  <c r="F43" i="2"/>
  <c r="G43" i="2"/>
  <c r="H43" i="2"/>
  <c r="I43" i="2"/>
  <c r="J43" i="2"/>
  <c r="K43" i="2"/>
  <c r="L43" i="2"/>
  <c r="M43" i="2"/>
  <c r="B44" i="2"/>
  <c r="C44" i="2"/>
  <c r="D44" i="2"/>
  <c r="E44" i="2"/>
  <c r="F44" i="2"/>
  <c r="G44" i="2"/>
  <c r="H44" i="2"/>
  <c r="I44" i="2"/>
  <c r="J44" i="2"/>
  <c r="K44" i="2"/>
  <c r="L44" i="2"/>
  <c r="M44" i="2"/>
  <c r="B45" i="2"/>
  <c r="C45" i="2"/>
  <c r="D45" i="2"/>
  <c r="E45" i="2"/>
  <c r="F45" i="2"/>
  <c r="G45" i="2"/>
  <c r="H45" i="2"/>
  <c r="I45" i="2"/>
  <c r="J45" i="2"/>
  <c r="K45" i="2"/>
  <c r="L45" i="2"/>
  <c r="M45" i="2"/>
  <c r="B46" i="2"/>
  <c r="C46" i="2"/>
  <c r="D46" i="2"/>
  <c r="E46" i="2"/>
  <c r="F46" i="2"/>
  <c r="G46" i="2"/>
  <c r="H46" i="2"/>
  <c r="I46" i="2"/>
  <c r="J46" i="2"/>
  <c r="K46" i="2"/>
  <c r="L46" i="2"/>
  <c r="M46" i="2"/>
  <c r="B47" i="2"/>
  <c r="C47" i="2"/>
  <c r="D47" i="2"/>
  <c r="E47" i="2"/>
  <c r="F47" i="2"/>
  <c r="G47" i="2"/>
  <c r="H47" i="2"/>
  <c r="I47" i="2"/>
  <c r="J47" i="2"/>
  <c r="K47" i="2"/>
  <c r="L47" i="2"/>
  <c r="M47" i="2"/>
  <c r="B48" i="2"/>
  <c r="C48" i="2"/>
  <c r="D48" i="2"/>
  <c r="E48" i="2"/>
  <c r="F48" i="2"/>
  <c r="G48" i="2"/>
  <c r="H48" i="2"/>
  <c r="I48" i="2"/>
  <c r="J48" i="2"/>
  <c r="K48" i="2"/>
  <c r="L48" i="2"/>
  <c r="M48" i="2"/>
  <c r="B49" i="2"/>
  <c r="C49" i="2"/>
  <c r="D49" i="2"/>
  <c r="E49" i="2"/>
  <c r="F49" i="2"/>
  <c r="G49" i="2"/>
  <c r="H49" i="2"/>
  <c r="I49" i="2"/>
  <c r="J49" i="2"/>
  <c r="K49" i="2"/>
  <c r="L49" i="2"/>
  <c r="M49" i="2"/>
  <c r="B50" i="2"/>
  <c r="C50" i="2"/>
  <c r="D50" i="2"/>
  <c r="E50" i="2"/>
  <c r="F50" i="2"/>
  <c r="G50" i="2"/>
  <c r="H50" i="2"/>
  <c r="I50" i="2"/>
  <c r="J50" i="2"/>
  <c r="K50" i="2"/>
  <c r="L50" i="2"/>
  <c r="M50" i="2"/>
  <c r="B51" i="2"/>
  <c r="C51" i="2"/>
  <c r="D51" i="2"/>
  <c r="E51" i="2"/>
  <c r="F51" i="2"/>
  <c r="G51" i="2"/>
  <c r="H51" i="2"/>
  <c r="I51" i="2"/>
  <c r="J51" i="2"/>
  <c r="K51" i="2"/>
  <c r="L51" i="2"/>
  <c r="M51" i="2"/>
  <c r="B52" i="2"/>
  <c r="C52" i="2"/>
  <c r="D52" i="2"/>
  <c r="E52" i="2"/>
  <c r="F52" i="2"/>
  <c r="G52" i="2"/>
  <c r="H52" i="2"/>
  <c r="I52" i="2"/>
  <c r="J52" i="2"/>
  <c r="K52" i="2"/>
  <c r="L52" i="2"/>
  <c r="M52" i="2"/>
  <c r="B53" i="2"/>
  <c r="C53" i="2"/>
  <c r="D53" i="2"/>
  <c r="E53" i="2"/>
  <c r="F53" i="2"/>
  <c r="G53" i="2"/>
  <c r="H53" i="2"/>
  <c r="I53" i="2"/>
  <c r="J53" i="2"/>
  <c r="K53" i="2"/>
  <c r="L53" i="2"/>
  <c r="M53" i="2"/>
  <c r="B54" i="2"/>
  <c r="C54" i="2"/>
  <c r="D54" i="2"/>
  <c r="E54" i="2"/>
  <c r="F54" i="2"/>
  <c r="G54" i="2"/>
  <c r="H54" i="2"/>
  <c r="I54" i="2"/>
  <c r="J54" i="2"/>
  <c r="K54" i="2"/>
  <c r="L54" i="2"/>
  <c r="M54" i="2"/>
  <c r="B55" i="2"/>
  <c r="C55" i="2"/>
  <c r="D55" i="2"/>
  <c r="E55" i="2"/>
  <c r="F55" i="2"/>
  <c r="G55" i="2"/>
  <c r="H55" i="2"/>
  <c r="I55" i="2"/>
  <c r="J55" i="2"/>
  <c r="K55" i="2"/>
  <c r="L55" i="2"/>
  <c r="M55" i="2"/>
  <c r="B56" i="2"/>
  <c r="C56" i="2"/>
  <c r="D56" i="2"/>
  <c r="E56" i="2"/>
  <c r="F56" i="2"/>
  <c r="G56" i="2"/>
  <c r="H56" i="2"/>
  <c r="I56" i="2"/>
  <c r="J56" i="2"/>
  <c r="K56" i="2"/>
  <c r="L56" i="2"/>
  <c r="M56" i="2"/>
  <c r="B57" i="2"/>
  <c r="C57" i="2"/>
  <c r="D57" i="2"/>
  <c r="E57" i="2"/>
  <c r="F57" i="2"/>
  <c r="G57" i="2"/>
  <c r="H57" i="2"/>
  <c r="I57" i="2"/>
  <c r="J57" i="2"/>
  <c r="K57" i="2"/>
  <c r="L57" i="2"/>
  <c r="M57" i="2"/>
  <c r="B58" i="2"/>
  <c r="C58" i="2"/>
  <c r="D58" i="2"/>
  <c r="E58" i="2"/>
  <c r="F58" i="2"/>
  <c r="G58" i="2"/>
  <c r="H58" i="2"/>
  <c r="I58" i="2"/>
  <c r="J58" i="2"/>
  <c r="K58" i="2"/>
  <c r="L58" i="2"/>
  <c r="M58" i="2"/>
  <c r="B59" i="2"/>
  <c r="C59" i="2"/>
  <c r="D59" i="2"/>
  <c r="E59" i="2"/>
  <c r="F59" i="2"/>
  <c r="G59" i="2"/>
  <c r="H59" i="2"/>
  <c r="I59" i="2"/>
  <c r="J59" i="2"/>
  <c r="K59" i="2"/>
  <c r="L59" i="2"/>
  <c r="M59" i="2"/>
  <c r="B60" i="2"/>
  <c r="C60" i="2"/>
  <c r="D60" i="2"/>
  <c r="E60" i="2"/>
  <c r="F60" i="2"/>
  <c r="G60" i="2"/>
  <c r="H60" i="2"/>
  <c r="I60" i="2"/>
  <c r="J60" i="2"/>
  <c r="K60" i="2"/>
  <c r="L60" i="2"/>
  <c r="M60" i="2"/>
  <c r="B61" i="2"/>
  <c r="C61" i="2"/>
  <c r="D61" i="2"/>
  <c r="E61" i="2"/>
  <c r="F61" i="2"/>
  <c r="G61" i="2"/>
  <c r="H61" i="2"/>
  <c r="I61" i="2"/>
  <c r="J61" i="2"/>
  <c r="K61" i="2"/>
  <c r="L61" i="2"/>
  <c r="M61" i="2"/>
  <c r="B62" i="2"/>
  <c r="C62" i="2"/>
  <c r="D62" i="2"/>
  <c r="E62" i="2"/>
  <c r="F62" i="2"/>
  <c r="G62" i="2"/>
  <c r="H62" i="2"/>
  <c r="I62" i="2"/>
  <c r="J62" i="2"/>
  <c r="K62" i="2"/>
  <c r="L62" i="2"/>
  <c r="M62" i="2"/>
  <c r="B63" i="2"/>
  <c r="C63" i="2"/>
  <c r="D63" i="2"/>
  <c r="E63" i="2"/>
  <c r="F63" i="2"/>
  <c r="G63" i="2"/>
  <c r="H63" i="2"/>
  <c r="I63" i="2"/>
  <c r="J63" i="2"/>
  <c r="K63" i="2"/>
  <c r="L63" i="2"/>
  <c r="M63" i="2"/>
  <c r="AG32" i="2" l="1"/>
  <c r="AF32" i="2"/>
  <c r="AE34" i="2"/>
  <c r="AE32" i="2"/>
  <c r="CQ5" i="1" s="1"/>
  <c r="AE33" i="2"/>
  <c r="AH32" i="2"/>
  <c r="BW30" i="1"/>
  <c r="BP30" i="1"/>
  <c r="BW28" i="1"/>
  <c r="BP28" i="1"/>
  <c r="BW16" i="1"/>
  <c r="BP16" i="1"/>
  <c r="BP14" i="1"/>
  <c r="BW14" i="1"/>
  <c r="BW12" i="1"/>
  <c r="BP12" i="1"/>
  <c r="BP10" i="1"/>
  <c r="BW10" i="1"/>
  <c r="BW8" i="1"/>
  <c r="BP8" i="1"/>
  <c r="BW6" i="1"/>
  <c r="BP6" i="1"/>
  <c r="BP33" i="1"/>
  <c r="BW33" i="1"/>
  <c r="BU32" i="1"/>
  <c r="BN32" i="1"/>
  <c r="BN30" i="1"/>
  <c r="BU30" i="1"/>
  <c r="BN28" i="1"/>
  <c r="BU28" i="1"/>
  <c r="BU26" i="1"/>
  <c r="BN26" i="1"/>
  <c r="BU24" i="1"/>
  <c r="BN24" i="1"/>
  <c r="BP18" i="1"/>
  <c r="BW18" i="1"/>
  <c r="BM32" i="1"/>
  <c r="BT32" i="1"/>
  <c r="BR32" i="1"/>
  <c r="BJ32" i="1"/>
  <c r="BL32" i="1"/>
  <c r="BQ32" i="1"/>
  <c r="BS32" i="1"/>
  <c r="BK32" i="1"/>
  <c r="BQ30" i="1"/>
  <c r="BR30" i="1"/>
  <c r="BJ30" i="1"/>
  <c r="BS30" i="1"/>
  <c r="BK30" i="1"/>
  <c r="BL30" i="1"/>
  <c r="BS28" i="1"/>
  <c r="BK28" i="1"/>
  <c r="BL28" i="1"/>
  <c r="BQ28" i="1"/>
  <c r="BR28" i="1"/>
  <c r="BJ28" i="1"/>
  <c r="BL26" i="1"/>
  <c r="BS26" i="1"/>
  <c r="BK26" i="1"/>
  <c r="BJ26" i="1"/>
  <c r="BQ26" i="1"/>
  <c r="BR26" i="1"/>
  <c r="BQ24" i="1"/>
  <c r="BR24" i="1"/>
  <c r="BJ24" i="1"/>
  <c r="BL24" i="1"/>
  <c r="BS24" i="1"/>
  <c r="BK24" i="1"/>
  <c r="BP26" i="1"/>
  <c r="BW26" i="1"/>
  <c r="BM30" i="1"/>
  <c r="BT30" i="1"/>
  <c r="BP31" i="1"/>
  <c r="BW31" i="1"/>
  <c r="BW29" i="1"/>
  <c r="BP29" i="1"/>
  <c r="BW27" i="1"/>
  <c r="BP27" i="1"/>
  <c r="BP25" i="1"/>
  <c r="BW25" i="1"/>
  <c r="BP23" i="1"/>
  <c r="BW23" i="1"/>
  <c r="BW21" i="1"/>
  <c r="BP21" i="1"/>
  <c r="BP19" i="1"/>
  <c r="BW19" i="1"/>
  <c r="BP17" i="1"/>
  <c r="BW17" i="1"/>
  <c r="BP15" i="1"/>
  <c r="BW15" i="1"/>
  <c r="BW13" i="1"/>
  <c r="BP13" i="1"/>
  <c r="BP11" i="1"/>
  <c r="BW11" i="1"/>
  <c r="BP9" i="1"/>
  <c r="BW9" i="1"/>
  <c r="BP7" i="1"/>
  <c r="BW7" i="1"/>
  <c r="BW5" i="1"/>
  <c r="BP5" i="1"/>
  <c r="BW22" i="1"/>
  <c r="BP22" i="1"/>
  <c r="BM24" i="1"/>
  <c r="BT24" i="1"/>
  <c r="BU33" i="1"/>
  <c r="BN33" i="1"/>
  <c r="BU31" i="1"/>
  <c r="BN31" i="1"/>
  <c r="BN29" i="1"/>
  <c r="BU29" i="1"/>
  <c r="BN27" i="1"/>
  <c r="BU27" i="1"/>
  <c r="BU25" i="1"/>
  <c r="BN25" i="1"/>
  <c r="BW32" i="1"/>
  <c r="BP32" i="1"/>
  <c r="BW24" i="1"/>
  <c r="BP24" i="1"/>
  <c r="BT26" i="1"/>
  <c r="BM26" i="1"/>
  <c r="BT33" i="1"/>
  <c r="BM33" i="1"/>
  <c r="BM31" i="1"/>
  <c r="BT31" i="1"/>
  <c r="BM29" i="1"/>
  <c r="BT29" i="1"/>
  <c r="BT27" i="1"/>
  <c r="BM27" i="1"/>
  <c r="BT25" i="1"/>
  <c r="BM25" i="1"/>
  <c r="BW20" i="1"/>
  <c r="BP20" i="1"/>
  <c r="BT28" i="1"/>
  <c r="BM28" i="1"/>
  <c r="BL33" i="1"/>
  <c r="BS33" i="1"/>
  <c r="BQ33" i="1"/>
  <c r="BK33" i="1"/>
  <c r="BJ33" i="1"/>
  <c r="BR33" i="1"/>
  <c r="BQ31" i="1"/>
  <c r="BR31" i="1"/>
  <c r="BL31" i="1"/>
  <c r="BJ31" i="1"/>
  <c r="BK31" i="1"/>
  <c r="BS31" i="1"/>
  <c r="BR29" i="1"/>
  <c r="BJ29" i="1"/>
  <c r="BS29" i="1"/>
  <c r="BQ29" i="1"/>
  <c r="BL29" i="1"/>
  <c r="BK29" i="1"/>
  <c r="BS27" i="1"/>
  <c r="BK27" i="1"/>
  <c r="BR27" i="1"/>
  <c r="BJ27" i="1"/>
  <c r="BL27" i="1"/>
  <c r="BQ27" i="1"/>
  <c r="BL25" i="1"/>
  <c r="BQ25" i="1"/>
  <c r="BS25" i="1"/>
  <c r="BK25" i="1"/>
  <c r="BR25" i="1"/>
  <c r="BJ25" i="1"/>
  <c r="E2" i="4"/>
  <c r="F2" i="4"/>
  <c r="G2" i="4"/>
  <c r="H2" i="4"/>
  <c r="E3" i="4"/>
  <c r="F3" i="4"/>
  <c r="G3" i="4"/>
  <c r="H3" i="4"/>
  <c r="E4" i="4"/>
  <c r="F4" i="4"/>
  <c r="G4" i="4"/>
  <c r="H4" i="4"/>
  <c r="E5" i="4"/>
  <c r="F5" i="4"/>
  <c r="G5" i="4"/>
  <c r="H5" i="4"/>
  <c r="E6" i="4"/>
  <c r="F6" i="4"/>
  <c r="G6" i="4"/>
  <c r="H6" i="4"/>
  <c r="E7" i="4"/>
  <c r="F7" i="4"/>
  <c r="G7" i="4"/>
  <c r="H7" i="4"/>
  <c r="E8" i="4"/>
  <c r="F8" i="4"/>
  <c r="G8" i="4"/>
  <c r="H8" i="4"/>
  <c r="E9" i="4"/>
  <c r="F9" i="4"/>
  <c r="G9" i="4"/>
  <c r="H9" i="4"/>
  <c r="E10" i="4"/>
  <c r="F10" i="4"/>
  <c r="G10" i="4"/>
  <c r="H10" i="4"/>
  <c r="E11" i="4"/>
  <c r="F11" i="4"/>
  <c r="G11" i="4"/>
  <c r="H11" i="4"/>
  <c r="E12" i="4"/>
  <c r="F12" i="4"/>
  <c r="G12" i="4"/>
  <c r="H12" i="4"/>
  <c r="E13" i="4"/>
  <c r="F13" i="4"/>
  <c r="G13" i="4"/>
  <c r="H13" i="4"/>
  <c r="E14" i="4"/>
  <c r="F14" i="4"/>
  <c r="G14" i="4"/>
  <c r="H14" i="4"/>
  <c r="E15" i="4"/>
  <c r="F15" i="4"/>
  <c r="G15" i="4"/>
  <c r="H15" i="4"/>
  <c r="E16" i="4"/>
  <c r="F16" i="4"/>
  <c r="G16" i="4"/>
  <c r="H16" i="4"/>
  <c r="E17" i="4"/>
  <c r="F17" i="4"/>
  <c r="G17" i="4"/>
  <c r="H17" i="4"/>
  <c r="E18" i="4"/>
  <c r="F18" i="4"/>
  <c r="G18" i="4"/>
  <c r="H18" i="4"/>
  <c r="E19" i="4"/>
  <c r="F19" i="4"/>
  <c r="G19" i="4"/>
  <c r="H19" i="4"/>
  <c r="E20" i="4"/>
  <c r="F20" i="4"/>
  <c r="G20" i="4"/>
  <c r="H20" i="4"/>
  <c r="E21" i="4"/>
  <c r="F21" i="4"/>
  <c r="G21" i="4"/>
  <c r="H21" i="4"/>
  <c r="E22" i="4"/>
  <c r="F22" i="4"/>
  <c r="G22" i="4"/>
  <c r="H22" i="4"/>
  <c r="E23" i="4"/>
  <c r="F23" i="4"/>
  <c r="G23" i="4"/>
  <c r="H23" i="4"/>
  <c r="E24" i="4"/>
  <c r="F24" i="4"/>
  <c r="G24" i="4"/>
  <c r="H24" i="4"/>
  <c r="E25" i="4"/>
  <c r="F25" i="4"/>
  <c r="G25" i="4"/>
  <c r="H25" i="4"/>
  <c r="E26" i="4"/>
  <c r="F26" i="4"/>
  <c r="G26" i="4"/>
  <c r="H26" i="4"/>
  <c r="E27" i="4"/>
  <c r="F27" i="4"/>
  <c r="G27" i="4"/>
  <c r="H27" i="4"/>
  <c r="E28" i="4"/>
  <c r="F28" i="4"/>
  <c r="G28" i="4"/>
  <c r="H28" i="4"/>
  <c r="E29" i="4"/>
  <c r="F29" i="4"/>
  <c r="G29" i="4"/>
  <c r="H29" i="4"/>
  <c r="DA5" i="1" l="1"/>
  <c r="BP34" i="1"/>
  <c r="BW34" i="1"/>
  <c r="I15" i="4"/>
  <c r="I26" i="4"/>
  <c r="I24" i="4"/>
  <c r="I22" i="4"/>
  <c r="I20" i="4"/>
  <c r="I16" i="4"/>
  <c r="I14" i="4"/>
  <c r="I12" i="4"/>
  <c r="I10" i="4"/>
  <c r="I8" i="4"/>
  <c r="I6" i="4"/>
  <c r="I28" i="4"/>
  <c r="I18" i="4"/>
  <c r="I23" i="4"/>
  <c r="I7" i="4"/>
  <c r="I25" i="4"/>
  <c r="I17" i="4"/>
  <c r="I9" i="4"/>
  <c r="I4" i="4"/>
  <c r="I2" i="4"/>
  <c r="I29" i="4"/>
  <c r="I27" i="4"/>
  <c r="I21" i="4"/>
  <c r="I19" i="4"/>
  <c r="I13" i="4"/>
  <c r="I11" i="4"/>
  <c r="I5" i="4"/>
  <c r="I3" i="4"/>
  <c r="N3" i="4" l="1"/>
  <c r="O3" i="4"/>
  <c r="K6" i="1" s="1"/>
  <c r="N27" i="4"/>
  <c r="O27" i="4"/>
  <c r="K30" i="1" s="1"/>
  <c r="N4" i="4"/>
  <c r="O4" i="4"/>
  <c r="K7" i="1" s="1"/>
  <c r="N12" i="4"/>
  <c r="O12" i="4"/>
  <c r="K15" i="1" s="1"/>
  <c r="N20" i="4"/>
  <c r="O20" i="4"/>
  <c r="K23" i="1" s="1"/>
  <c r="N28" i="4"/>
  <c r="O28" i="4"/>
  <c r="K31" i="1" s="1"/>
  <c r="N19" i="4"/>
  <c r="O19" i="4"/>
  <c r="K22" i="1" s="1"/>
  <c r="N5" i="4"/>
  <c r="O5" i="4"/>
  <c r="K8" i="1" s="1"/>
  <c r="N13" i="4"/>
  <c r="O13" i="4"/>
  <c r="K16" i="1" s="1"/>
  <c r="N21" i="4"/>
  <c r="O21" i="4"/>
  <c r="K24" i="1" s="1"/>
  <c r="N29" i="4"/>
  <c r="O29" i="4"/>
  <c r="K32" i="1" s="1"/>
  <c r="N11" i="4"/>
  <c r="O11" i="4"/>
  <c r="K14" i="1" s="1"/>
  <c r="N6" i="4"/>
  <c r="O6" i="4"/>
  <c r="K9" i="1" s="1"/>
  <c r="N14" i="4"/>
  <c r="O14" i="4"/>
  <c r="K17" i="1" s="1"/>
  <c r="O22" i="4"/>
  <c r="K25" i="1" s="1"/>
  <c r="N22" i="4"/>
  <c r="N30" i="4"/>
  <c r="M30" i="4"/>
  <c r="N7" i="4"/>
  <c r="O7" i="4"/>
  <c r="K10" i="1" s="1"/>
  <c r="N15" i="4"/>
  <c r="O15" i="4"/>
  <c r="K18" i="1" s="1"/>
  <c r="N23" i="4"/>
  <c r="O23" i="4"/>
  <c r="K26" i="1" s="1"/>
  <c r="N8" i="4"/>
  <c r="O8" i="4"/>
  <c r="K11" i="1" s="1"/>
  <c r="N16" i="4"/>
  <c r="O16" i="4"/>
  <c r="K19" i="1" s="1"/>
  <c r="N24" i="4"/>
  <c r="O24" i="4"/>
  <c r="K27" i="1" s="1"/>
  <c r="N9" i="4"/>
  <c r="O9" i="4"/>
  <c r="K12" i="1" s="1"/>
  <c r="N17" i="4"/>
  <c r="O17" i="4"/>
  <c r="K20" i="1" s="1"/>
  <c r="N25" i="4"/>
  <c r="O25" i="4"/>
  <c r="K28" i="1" s="1"/>
  <c r="K5" i="1"/>
  <c r="N2" i="4"/>
  <c r="O10" i="4"/>
  <c r="K13" i="1" s="1"/>
  <c r="N10" i="4"/>
  <c r="O18" i="4"/>
  <c r="K21" i="1" s="1"/>
  <c r="N18" i="4"/>
  <c r="N26" i="4"/>
  <c r="O26" i="4"/>
  <c r="K29" i="1" s="1"/>
  <c r="J8" i="4"/>
  <c r="K8" i="4"/>
  <c r="L8" i="4"/>
  <c r="M8" i="4"/>
  <c r="L16" i="4"/>
  <c r="J16" i="4"/>
  <c r="I19" i="1" s="1"/>
  <c r="K16" i="4"/>
  <c r="M16" i="4"/>
  <c r="L24" i="4"/>
  <c r="J24" i="4"/>
  <c r="I27" i="1" s="1"/>
  <c r="K24" i="4"/>
  <c r="M24" i="4"/>
  <c r="J9" i="4"/>
  <c r="K9" i="4"/>
  <c r="L9" i="4"/>
  <c r="M9" i="4"/>
  <c r="J17" i="4"/>
  <c r="I20" i="1" s="1"/>
  <c r="L17" i="4"/>
  <c r="M17" i="4"/>
  <c r="K17" i="4"/>
  <c r="J25" i="4"/>
  <c r="I28" i="1" s="1"/>
  <c r="L25" i="4"/>
  <c r="M25" i="4"/>
  <c r="K25" i="4"/>
  <c r="M2" i="4"/>
  <c r="J2" i="4"/>
  <c r="K2" i="4"/>
  <c r="L2" i="4"/>
  <c r="M10" i="4"/>
  <c r="J10" i="4"/>
  <c r="K10" i="4"/>
  <c r="L10" i="4"/>
  <c r="M18" i="4"/>
  <c r="J18" i="4"/>
  <c r="I21" i="1" s="1"/>
  <c r="K18" i="4"/>
  <c r="L18" i="4"/>
  <c r="M26" i="4"/>
  <c r="J26" i="4"/>
  <c r="I29" i="1" s="1"/>
  <c r="K26" i="4"/>
  <c r="L26" i="4"/>
  <c r="J3" i="4"/>
  <c r="K3" i="4"/>
  <c r="M3" i="4"/>
  <c r="L3" i="4"/>
  <c r="J11" i="4"/>
  <c r="I14" i="1" s="1"/>
  <c r="M11" i="4"/>
  <c r="K11" i="4"/>
  <c r="L11" i="4"/>
  <c r="J19" i="4"/>
  <c r="I22" i="1" s="1"/>
  <c r="K19" i="4"/>
  <c r="L19" i="4"/>
  <c r="M19" i="4"/>
  <c r="J27" i="4"/>
  <c r="I30" i="1" s="1"/>
  <c r="K27" i="4"/>
  <c r="M27" i="4"/>
  <c r="L27" i="4"/>
  <c r="K4" i="4"/>
  <c r="M4" i="4"/>
  <c r="J4" i="4"/>
  <c r="L4" i="4"/>
  <c r="K12" i="4"/>
  <c r="L12" i="4"/>
  <c r="M12" i="4"/>
  <c r="J12" i="4"/>
  <c r="I15" i="1" s="1"/>
  <c r="K20" i="4"/>
  <c r="M20" i="4"/>
  <c r="J20" i="4"/>
  <c r="I23" i="1" s="1"/>
  <c r="L20" i="4"/>
  <c r="K28" i="4"/>
  <c r="M28" i="4"/>
  <c r="L28" i="4"/>
  <c r="J28" i="4"/>
  <c r="I31" i="1" s="1"/>
  <c r="K5" i="4"/>
  <c r="J5" i="4"/>
  <c r="L5" i="4"/>
  <c r="M5" i="4"/>
  <c r="J13" i="4"/>
  <c r="I16" i="1" s="1"/>
  <c r="K13" i="4"/>
  <c r="L13" i="4"/>
  <c r="M13" i="4"/>
  <c r="K21" i="4"/>
  <c r="J21" i="4"/>
  <c r="I24" i="1" s="1"/>
  <c r="L21" i="4"/>
  <c r="M21" i="4"/>
  <c r="K29" i="4"/>
  <c r="J29" i="4"/>
  <c r="I32" i="1" s="1"/>
  <c r="L29" i="4"/>
  <c r="M29" i="4"/>
  <c r="K6" i="4"/>
  <c r="J6" i="4"/>
  <c r="L6" i="4"/>
  <c r="M6" i="4"/>
  <c r="K14" i="4"/>
  <c r="L14" i="4"/>
  <c r="M14" i="4"/>
  <c r="J14" i="4"/>
  <c r="I17" i="1" s="1"/>
  <c r="J22" i="4"/>
  <c r="I25" i="1" s="1"/>
  <c r="K22" i="4"/>
  <c r="L22" i="4"/>
  <c r="M22" i="4"/>
  <c r="K30" i="4"/>
  <c r="L30" i="4"/>
  <c r="I33" i="1"/>
  <c r="L7" i="4"/>
  <c r="M7" i="4"/>
  <c r="J7" i="4"/>
  <c r="K7" i="4"/>
  <c r="L15" i="4"/>
  <c r="M15" i="4"/>
  <c r="J15" i="4"/>
  <c r="I18" i="1" s="1"/>
  <c r="K15" i="4"/>
  <c r="L23" i="4"/>
  <c r="M23" i="4"/>
  <c r="J23" i="4"/>
  <c r="I26" i="1" s="1"/>
  <c r="K23" i="4"/>
  <c r="CF12" i="1" l="1"/>
  <c r="I12" i="1"/>
  <c r="CF10" i="1"/>
  <c r="I10" i="1"/>
  <c r="I7" i="1"/>
  <c r="CF9" i="1"/>
  <c r="I9" i="1"/>
  <c r="CF8" i="1"/>
  <c r="I8" i="1"/>
  <c r="I5" i="1"/>
  <c r="CF13" i="1"/>
  <c r="I13" i="1"/>
  <c r="I6" i="1"/>
  <c r="CF11" i="1"/>
  <c r="I11" i="1"/>
  <c r="K34" i="1"/>
  <c r="CF5" i="1"/>
  <c r="CM12" i="1"/>
  <c r="CF22" i="1"/>
  <c r="CM5" i="1"/>
  <c r="CM25" i="1"/>
  <c r="CG25" i="1"/>
  <c r="CH25" i="1"/>
  <c r="CI25" i="1"/>
  <c r="CK25" i="1"/>
  <c r="CJ25" i="1"/>
  <c r="CF33" i="1"/>
  <c r="CC33" i="1"/>
  <c r="BZ33" i="1"/>
  <c r="CA33" i="1"/>
  <c r="CD33" i="1"/>
  <c r="CB33" i="1"/>
  <c r="CF17" i="1"/>
  <c r="CA31" i="1"/>
  <c r="CB31" i="1"/>
  <c r="CC31" i="1"/>
  <c r="CD31" i="1"/>
  <c r="BZ31" i="1"/>
  <c r="CF31" i="1"/>
  <c r="CF15" i="1"/>
  <c r="CM29" i="1"/>
  <c r="CG29" i="1"/>
  <c r="CH29" i="1"/>
  <c r="CI29" i="1"/>
  <c r="CJ29" i="1"/>
  <c r="CK29" i="1"/>
  <c r="CI27" i="1"/>
  <c r="CJ27" i="1"/>
  <c r="CG27" i="1"/>
  <c r="CK27" i="1"/>
  <c r="CH27" i="1"/>
  <c r="CM27" i="1"/>
  <c r="CM18" i="1"/>
  <c r="CM17" i="1"/>
  <c r="CK24" i="1"/>
  <c r="CJ24" i="1"/>
  <c r="CM24" i="1"/>
  <c r="CG24" i="1"/>
  <c r="CH24" i="1"/>
  <c r="CI24" i="1"/>
  <c r="CI31" i="1"/>
  <c r="CJ31" i="1"/>
  <c r="CK31" i="1"/>
  <c r="CG31" i="1"/>
  <c r="CM31" i="1"/>
  <c r="CH31" i="1"/>
  <c r="CG30" i="1"/>
  <c r="CH30" i="1"/>
  <c r="CI30" i="1"/>
  <c r="CJ30" i="1"/>
  <c r="CK30" i="1"/>
  <c r="CM30" i="1"/>
  <c r="CM22" i="1"/>
  <c r="CF18" i="1"/>
  <c r="CC32" i="1"/>
  <c r="CD32" i="1"/>
  <c r="CB32" i="1"/>
  <c r="CF32" i="1"/>
  <c r="BZ32" i="1"/>
  <c r="CA32" i="1"/>
  <c r="CF29" i="1"/>
  <c r="CC29" i="1"/>
  <c r="CD29" i="1"/>
  <c r="BZ29" i="1"/>
  <c r="CA29" i="1"/>
  <c r="CB29" i="1"/>
  <c r="CA27" i="1"/>
  <c r="CB27" i="1"/>
  <c r="CC27" i="1"/>
  <c r="CD27" i="1"/>
  <c r="CF27" i="1"/>
  <c r="BZ27" i="1"/>
  <c r="CK28" i="1"/>
  <c r="CM28" i="1"/>
  <c r="CI28" i="1"/>
  <c r="CG28" i="1"/>
  <c r="CH28" i="1"/>
  <c r="CJ28" i="1"/>
  <c r="CM19" i="1"/>
  <c r="CM10" i="1"/>
  <c r="CM9" i="1"/>
  <c r="CM16" i="1"/>
  <c r="CM23" i="1"/>
  <c r="CM6" i="1"/>
  <c r="CF21" i="1"/>
  <c r="CM7" i="1"/>
  <c r="CF16" i="1"/>
  <c r="BZ30" i="1"/>
  <c r="CA30" i="1"/>
  <c r="CB30" i="1"/>
  <c r="CF30" i="1"/>
  <c r="CC30" i="1"/>
  <c r="CD30" i="1"/>
  <c r="CF14" i="1"/>
  <c r="CC28" i="1"/>
  <c r="CD28" i="1"/>
  <c r="CF28" i="1"/>
  <c r="CA28" i="1"/>
  <c r="CB28" i="1"/>
  <c r="BZ28" i="1"/>
  <c r="CM21" i="1"/>
  <c r="CF19" i="1"/>
  <c r="CG26" i="1"/>
  <c r="CH26" i="1"/>
  <c r="CI26" i="1"/>
  <c r="CJ26" i="1"/>
  <c r="CK26" i="1"/>
  <c r="CM26" i="1"/>
  <c r="CF25" i="1"/>
  <c r="BZ25" i="1"/>
  <c r="CC25" i="1"/>
  <c r="CA25" i="1"/>
  <c r="CD25" i="1"/>
  <c r="CB25" i="1"/>
  <c r="CM20" i="1"/>
  <c r="CM11" i="1"/>
  <c r="CM14" i="1"/>
  <c r="CM8" i="1"/>
  <c r="CM15" i="1"/>
  <c r="CC24" i="1"/>
  <c r="CD24" i="1"/>
  <c r="CA24" i="1"/>
  <c r="CF24" i="1"/>
  <c r="BZ24" i="1"/>
  <c r="CB24" i="1"/>
  <c r="CK32" i="1"/>
  <c r="CM32" i="1"/>
  <c r="CI32" i="1"/>
  <c r="CJ32" i="1"/>
  <c r="CG32" i="1"/>
  <c r="CH32" i="1"/>
  <c r="CF20" i="1"/>
  <c r="BZ26" i="1"/>
  <c r="CA26" i="1"/>
  <c r="CF26" i="1"/>
  <c r="CB26" i="1"/>
  <c r="CC26" i="1"/>
  <c r="CD26" i="1"/>
  <c r="CF23" i="1"/>
  <c r="CF7" i="1"/>
  <c r="CM13" i="1"/>
  <c r="CM33" i="1"/>
  <c r="CG33" i="1"/>
  <c r="CH33" i="1"/>
  <c r="CI33" i="1"/>
  <c r="CJ33" i="1"/>
  <c r="CK33" i="1"/>
  <c r="H34" i="1" l="1"/>
  <c r="CR5" i="1" s="1"/>
  <c r="DB5" i="1" s="1"/>
  <c r="CF6" i="1"/>
  <c r="CF34" i="1" s="1"/>
  <c r="I34" i="1"/>
  <c r="CM34" i="1"/>
  <c r="EN41" i="1" l="1"/>
  <c r="EN42" i="1"/>
  <c r="EN43" i="1"/>
  <c r="EN44" i="1"/>
  <c r="EN45" i="1"/>
  <c r="EN46" i="1"/>
  <c r="EN40" i="1"/>
  <c r="EM48" i="1"/>
  <c r="EM49" i="1"/>
  <c r="EM50" i="1"/>
  <c r="EM51" i="1"/>
  <c r="EM52" i="1"/>
  <c r="EM53" i="1"/>
  <c r="EM47" i="1"/>
  <c r="EM46" i="1"/>
  <c r="EM41" i="1"/>
  <c r="EM42" i="1"/>
  <c r="EM43" i="1"/>
  <c r="EM44" i="1"/>
  <c r="EM45" i="1"/>
  <c r="EM40" i="1"/>
  <c r="DU46" i="1" l="1"/>
  <c r="DV46" i="1"/>
  <c r="DU53" i="1"/>
  <c r="DV53" i="1"/>
  <c r="DJ41" i="1"/>
  <c r="DK41" i="1"/>
  <c r="DL41" i="1"/>
  <c r="DM41" i="1"/>
  <c r="DN41" i="1"/>
  <c r="DJ42" i="1"/>
  <c r="DK42" i="1"/>
  <c r="DL42" i="1"/>
  <c r="DM42" i="1"/>
  <c r="DN42" i="1"/>
  <c r="DJ43" i="1"/>
  <c r="DK43" i="1"/>
  <c r="DL43" i="1"/>
  <c r="DM43" i="1"/>
  <c r="DN43" i="1"/>
  <c r="DJ44" i="1"/>
  <c r="DK44" i="1"/>
  <c r="DL44" i="1"/>
  <c r="DM44" i="1"/>
  <c r="DN44" i="1"/>
  <c r="DJ45" i="1"/>
  <c r="DK45" i="1"/>
  <c r="DL45" i="1"/>
  <c r="DM45" i="1"/>
  <c r="DN45" i="1"/>
  <c r="DJ46" i="1"/>
  <c r="DM46" i="1"/>
  <c r="DN46" i="1"/>
  <c r="DJ47" i="1"/>
  <c r="DK47" i="1"/>
  <c r="DL47" i="1"/>
  <c r="DM47" i="1"/>
  <c r="DN47" i="1"/>
  <c r="DJ48" i="1"/>
  <c r="DK48" i="1"/>
  <c r="DL48" i="1"/>
  <c r="DM48" i="1"/>
  <c r="DN48" i="1"/>
  <c r="DJ49" i="1"/>
  <c r="DK49" i="1"/>
  <c r="DL49" i="1"/>
  <c r="DM49" i="1"/>
  <c r="DN49" i="1"/>
  <c r="DJ50" i="1"/>
  <c r="DK50" i="1"/>
  <c r="DL50" i="1"/>
  <c r="DM50" i="1"/>
  <c r="DN50" i="1"/>
  <c r="DJ51" i="1"/>
  <c r="DK51" i="1"/>
  <c r="DL51" i="1"/>
  <c r="DM51" i="1"/>
  <c r="DN51" i="1"/>
  <c r="DJ52" i="1"/>
  <c r="DK52" i="1"/>
  <c r="DL52" i="1"/>
  <c r="DM52" i="1"/>
  <c r="DN52" i="1"/>
  <c r="DJ53" i="1"/>
  <c r="DM53" i="1"/>
  <c r="DN53" i="1"/>
  <c r="DJ40" i="1"/>
  <c r="DK40" i="1"/>
  <c r="DL40" i="1"/>
  <c r="DM40" i="1"/>
  <c r="DN40" i="1"/>
  <c r="DB41" i="1"/>
  <c r="EK41" i="1" s="1"/>
  <c r="DB42" i="1"/>
  <c r="EK42" i="1" s="1"/>
  <c r="DB43" i="1"/>
  <c r="EK43" i="1" s="1"/>
  <c r="DB44" i="1"/>
  <c r="EK44" i="1" s="1"/>
  <c r="DB45" i="1"/>
  <c r="EK45" i="1" s="1"/>
  <c r="DB46" i="1"/>
  <c r="EK46" i="1" s="1"/>
  <c r="DB47" i="1"/>
  <c r="EK47" i="1" s="1"/>
  <c r="DB48" i="1"/>
  <c r="EK48" i="1" s="1"/>
  <c r="DB49" i="1"/>
  <c r="EK49" i="1" s="1"/>
  <c r="DB50" i="1"/>
  <c r="EK50" i="1" s="1"/>
  <c r="DB51" i="1"/>
  <c r="EK51" i="1" s="1"/>
  <c r="DB52" i="1"/>
  <c r="EK52" i="1" s="1"/>
  <c r="DB53" i="1"/>
  <c r="EK53" i="1" s="1"/>
  <c r="DB40" i="1"/>
  <c r="EK40" i="1" s="1"/>
  <c r="P21" i="1" l="1"/>
  <c r="N54" i="2" l="1"/>
  <c r="CR12" i="1" l="1"/>
  <c r="AH33" i="2" l="1"/>
  <c r="AH34" i="2"/>
  <c r="AG34" i="2"/>
  <c r="AG33" i="2"/>
  <c r="CQ16" i="1" s="1"/>
  <c r="CQ9" i="1"/>
  <c r="AF33" i="2"/>
  <c r="CQ15" i="1" s="1"/>
  <c r="AF34" i="2"/>
  <c r="CQ8" i="1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DR40" i="1" l="1"/>
  <c r="CQ7" i="1"/>
  <c r="CQ6" i="1"/>
  <c r="CV11" i="1"/>
  <c r="CQ18" i="1"/>
  <c r="CQ17" i="1"/>
  <c r="CQ11" i="1"/>
  <c r="CQ10" i="1"/>
  <c r="CQ14" i="1"/>
  <c r="CQ13" i="1"/>
  <c r="CQ12" i="1"/>
  <c r="CV18" i="1"/>
  <c r="CS12" i="1" l="1"/>
  <c r="DC12" i="1" s="1"/>
  <c r="DT47" i="1" s="1"/>
  <c r="AQ23" i="1"/>
  <c r="AP23" i="1"/>
  <c r="AO23" i="1"/>
  <c r="AN23" i="1"/>
  <c r="AM23" i="1"/>
  <c r="AJ23" i="1"/>
  <c r="AI23" i="1"/>
  <c r="AH23" i="1"/>
  <c r="AG23" i="1"/>
  <c r="AF23" i="1"/>
  <c r="AA23" i="1"/>
  <c r="Z23" i="1"/>
  <c r="Y23" i="1"/>
  <c r="X23" i="1"/>
  <c r="W23" i="1"/>
  <c r="T23" i="1"/>
  <c r="S23" i="1"/>
  <c r="R23" i="1"/>
  <c r="Q23" i="1"/>
  <c r="P23" i="1"/>
  <c r="AQ22" i="1"/>
  <c r="AP22" i="1"/>
  <c r="AO22" i="1"/>
  <c r="AN22" i="1"/>
  <c r="AM22" i="1"/>
  <c r="AJ22" i="1"/>
  <c r="AI22" i="1"/>
  <c r="AH22" i="1"/>
  <c r="AG22" i="1"/>
  <c r="AF22" i="1"/>
  <c r="AA22" i="1"/>
  <c r="Z22" i="1"/>
  <c r="Y22" i="1"/>
  <c r="X22" i="1"/>
  <c r="W22" i="1"/>
  <c r="T22" i="1"/>
  <c r="S22" i="1"/>
  <c r="R22" i="1"/>
  <c r="Q22" i="1"/>
  <c r="P22" i="1"/>
  <c r="AQ21" i="1"/>
  <c r="AP21" i="1"/>
  <c r="AO21" i="1"/>
  <c r="AN21" i="1"/>
  <c r="AM21" i="1"/>
  <c r="AJ21" i="1"/>
  <c r="AI21" i="1"/>
  <c r="AH21" i="1"/>
  <c r="AG21" i="1"/>
  <c r="AF21" i="1"/>
  <c r="AA21" i="1"/>
  <c r="Z21" i="1"/>
  <c r="Y21" i="1"/>
  <c r="X21" i="1"/>
  <c r="W21" i="1"/>
  <c r="T21" i="1"/>
  <c r="S21" i="1"/>
  <c r="R21" i="1"/>
  <c r="Q21" i="1"/>
  <c r="AQ20" i="1"/>
  <c r="AP20" i="1"/>
  <c r="AO20" i="1"/>
  <c r="AN20" i="1"/>
  <c r="AM20" i="1"/>
  <c r="AJ20" i="1"/>
  <c r="AI20" i="1"/>
  <c r="AH20" i="1"/>
  <c r="AG20" i="1"/>
  <c r="AF20" i="1"/>
  <c r="AA20" i="1"/>
  <c r="Z20" i="1"/>
  <c r="Y20" i="1"/>
  <c r="X20" i="1"/>
  <c r="W20" i="1"/>
  <c r="T20" i="1"/>
  <c r="S20" i="1"/>
  <c r="R20" i="1"/>
  <c r="Q20" i="1"/>
  <c r="P20" i="1"/>
  <c r="AQ19" i="1"/>
  <c r="AP19" i="1"/>
  <c r="AO19" i="1"/>
  <c r="AN19" i="1"/>
  <c r="AM19" i="1"/>
  <c r="AJ19" i="1"/>
  <c r="AI19" i="1"/>
  <c r="AH19" i="1"/>
  <c r="AG19" i="1"/>
  <c r="AF19" i="1"/>
  <c r="AA19" i="1"/>
  <c r="Z19" i="1"/>
  <c r="Y19" i="1"/>
  <c r="X19" i="1"/>
  <c r="W19" i="1"/>
  <c r="U19" i="1"/>
  <c r="V19" i="1" s="1"/>
  <c r="T19" i="1"/>
  <c r="S19" i="1"/>
  <c r="R19" i="1"/>
  <c r="Q19" i="1"/>
  <c r="P19" i="1"/>
  <c r="AQ18" i="1"/>
  <c r="AP18" i="1"/>
  <c r="AO18" i="1"/>
  <c r="AN18" i="1"/>
  <c r="AM18" i="1"/>
  <c r="AJ18" i="1"/>
  <c r="AI18" i="1"/>
  <c r="AH18" i="1"/>
  <c r="AG18" i="1"/>
  <c r="AF18" i="1"/>
  <c r="AB18" i="1"/>
  <c r="AA18" i="1"/>
  <c r="Z18" i="1"/>
  <c r="Y18" i="1"/>
  <c r="X18" i="1"/>
  <c r="W18" i="1"/>
  <c r="T18" i="1"/>
  <c r="S18" i="1"/>
  <c r="R18" i="1"/>
  <c r="Q18" i="1"/>
  <c r="P18" i="1"/>
  <c r="AQ17" i="1"/>
  <c r="AP17" i="1"/>
  <c r="AO17" i="1"/>
  <c r="AN17" i="1"/>
  <c r="AM17" i="1"/>
  <c r="AJ17" i="1"/>
  <c r="AI17" i="1"/>
  <c r="AH17" i="1"/>
  <c r="AG17" i="1"/>
  <c r="AF17" i="1"/>
  <c r="AB17" i="1"/>
  <c r="AA17" i="1"/>
  <c r="Z17" i="1"/>
  <c r="Y17" i="1"/>
  <c r="X17" i="1"/>
  <c r="W17" i="1"/>
  <c r="T17" i="1"/>
  <c r="S17" i="1"/>
  <c r="R17" i="1"/>
  <c r="Q17" i="1"/>
  <c r="P17" i="1"/>
  <c r="DA18" i="1"/>
  <c r="DR53" i="1" s="1"/>
  <c r="AQ16" i="1"/>
  <c r="AP16" i="1"/>
  <c r="AO16" i="1"/>
  <c r="AN16" i="1"/>
  <c r="AM16" i="1"/>
  <c r="AJ16" i="1"/>
  <c r="AI16" i="1"/>
  <c r="AH16" i="1"/>
  <c r="AG16" i="1"/>
  <c r="AF16" i="1"/>
  <c r="AB16" i="1"/>
  <c r="AA16" i="1"/>
  <c r="Z16" i="1"/>
  <c r="Y16" i="1"/>
  <c r="X16" i="1"/>
  <c r="W16" i="1"/>
  <c r="T16" i="1"/>
  <c r="S16" i="1"/>
  <c r="R16" i="1"/>
  <c r="Q16" i="1"/>
  <c r="P16" i="1"/>
  <c r="DA17" i="1"/>
  <c r="DR52" i="1" s="1"/>
  <c r="CZ17" i="1"/>
  <c r="AQ15" i="1"/>
  <c r="AP15" i="1"/>
  <c r="AO15" i="1"/>
  <c r="AN15" i="1"/>
  <c r="AM15" i="1"/>
  <c r="AJ15" i="1"/>
  <c r="AI15" i="1"/>
  <c r="AH15" i="1"/>
  <c r="AG15" i="1"/>
  <c r="AF15" i="1"/>
  <c r="AA15" i="1"/>
  <c r="Z15" i="1"/>
  <c r="Y15" i="1"/>
  <c r="X15" i="1"/>
  <c r="W15" i="1"/>
  <c r="U15" i="1"/>
  <c r="V15" i="1" s="1"/>
  <c r="T15" i="1"/>
  <c r="S15" i="1"/>
  <c r="R15" i="1"/>
  <c r="Q15" i="1"/>
  <c r="P15" i="1"/>
  <c r="DA16" i="1"/>
  <c r="DR51" i="1" s="1"/>
  <c r="CZ16" i="1"/>
  <c r="AQ14" i="1"/>
  <c r="AP14" i="1"/>
  <c r="AO14" i="1"/>
  <c r="AN14" i="1"/>
  <c r="AM14" i="1"/>
  <c r="AJ14" i="1"/>
  <c r="AI14" i="1"/>
  <c r="AH14" i="1"/>
  <c r="AG14" i="1"/>
  <c r="AF14" i="1"/>
  <c r="AA14" i="1"/>
  <c r="Z14" i="1"/>
  <c r="Y14" i="1"/>
  <c r="X14" i="1"/>
  <c r="W14" i="1"/>
  <c r="U14" i="1"/>
  <c r="V14" i="1" s="1"/>
  <c r="T14" i="1"/>
  <c r="S14" i="1"/>
  <c r="R14" i="1"/>
  <c r="Q14" i="1"/>
  <c r="P14" i="1"/>
  <c r="CZ15" i="1"/>
  <c r="AQ13" i="1"/>
  <c r="AP13" i="1"/>
  <c r="AO13" i="1"/>
  <c r="AN13" i="1"/>
  <c r="AM13" i="1"/>
  <c r="AJ13" i="1"/>
  <c r="AI13" i="1"/>
  <c r="AH13" i="1"/>
  <c r="AG13" i="1"/>
  <c r="AF13" i="1"/>
  <c r="AA13" i="1"/>
  <c r="Z13" i="1"/>
  <c r="Y13" i="1"/>
  <c r="X13" i="1"/>
  <c r="W13" i="1"/>
  <c r="U13" i="1"/>
  <c r="V13" i="1" s="1"/>
  <c r="T13" i="1"/>
  <c r="S13" i="1"/>
  <c r="R13" i="1"/>
  <c r="Q13" i="1"/>
  <c r="P13" i="1"/>
  <c r="CZ14" i="1"/>
  <c r="DA14" i="1"/>
  <c r="DR49" i="1" s="1"/>
  <c r="AQ12" i="1"/>
  <c r="AP12" i="1"/>
  <c r="AO12" i="1"/>
  <c r="AN12" i="1"/>
  <c r="AM12" i="1"/>
  <c r="AJ12" i="1"/>
  <c r="AI12" i="1"/>
  <c r="AH12" i="1"/>
  <c r="AG12" i="1"/>
  <c r="AF12" i="1"/>
  <c r="AA12" i="1"/>
  <c r="Z12" i="1"/>
  <c r="Y12" i="1"/>
  <c r="X12" i="1"/>
  <c r="W12" i="1"/>
  <c r="U12" i="1"/>
  <c r="V12" i="1" s="1"/>
  <c r="T12" i="1"/>
  <c r="S12" i="1"/>
  <c r="R12" i="1"/>
  <c r="Q12" i="1"/>
  <c r="P12" i="1"/>
  <c r="CZ13" i="1"/>
  <c r="DA13" i="1"/>
  <c r="DR48" i="1" s="1"/>
  <c r="AQ11" i="1"/>
  <c r="AP11" i="1"/>
  <c r="AO11" i="1"/>
  <c r="AN11" i="1"/>
  <c r="AM11" i="1"/>
  <c r="AJ11" i="1"/>
  <c r="AI11" i="1"/>
  <c r="AH11" i="1"/>
  <c r="AG11" i="1"/>
  <c r="AF11" i="1"/>
  <c r="AB11" i="1"/>
  <c r="AA11" i="1"/>
  <c r="Z11" i="1"/>
  <c r="Y11" i="1"/>
  <c r="X11" i="1"/>
  <c r="W11" i="1"/>
  <c r="T11" i="1"/>
  <c r="S11" i="1"/>
  <c r="R11" i="1"/>
  <c r="Q11" i="1"/>
  <c r="P11" i="1"/>
  <c r="CZ12" i="1"/>
  <c r="CY12" i="1"/>
  <c r="DF18" i="1"/>
  <c r="DW53" i="1" s="1"/>
  <c r="AQ10" i="1"/>
  <c r="AP10" i="1"/>
  <c r="AO10" i="1"/>
  <c r="AN10" i="1"/>
  <c r="AM10" i="1"/>
  <c r="AJ10" i="1"/>
  <c r="AI10" i="1"/>
  <c r="AH10" i="1"/>
  <c r="AG10" i="1"/>
  <c r="AF10" i="1"/>
  <c r="AA10" i="1"/>
  <c r="Z10" i="1"/>
  <c r="Y10" i="1"/>
  <c r="X10" i="1"/>
  <c r="W10" i="1"/>
  <c r="T10" i="1"/>
  <c r="S10" i="1"/>
  <c r="R10" i="1"/>
  <c r="Q10" i="1"/>
  <c r="P10" i="1"/>
  <c r="DA11" i="1"/>
  <c r="DR46" i="1" s="1"/>
  <c r="AQ9" i="1"/>
  <c r="AP9" i="1"/>
  <c r="AO9" i="1"/>
  <c r="AN9" i="1"/>
  <c r="AM9" i="1"/>
  <c r="AJ9" i="1"/>
  <c r="AI9" i="1"/>
  <c r="AH9" i="1"/>
  <c r="AG9" i="1"/>
  <c r="AF9" i="1"/>
  <c r="AA9" i="1"/>
  <c r="Z9" i="1"/>
  <c r="Y9" i="1"/>
  <c r="X9" i="1"/>
  <c r="W9" i="1"/>
  <c r="U9" i="1"/>
  <c r="V9" i="1" s="1"/>
  <c r="T9" i="1"/>
  <c r="S9" i="1"/>
  <c r="R9" i="1"/>
  <c r="Q9" i="1"/>
  <c r="P9" i="1"/>
  <c r="DA10" i="1"/>
  <c r="DR45" i="1" s="1"/>
  <c r="CZ10" i="1"/>
  <c r="AQ8" i="1"/>
  <c r="AP8" i="1"/>
  <c r="AO8" i="1"/>
  <c r="AN8" i="1"/>
  <c r="AM8" i="1"/>
  <c r="AJ8" i="1"/>
  <c r="AI8" i="1"/>
  <c r="AH8" i="1"/>
  <c r="AG8" i="1"/>
  <c r="AF8" i="1"/>
  <c r="AA8" i="1"/>
  <c r="Z8" i="1"/>
  <c r="Y8" i="1"/>
  <c r="X8" i="1"/>
  <c r="W8" i="1"/>
  <c r="U8" i="1"/>
  <c r="V8" i="1" s="1"/>
  <c r="T8" i="1"/>
  <c r="S8" i="1"/>
  <c r="R8" i="1"/>
  <c r="Q8" i="1"/>
  <c r="P8" i="1"/>
  <c r="DA9" i="1"/>
  <c r="DR44" i="1" s="1"/>
  <c r="CZ9" i="1"/>
  <c r="AQ7" i="1"/>
  <c r="AP7" i="1"/>
  <c r="AO7" i="1"/>
  <c r="AN7" i="1"/>
  <c r="AM7" i="1"/>
  <c r="AJ7" i="1"/>
  <c r="AI7" i="1"/>
  <c r="AH7" i="1"/>
  <c r="AG7" i="1"/>
  <c r="AF7" i="1"/>
  <c r="AA7" i="1"/>
  <c r="Z7" i="1"/>
  <c r="Y7" i="1"/>
  <c r="X7" i="1"/>
  <c r="W7" i="1"/>
  <c r="U7" i="1"/>
  <c r="V7" i="1" s="1"/>
  <c r="T7" i="1"/>
  <c r="S7" i="1"/>
  <c r="R7" i="1"/>
  <c r="Q7" i="1"/>
  <c r="P7" i="1"/>
  <c r="CZ8" i="1"/>
  <c r="DA8" i="1"/>
  <c r="DR43" i="1" s="1"/>
  <c r="AQ6" i="1"/>
  <c r="AP6" i="1"/>
  <c r="AO6" i="1"/>
  <c r="AN6" i="1"/>
  <c r="AM6" i="1"/>
  <c r="AJ6" i="1"/>
  <c r="AI6" i="1"/>
  <c r="AH6" i="1"/>
  <c r="AG6" i="1"/>
  <c r="AF6" i="1"/>
  <c r="AB6" i="1"/>
  <c r="AA6" i="1"/>
  <c r="Z6" i="1"/>
  <c r="Y6" i="1"/>
  <c r="X6" i="1"/>
  <c r="W6" i="1"/>
  <c r="T6" i="1"/>
  <c r="S6" i="1"/>
  <c r="R6" i="1"/>
  <c r="Q6" i="1"/>
  <c r="P6" i="1"/>
  <c r="CZ7" i="1"/>
  <c r="DA7" i="1"/>
  <c r="DR42" i="1" s="1"/>
  <c r="AQ5" i="1"/>
  <c r="AP5" i="1"/>
  <c r="AO5" i="1"/>
  <c r="AN5" i="1"/>
  <c r="AM5" i="1"/>
  <c r="AJ5" i="1"/>
  <c r="AI5" i="1"/>
  <c r="AH5" i="1"/>
  <c r="AG5" i="1"/>
  <c r="AF5" i="1"/>
  <c r="AB5" i="1"/>
  <c r="AA5" i="1"/>
  <c r="Z5" i="1"/>
  <c r="Y5" i="1"/>
  <c r="X5" i="1"/>
  <c r="W5" i="1"/>
  <c r="U5" i="1"/>
  <c r="T5" i="1"/>
  <c r="S5" i="1"/>
  <c r="R5" i="1"/>
  <c r="Q5" i="1"/>
  <c r="P5" i="1"/>
  <c r="CZ6" i="1"/>
  <c r="DA6" i="1"/>
  <c r="DR41" i="1" s="1"/>
  <c r="BY6" i="1"/>
  <c r="BY7" i="1" s="1"/>
  <c r="BY8" i="1" s="1"/>
  <c r="BY9" i="1" s="1"/>
  <c r="BY10" i="1" s="1"/>
  <c r="BY11" i="1" s="1"/>
  <c r="BY12" i="1" s="1"/>
  <c r="BY13" i="1" s="1"/>
  <c r="BY14" i="1" s="1"/>
  <c r="BY15" i="1" s="1"/>
  <c r="BY16" i="1" s="1"/>
  <c r="BY17" i="1" s="1"/>
  <c r="BY18" i="1" s="1"/>
  <c r="BY19" i="1" s="1"/>
  <c r="BY20" i="1" s="1"/>
  <c r="BY21" i="1" s="1"/>
  <c r="BY22" i="1" s="1"/>
  <c r="BY23" i="1" s="1"/>
  <c r="BY24" i="1" s="1"/>
  <c r="BY25" i="1" s="1"/>
  <c r="BY26" i="1" s="1"/>
  <c r="BY27" i="1" s="1"/>
  <c r="BY28" i="1" s="1"/>
  <c r="BY29" i="1" s="1"/>
  <c r="BY30" i="1" s="1"/>
  <c r="BY31" i="1" s="1"/>
  <c r="BY32" i="1" s="1"/>
  <c r="BY33" i="1" s="1"/>
  <c r="BI6" i="1"/>
  <c r="BI7" i="1" s="1"/>
  <c r="BI8" i="1" s="1"/>
  <c r="BI9" i="1" s="1"/>
  <c r="BI10" i="1" s="1"/>
  <c r="BI11" i="1" s="1"/>
  <c r="BI12" i="1" s="1"/>
  <c r="BI13" i="1" s="1"/>
  <c r="BI14" i="1" s="1"/>
  <c r="BI15" i="1" s="1"/>
  <c r="BI16" i="1" s="1"/>
  <c r="BI17" i="1" s="1"/>
  <c r="BI18" i="1" s="1"/>
  <c r="BI19" i="1" s="1"/>
  <c r="BI20" i="1" s="1"/>
  <c r="BI21" i="1" s="1"/>
  <c r="BI22" i="1" s="1"/>
  <c r="BI23" i="1" s="1"/>
  <c r="BI24" i="1" s="1"/>
  <c r="BI25" i="1" s="1"/>
  <c r="BI26" i="1" s="1"/>
  <c r="BI27" i="1" s="1"/>
  <c r="BI28" i="1" s="1"/>
  <c r="BI29" i="1" s="1"/>
  <c r="BI30" i="1" s="1"/>
  <c r="BI31" i="1" s="1"/>
  <c r="BI32" i="1" s="1"/>
  <c r="BI33" i="1" s="1"/>
  <c r="AU6" i="1"/>
  <c r="AU7" i="1" s="1"/>
  <c r="AU8" i="1" s="1"/>
  <c r="AU9" i="1" s="1"/>
  <c r="AU10" i="1" s="1"/>
  <c r="AU11" i="1" s="1"/>
  <c r="AU12" i="1" s="1"/>
  <c r="AU13" i="1" s="1"/>
  <c r="AU14" i="1" s="1"/>
  <c r="AU15" i="1" s="1"/>
  <c r="AU16" i="1" s="1"/>
  <c r="AU17" i="1" s="1"/>
  <c r="AU18" i="1" s="1"/>
  <c r="AU19" i="1" s="1"/>
  <c r="AU20" i="1" s="1"/>
  <c r="AU21" i="1" s="1"/>
  <c r="AU22" i="1" s="1"/>
  <c r="AU23" i="1" s="1"/>
  <c r="AU24" i="1" s="1"/>
  <c r="AU25" i="1" s="1"/>
  <c r="AU26" i="1" s="1"/>
  <c r="AU27" i="1" s="1"/>
  <c r="AU28" i="1" s="1"/>
  <c r="AU29" i="1" s="1"/>
  <c r="AU30" i="1" s="1"/>
  <c r="AU31" i="1" s="1"/>
  <c r="AU32" i="1" s="1"/>
  <c r="AU33" i="1" s="1"/>
  <c r="AE6" i="1"/>
  <c r="AE7" i="1" s="1"/>
  <c r="AE8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O6" i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DF11" i="1"/>
  <c r="DW46" i="1" s="1"/>
  <c r="DG3" i="1"/>
  <c r="DF3" i="1"/>
  <c r="DB3" i="1"/>
  <c r="CY1" i="1"/>
  <c r="S34" i="1" l="1"/>
  <c r="CT8" i="1" s="1"/>
  <c r="DD8" i="1" s="1"/>
  <c r="DU43" i="1" s="1"/>
  <c r="AO34" i="1"/>
  <c r="T34" i="1"/>
  <c r="AF34" i="1"/>
  <c r="AP34" i="1"/>
  <c r="CU15" i="1" s="1"/>
  <c r="DE15" i="1" s="1"/>
  <c r="DV50" i="1" s="1"/>
  <c r="V5" i="1"/>
  <c r="AG34" i="1"/>
  <c r="AQ34" i="1"/>
  <c r="CU16" i="1" s="1"/>
  <c r="DE16" i="1" s="1"/>
  <c r="DV51" i="1" s="1"/>
  <c r="W34" i="1"/>
  <c r="CT12" i="1" s="1"/>
  <c r="DD12" i="1" s="1"/>
  <c r="DU47" i="1" s="1"/>
  <c r="AH34" i="1"/>
  <c r="CU7" i="1" s="1"/>
  <c r="DE7" i="1" s="1"/>
  <c r="DV42" i="1" s="1"/>
  <c r="X34" i="1"/>
  <c r="AI34" i="1"/>
  <c r="P34" i="1"/>
  <c r="Y34" i="1"/>
  <c r="CT14" i="1" s="1"/>
  <c r="DD14" i="1" s="1"/>
  <c r="DU49" i="1" s="1"/>
  <c r="AJ34" i="1"/>
  <c r="CU9" i="1" s="1"/>
  <c r="DE9" i="1" s="1"/>
  <c r="DV44" i="1" s="1"/>
  <c r="Q34" i="1"/>
  <c r="CT6" i="1" s="1"/>
  <c r="DD6" i="1" s="1"/>
  <c r="DU41" i="1" s="1"/>
  <c r="Z34" i="1"/>
  <c r="CT15" i="1" s="1"/>
  <c r="DD15" i="1" s="1"/>
  <c r="DU50" i="1" s="1"/>
  <c r="AM34" i="1"/>
  <c r="CU12" i="1" s="1"/>
  <c r="DE12" i="1" s="1"/>
  <c r="DV47" i="1" s="1"/>
  <c r="R34" i="1"/>
  <c r="CT7" i="1" s="1"/>
  <c r="DD7" i="1" s="1"/>
  <c r="DU42" i="1" s="1"/>
  <c r="AA34" i="1"/>
  <c r="CT16" i="1" s="1"/>
  <c r="DD16" i="1" s="1"/>
  <c r="DU51" i="1" s="1"/>
  <c r="AN34" i="1"/>
  <c r="AB19" i="1"/>
  <c r="AC19" i="1" s="1"/>
  <c r="CU5" i="1"/>
  <c r="DE5" i="1" s="1"/>
  <c r="DV40" i="1" s="1"/>
  <c r="CT5" i="1"/>
  <c r="CU8" i="1"/>
  <c r="DE8" i="1" s="1"/>
  <c r="DV43" i="1" s="1"/>
  <c r="AR13" i="1"/>
  <c r="AS13" i="1" s="1"/>
  <c r="U25" i="1"/>
  <c r="V25" i="1" s="1"/>
  <c r="U28" i="1"/>
  <c r="V28" i="1" s="1"/>
  <c r="AB30" i="1"/>
  <c r="AC30" i="1" s="1"/>
  <c r="U33" i="1"/>
  <c r="V33" i="1" s="1"/>
  <c r="AB27" i="1"/>
  <c r="AC27" i="1" s="1"/>
  <c r="U30" i="1"/>
  <c r="V30" i="1" s="1"/>
  <c r="U27" i="1"/>
  <c r="V27" i="1" s="1"/>
  <c r="AB29" i="1"/>
  <c r="AC29" i="1" s="1"/>
  <c r="AB28" i="1"/>
  <c r="AC28" i="1" s="1"/>
  <c r="AB25" i="1"/>
  <c r="AC25" i="1" s="1"/>
  <c r="U31" i="1"/>
  <c r="V31" i="1" s="1"/>
  <c r="AB33" i="1"/>
  <c r="AC33" i="1" s="1"/>
  <c r="AB24" i="1"/>
  <c r="AC24" i="1" s="1"/>
  <c r="U26" i="1"/>
  <c r="V26" i="1" s="1"/>
  <c r="AB31" i="1"/>
  <c r="AC31" i="1" s="1"/>
  <c r="U24" i="1"/>
  <c r="V24" i="1" s="1"/>
  <c r="U29" i="1"/>
  <c r="V29" i="1" s="1"/>
  <c r="AB32" i="1"/>
  <c r="AC32" i="1" s="1"/>
  <c r="U32" i="1"/>
  <c r="V32" i="1" s="1"/>
  <c r="AB26" i="1"/>
  <c r="AC26" i="1" s="1"/>
  <c r="AB22" i="1"/>
  <c r="AC22" i="1" s="1"/>
  <c r="U23" i="1"/>
  <c r="V23" i="1" s="1"/>
  <c r="U20" i="1"/>
  <c r="V20" i="1" s="1"/>
  <c r="AC17" i="1"/>
  <c r="AZ11" i="1"/>
  <c r="AC16" i="1"/>
  <c r="AC11" i="1"/>
  <c r="AC5" i="1"/>
  <c r="AC6" i="1"/>
  <c r="AC18" i="1"/>
  <c r="AX15" i="1"/>
  <c r="AY19" i="1"/>
  <c r="AZ21" i="1"/>
  <c r="AZ8" i="1"/>
  <c r="AZ9" i="1"/>
  <c r="DC16" i="1"/>
  <c r="DT51" i="1" s="1"/>
  <c r="DC15" i="1"/>
  <c r="DT50" i="1" s="1"/>
  <c r="DC17" i="1"/>
  <c r="DT52" i="1" s="1"/>
  <c r="DC18" i="1"/>
  <c r="DT53" i="1" s="1"/>
  <c r="DC13" i="1"/>
  <c r="DT48" i="1" s="1"/>
  <c r="DC14" i="1"/>
  <c r="DT49" i="1" s="1"/>
  <c r="AV18" i="1"/>
  <c r="AW18" i="1"/>
  <c r="BB20" i="1"/>
  <c r="BB5" i="1"/>
  <c r="AY7" i="1"/>
  <c r="BB6" i="1"/>
  <c r="AV17" i="1"/>
  <c r="BE17" i="1"/>
  <c r="BE16" i="1"/>
  <c r="BB23" i="1"/>
  <c r="BF21" i="1"/>
  <c r="BD23" i="1"/>
  <c r="BE5" i="1"/>
  <c r="AW17" i="1"/>
  <c r="BB22" i="1"/>
  <c r="AV23" i="1"/>
  <c r="AW5" i="1"/>
  <c r="AX16" i="1"/>
  <c r="AY18" i="1"/>
  <c r="BF23" i="1"/>
  <c r="AV7" i="1"/>
  <c r="BD7" i="1"/>
  <c r="BC10" i="1"/>
  <c r="AZ15" i="1"/>
  <c r="BD22" i="1"/>
  <c r="AX23" i="1"/>
  <c r="BF13" i="1"/>
  <c r="AV14" i="1"/>
  <c r="BD14" i="1"/>
  <c r="BB15" i="1"/>
  <c r="BD19" i="1"/>
  <c r="BB21" i="1"/>
  <c r="AV22" i="1"/>
  <c r="AY6" i="1"/>
  <c r="AW10" i="1"/>
  <c r="BC15" i="1"/>
  <c r="BC18" i="1"/>
  <c r="AY20" i="1"/>
  <c r="AZ13" i="1"/>
  <c r="BC17" i="1"/>
  <c r="BF19" i="1"/>
  <c r="AZ20" i="1"/>
  <c r="BC12" i="1"/>
  <c r="BE18" i="1"/>
  <c r="AX19" i="1"/>
  <c r="AB8" i="1"/>
  <c r="AB10" i="1"/>
  <c r="AB12" i="1"/>
  <c r="AB14" i="1"/>
  <c r="U16" i="1"/>
  <c r="V16" i="1" s="1"/>
  <c r="AW19" i="1"/>
  <c r="AY21" i="1"/>
  <c r="AB23" i="1"/>
  <c r="AR9" i="1"/>
  <c r="U10" i="1"/>
  <c r="V10" i="1" s="1"/>
  <c r="U17" i="1"/>
  <c r="V17" i="1" s="1"/>
  <c r="BF17" i="1"/>
  <c r="U18" i="1"/>
  <c r="V18" i="1" s="1"/>
  <c r="BF18" i="1"/>
  <c r="BC22" i="1"/>
  <c r="BE23" i="1"/>
  <c r="AW12" i="1"/>
  <c r="BE14" i="1"/>
  <c r="AY16" i="1"/>
  <c r="AX17" i="1"/>
  <c r="BB11" i="1"/>
  <c r="AV6" i="1"/>
  <c r="AW8" i="1"/>
  <c r="BE12" i="1"/>
  <c r="AW14" i="1"/>
  <c r="AX10" i="1"/>
  <c r="BC11" i="1"/>
  <c r="AX12" i="1"/>
  <c r="AZ5" i="1"/>
  <c r="U6" i="1"/>
  <c r="V6" i="1" s="1"/>
  <c r="AW6" i="1"/>
  <c r="BE6" i="1"/>
  <c r="BB7" i="1"/>
  <c r="AX8" i="1"/>
  <c r="BF8" i="1"/>
  <c r="AB9" i="1"/>
  <c r="AB13" i="1"/>
  <c r="BC13" i="1"/>
  <c r="AY14" i="1"/>
  <c r="AB15" i="1"/>
  <c r="AZ17" i="1"/>
  <c r="AB20" i="1"/>
  <c r="AB21" i="1"/>
  <c r="U22" i="1"/>
  <c r="V22" i="1" s="1"/>
  <c r="BE10" i="1"/>
  <c r="AY5" i="1"/>
  <c r="BD6" i="1"/>
  <c r="BE8" i="1"/>
  <c r="BF10" i="1"/>
  <c r="BF12" i="1"/>
  <c r="AB7" i="1"/>
  <c r="U11" i="1"/>
  <c r="V11" i="1" s="1"/>
  <c r="AW11" i="1"/>
  <c r="BE11" i="1"/>
  <c r="AZ12" i="1"/>
  <c r="U21" i="1"/>
  <c r="V21" i="1" s="1"/>
  <c r="AW9" i="1"/>
  <c r="BB14" i="1"/>
  <c r="AX6" i="1"/>
  <c r="BF6" i="1"/>
  <c r="BC7" i="1"/>
  <c r="AY8" i="1"/>
  <c r="BB9" i="1"/>
  <c r="AY10" i="1"/>
  <c r="AV11" i="1"/>
  <c r="BD11" i="1"/>
  <c r="AY12" i="1"/>
  <c r="BB13" i="1"/>
  <c r="AX14" i="1"/>
  <c r="BF14" i="1"/>
  <c r="AZ16" i="1"/>
  <c r="AX18" i="1"/>
  <c r="AW23" i="1"/>
  <c r="BC9" i="1"/>
  <c r="AZ10" i="1"/>
  <c r="BD15" i="1"/>
  <c r="BB16" i="1"/>
  <c r="AY17" i="1"/>
  <c r="AZ19" i="1"/>
  <c r="BC21" i="1"/>
  <c r="BE22" i="1"/>
  <c r="BC5" i="1"/>
  <c r="AZ6" i="1"/>
  <c r="AW7" i="1"/>
  <c r="BE7" i="1"/>
  <c r="AV9" i="1"/>
  <c r="BD9" i="1"/>
  <c r="AX11" i="1"/>
  <c r="BF11" i="1"/>
  <c r="AV13" i="1"/>
  <c r="BD13" i="1"/>
  <c r="AZ14" i="1"/>
  <c r="AV15" i="1"/>
  <c r="BE15" i="1"/>
  <c r="BC16" i="1"/>
  <c r="AZ18" i="1"/>
  <c r="BB19" i="1"/>
  <c r="BC20" i="1"/>
  <c r="BD21" i="1"/>
  <c r="AW22" i="1"/>
  <c r="BF22" i="1"/>
  <c r="AY23" i="1"/>
  <c r="AV5" i="1"/>
  <c r="BD5" i="1"/>
  <c r="AX7" i="1"/>
  <c r="BF7" i="1"/>
  <c r="BB8" i="1"/>
  <c r="BE9" i="1"/>
  <c r="BB10" i="1"/>
  <c r="AY11" i="1"/>
  <c r="BB12" i="1"/>
  <c r="AW13" i="1"/>
  <c r="BE13" i="1"/>
  <c r="AW15" i="1"/>
  <c r="BF15" i="1"/>
  <c r="BD16" i="1"/>
  <c r="BB17" i="1"/>
  <c r="BB18" i="1"/>
  <c r="BC19" i="1"/>
  <c r="AV20" i="1"/>
  <c r="BD20" i="1"/>
  <c r="AV21" i="1"/>
  <c r="BE21" i="1"/>
  <c r="AX22" i="1"/>
  <c r="AZ23" i="1"/>
  <c r="BC8" i="1"/>
  <c r="AX9" i="1"/>
  <c r="BF9" i="1"/>
  <c r="AX13" i="1"/>
  <c r="AV16" i="1"/>
  <c r="AW20" i="1"/>
  <c r="BE20" i="1"/>
  <c r="AW21" i="1"/>
  <c r="AY22" i="1"/>
  <c r="AX5" i="1"/>
  <c r="BF5" i="1"/>
  <c r="BC6" i="1"/>
  <c r="AZ7" i="1"/>
  <c r="AV8" i="1"/>
  <c r="BD8" i="1"/>
  <c r="AY9" i="1"/>
  <c r="AV10" i="1"/>
  <c r="BD10" i="1"/>
  <c r="AV12" i="1"/>
  <c r="BD12" i="1"/>
  <c r="AY13" i="1"/>
  <c r="BC14" i="1"/>
  <c r="AY15" i="1"/>
  <c r="AW16" i="1"/>
  <c r="BF16" i="1"/>
  <c r="BD17" i="1"/>
  <c r="BD18" i="1"/>
  <c r="AV19" i="1"/>
  <c r="BE19" i="1"/>
  <c r="AX20" i="1"/>
  <c r="BF20" i="1"/>
  <c r="AX21" i="1"/>
  <c r="AZ22" i="1"/>
  <c r="BC23" i="1"/>
  <c r="DA12" i="1"/>
  <c r="DR47" i="1" s="1"/>
  <c r="CT9" i="1"/>
  <c r="DD9" i="1" s="1"/>
  <c r="DU44" i="1" s="1"/>
  <c r="CU13" i="1"/>
  <c r="DE13" i="1" s="1"/>
  <c r="DV48" i="1" s="1"/>
  <c r="CT13" i="1"/>
  <c r="DD13" i="1" s="1"/>
  <c r="DU48" i="1" s="1"/>
  <c r="CU6" i="1"/>
  <c r="DE6" i="1" s="1"/>
  <c r="DV41" i="1" s="1"/>
  <c r="CU14" i="1"/>
  <c r="DE14" i="1" s="1"/>
  <c r="DV49" i="1" s="1"/>
  <c r="CW18" i="1"/>
  <c r="DA53" i="1" s="1"/>
  <c r="EJ53" i="1" s="1"/>
  <c r="DB12" i="1"/>
  <c r="DS47" i="1" s="1"/>
  <c r="DA15" i="1"/>
  <c r="DR50" i="1" s="1"/>
  <c r="AK21" i="1"/>
  <c r="AK22" i="1" l="1"/>
  <c r="BC34" i="1"/>
  <c r="AB34" i="1"/>
  <c r="CT17" i="1" s="1"/>
  <c r="DD17" i="1" s="1"/>
  <c r="DU52" i="1" s="1"/>
  <c r="BF34" i="1"/>
  <c r="BD34" i="1"/>
  <c r="BE34" i="1"/>
  <c r="AX34" i="1"/>
  <c r="BB34" i="1"/>
  <c r="U34" i="1"/>
  <c r="CT10" i="1" s="1"/>
  <c r="DD10" i="1" s="1"/>
  <c r="DU45" i="1" s="1"/>
  <c r="AV34" i="1"/>
  <c r="AY34" i="1"/>
  <c r="V34" i="1"/>
  <c r="AZ34" i="1"/>
  <c r="AW34" i="1"/>
  <c r="AR7" i="1"/>
  <c r="AS7" i="1" s="1"/>
  <c r="AR12" i="1"/>
  <c r="AS12" i="1" s="1"/>
  <c r="AK5" i="1"/>
  <c r="AR10" i="1"/>
  <c r="AK6" i="1"/>
  <c r="AL6" i="1" s="1"/>
  <c r="AR16" i="1"/>
  <c r="AK18" i="1"/>
  <c r="AR23" i="1"/>
  <c r="AS23" i="1" s="1"/>
  <c r="AR14" i="1"/>
  <c r="AK15" i="1"/>
  <c r="BA15" i="1" s="1"/>
  <c r="BO15" i="1" s="1"/>
  <c r="CE15" i="1" s="1"/>
  <c r="AK17" i="1"/>
  <c r="BA17" i="1" s="1"/>
  <c r="AR22" i="1"/>
  <c r="AR21" i="1"/>
  <c r="AR20" i="1"/>
  <c r="AK19" i="1"/>
  <c r="BA19" i="1" s="1"/>
  <c r="AR17" i="1"/>
  <c r="AS17" i="1" s="1"/>
  <c r="AK11" i="1"/>
  <c r="AL11" i="1" s="1"/>
  <c r="AK16" i="1"/>
  <c r="AL16" i="1" s="1"/>
  <c r="AR15" i="1"/>
  <c r="AS15" i="1" s="1"/>
  <c r="AK23" i="1"/>
  <c r="BA23" i="1" s="1"/>
  <c r="AR19" i="1"/>
  <c r="BG19" i="1" s="1"/>
  <c r="AR18" i="1"/>
  <c r="BG13" i="1"/>
  <c r="BV13" i="1" s="1"/>
  <c r="CL13" i="1" s="1"/>
  <c r="DD5" i="1"/>
  <c r="AK20" i="1"/>
  <c r="BA20" i="1" s="1"/>
  <c r="BO20" i="1" s="1"/>
  <c r="CE20" i="1" s="1"/>
  <c r="BL21" i="1"/>
  <c r="CB21" i="1" s="1"/>
  <c r="BJ21" i="1"/>
  <c r="BZ21" i="1" s="1"/>
  <c r="BU22" i="1"/>
  <c r="CK22" i="1" s="1"/>
  <c r="BL14" i="1"/>
  <c r="CB14" i="1" s="1"/>
  <c r="BM8" i="1"/>
  <c r="CC8" i="1" s="1"/>
  <c r="BU12" i="1"/>
  <c r="CK12" i="1" s="1"/>
  <c r="BM21" i="1"/>
  <c r="CC21" i="1" s="1"/>
  <c r="BQ15" i="1"/>
  <c r="CG15" i="1" s="1"/>
  <c r="BQ22" i="1"/>
  <c r="CG22" i="1" s="1"/>
  <c r="BN21" i="1"/>
  <c r="CD21" i="1" s="1"/>
  <c r="BM15" i="1"/>
  <c r="CC15" i="1" s="1"/>
  <c r="BS20" i="1"/>
  <c r="CI20" i="1" s="1"/>
  <c r="BN14" i="1"/>
  <c r="CD14" i="1" s="1"/>
  <c r="BS15" i="1"/>
  <c r="CI15" i="1" s="1"/>
  <c r="BN12" i="1"/>
  <c r="CD12" i="1" s="1"/>
  <c r="BN5" i="1"/>
  <c r="BK19" i="1"/>
  <c r="CA19" i="1" s="1"/>
  <c r="BS14" i="1"/>
  <c r="CI14" i="1" s="1"/>
  <c r="BN11" i="1"/>
  <c r="CD11" i="1" s="1"/>
  <c r="BJ20" i="1"/>
  <c r="BZ20" i="1" s="1"/>
  <c r="BS13" i="1"/>
  <c r="CI13" i="1" s="1"/>
  <c r="BN10" i="1"/>
  <c r="BM16" i="1"/>
  <c r="CC16" i="1" s="1"/>
  <c r="BR15" i="1"/>
  <c r="CH15" i="1" s="1"/>
  <c r="BT19" i="1"/>
  <c r="CJ19" i="1" s="1"/>
  <c r="BJ8" i="1"/>
  <c r="BZ8" i="1" s="1"/>
  <c r="BM22" i="1"/>
  <c r="CC22" i="1" s="1"/>
  <c r="BR8" i="1"/>
  <c r="CH8" i="1" s="1"/>
  <c r="BR19" i="1"/>
  <c r="CH19" i="1" s="1"/>
  <c r="BK13" i="1"/>
  <c r="CA13" i="1" s="1"/>
  <c r="BL7" i="1"/>
  <c r="CB7" i="1" s="1"/>
  <c r="BR20" i="1"/>
  <c r="CH20" i="1" s="1"/>
  <c r="BJ13" i="1"/>
  <c r="BZ13" i="1" s="1"/>
  <c r="BR9" i="1"/>
  <c r="CH9" i="1" s="1"/>
  <c r="BS11" i="1"/>
  <c r="CI11" i="1" s="1"/>
  <c r="BL6" i="1"/>
  <c r="BK11" i="1"/>
  <c r="CA11" i="1" s="1"/>
  <c r="BS6" i="1"/>
  <c r="CI6" i="1" s="1"/>
  <c r="BN17" i="1"/>
  <c r="CD17" i="1" s="1"/>
  <c r="BU8" i="1"/>
  <c r="CK8" i="1" s="1"/>
  <c r="BT12" i="1"/>
  <c r="CJ12" i="1" s="1"/>
  <c r="BT14" i="1"/>
  <c r="CJ14" i="1" s="1"/>
  <c r="BR12" i="1"/>
  <c r="CH12" i="1" s="1"/>
  <c r="BK10" i="1"/>
  <c r="CA10" i="1" s="1"/>
  <c r="BU13" i="1"/>
  <c r="CK13" i="1" s="1"/>
  <c r="BU23" i="1"/>
  <c r="CK23" i="1" s="1"/>
  <c r="BS23" i="1"/>
  <c r="CI23" i="1" s="1"/>
  <c r="BM7" i="1"/>
  <c r="CC7" i="1" s="1"/>
  <c r="BK16" i="1"/>
  <c r="CA16" i="1" s="1"/>
  <c r="BT9" i="1"/>
  <c r="BQ16" i="1"/>
  <c r="CG16" i="1" s="1"/>
  <c r="BM20" i="1"/>
  <c r="CC20" i="1" s="1"/>
  <c r="BU9" i="1"/>
  <c r="CK9" i="1" s="1"/>
  <c r="BQ8" i="1"/>
  <c r="CG8" i="1" s="1"/>
  <c r="BU10" i="1"/>
  <c r="CK10" i="1" s="1"/>
  <c r="BL17" i="1"/>
  <c r="CB17" i="1" s="1"/>
  <c r="BR18" i="1"/>
  <c r="CH18" i="1" s="1"/>
  <c r="BJ17" i="1"/>
  <c r="BZ17" i="1" s="1"/>
  <c r="BS8" i="1"/>
  <c r="CI8" i="1" s="1"/>
  <c r="BT13" i="1"/>
  <c r="CJ13" i="1" s="1"/>
  <c r="BM12" i="1"/>
  <c r="CC12" i="1" s="1"/>
  <c r="BJ7" i="1"/>
  <c r="BZ7" i="1" s="1"/>
  <c r="BJ19" i="1"/>
  <c r="BZ19" i="1" s="1"/>
  <c r="BM13" i="1"/>
  <c r="CC13" i="1" s="1"/>
  <c r="BN7" i="1"/>
  <c r="CD7" i="1" s="1"/>
  <c r="BK21" i="1"/>
  <c r="CA21" i="1" s="1"/>
  <c r="BQ18" i="1"/>
  <c r="CG18" i="1" s="1"/>
  <c r="BQ12" i="1"/>
  <c r="CG12" i="1" s="1"/>
  <c r="BS5" i="1"/>
  <c r="BQ19" i="1"/>
  <c r="CG19" i="1" s="1"/>
  <c r="BT7" i="1"/>
  <c r="CJ7" i="1" s="1"/>
  <c r="BT22" i="1"/>
  <c r="CJ22" i="1" s="1"/>
  <c r="BK23" i="1"/>
  <c r="CA23" i="1" s="1"/>
  <c r="BJ11" i="1"/>
  <c r="BZ11" i="1" s="1"/>
  <c r="BM5" i="1"/>
  <c r="BL8" i="1"/>
  <c r="CB8" i="1" s="1"/>
  <c r="BL12" i="1"/>
  <c r="CB12" i="1" s="1"/>
  <c r="BK8" i="1"/>
  <c r="CA8" i="1" s="1"/>
  <c r="BK12" i="1"/>
  <c r="CA12" i="1" s="1"/>
  <c r="BN20" i="1"/>
  <c r="CD20" i="1" s="1"/>
  <c r="BM6" i="1"/>
  <c r="CC6" i="1" s="1"/>
  <c r="BM18" i="1"/>
  <c r="CC18" i="1" s="1"/>
  <c r="BU21" i="1"/>
  <c r="CK21" i="1" s="1"/>
  <c r="BQ5" i="1"/>
  <c r="BO19" i="1"/>
  <c r="CE19" i="1" s="1"/>
  <c r="BR14" i="1"/>
  <c r="CH14" i="1" s="1"/>
  <c r="BU6" i="1"/>
  <c r="CK6" i="1" s="1"/>
  <c r="BS18" i="1"/>
  <c r="CI18" i="1" s="1"/>
  <c r="BR6" i="1"/>
  <c r="CH6" i="1" s="1"/>
  <c r="BT20" i="1"/>
  <c r="CJ20" i="1" s="1"/>
  <c r="BN23" i="1"/>
  <c r="CD23" i="1" s="1"/>
  <c r="BQ17" i="1"/>
  <c r="CG17" i="1" s="1"/>
  <c r="BJ5" i="1"/>
  <c r="BN18" i="1"/>
  <c r="CD18" i="1" s="1"/>
  <c r="BK7" i="1"/>
  <c r="CA7" i="1" s="1"/>
  <c r="BR21" i="1"/>
  <c r="CH21" i="1" s="1"/>
  <c r="BL18" i="1"/>
  <c r="CB18" i="1" s="1"/>
  <c r="BM10" i="1"/>
  <c r="CC10" i="1" s="1"/>
  <c r="BM14" i="1"/>
  <c r="CC14" i="1" s="1"/>
  <c r="BQ7" i="1"/>
  <c r="CG7" i="1" s="1"/>
  <c r="BR11" i="1"/>
  <c r="CH11" i="1" s="1"/>
  <c r="BJ6" i="1"/>
  <c r="BZ6" i="1" s="1"/>
  <c r="BT23" i="1"/>
  <c r="CJ23" i="1" s="1"/>
  <c r="BU19" i="1"/>
  <c r="CK19" i="1" s="1"/>
  <c r="BJ22" i="1"/>
  <c r="BZ22" i="1" s="1"/>
  <c r="BL23" i="1"/>
  <c r="CB23" i="1" s="1"/>
  <c r="BL16" i="1"/>
  <c r="CB16" i="1" s="1"/>
  <c r="BQ23" i="1"/>
  <c r="CG23" i="1" s="1"/>
  <c r="BQ20" i="1"/>
  <c r="CG20" i="1" s="1"/>
  <c r="BL13" i="1"/>
  <c r="CB13" i="1" s="1"/>
  <c r="BT17" i="1"/>
  <c r="CJ17" i="1" s="1"/>
  <c r="BK22" i="1"/>
  <c r="CA22" i="1" s="1"/>
  <c r="BR7" i="1"/>
  <c r="CH7" i="1" s="1"/>
  <c r="BU17" i="1"/>
  <c r="CK17" i="1" s="1"/>
  <c r="BS7" i="1"/>
  <c r="CI7" i="1" s="1"/>
  <c r="BM19" i="1"/>
  <c r="CC19" i="1" s="1"/>
  <c r="BU7" i="1"/>
  <c r="CK7" i="1" s="1"/>
  <c r="BT11" i="1"/>
  <c r="CJ11" i="1" s="1"/>
  <c r="BT5" i="1"/>
  <c r="BR23" i="1"/>
  <c r="CH23" i="1" s="1"/>
  <c r="BS17" i="1"/>
  <c r="CI17" i="1" s="1"/>
  <c r="BJ12" i="1"/>
  <c r="BZ12" i="1" s="1"/>
  <c r="BU5" i="1"/>
  <c r="BK20" i="1"/>
  <c r="CA20" i="1" s="1"/>
  <c r="BL22" i="1"/>
  <c r="CB22" i="1" s="1"/>
  <c r="BS16" i="1"/>
  <c r="CI16" i="1" s="1"/>
  <c r="BM11" i="1"/>
  <c r="CC11" i="1" s="1"/>
  <c r="BR16" i="1"/>
  <c r="CH16" i="1" s="1"/>
  <c r="BU11" i="1"/>
  <c r="CK11" i="1" s="1"/>
  <c r="BN6" i="1"/>
  <c r="CD6" i="1" s="1"/>
  <c r="BN19" i="1"/>
  <c r="CD19" i="1" s="1"/>
  <c r="BN16" i="1"/>
  <c r="CD16" i="1" s="1"/>
  <c r="BQ9" i="1"/>
  <c r="CG9" i="1" s="1"/>
  <c r="BQ14" i="1"/>
  <c r="CG14" i="1" s="1"/>
  <c r="BR13" i="1"/>
  <c r="CH13" i="1" s="1"/>
  <c r="BT6" i="1"/>
  <c r="CJ6" i="1" s="1"/>
  <c r="BL10" i="1"/>
  <c r="CB10" i="1" s="1"/>
  <c r="BR22" i="1"/>
  <c r="CH22" i="1" s="1"/>
  <c r="BR17" i="1"/>
  <c r="CH17" i="1" s="1"/>
  <c r="BQ21" i="1"/>
  <c r="CG21" i="1" s="1"/>
  <c r="BS22" i="1"/>
  <c r="CI22" i="1" s="1"/>
  <c r="BK5" i="1"/>
  <c r="BT16" i="1"/>
  <c r="CJ16" i="1" s="1"/>
  <c r="BK18" i="1"/>
  <c r="CA18" i="1" s="1"/>
  <c r="BN9" i="1"/>
  <c r="CD9" i="1" s="1"/>
  <c r="BJ10" i="1"/>
  <c r="BZ10" i="1" s="1"/>
  <c r="BK15" i="1"/>
  <c r="CA15" i="1" s="1"/>
  <c r="BJ15" i="1"/>
  <c r="BZ15" i="1" s="1"/>
  <c r="BR10" i="1"/>
  <c r="CH10" i="1" s="1"/>
  <c r="BU20" i="1"/>
  <c r="CK20" i="1" s="1"/>
  <c r="BM9" i="1"/>
  <c r="CC9" i="1" s="1"/>
  <c r="BS9" i="1"/>
  <c r="CI9" i="1" s="1"/>
  <c r="BQ13" i="1"/>
  <c r="CG13" i="1" s="1"/>
  <c r="BL19" i="1"/>
  <c r="CB19" i="1" s="1"/>
  <c r="BK17" i="1"/>
  <c r="CA17" i="1" s="1"/>
  <c r="BL20" i="1"/>
  <c r="CB20" i="1" s="1"/>
  <c r="BL9" i="1"/>
  <c r="CB9" i="1" s="1"/>
  <c r="BS21" i="1"/>
  <c r="CI21" i="1" s="1"/>
  <c r="BJ9" i="1"/>
  <c r="BZ9" i="1" s="1"/>
  <c r="BT8" i="1"/>
  <c r="CJ8" i="1" s="1"/>
  <c r="BK14" i="1"/>
  <c r="CA14" i="1" s="1"/>
  <c r="BT18" i="1"/>
  <c r="CJ18" i="1" s="1"/>
  <c r="BJ14" i="1"/>
  <c r="BZ14" i="1" s="1"/>
  <c r="BQ6" i="1"/>
  <c r="CG6" i="1" s="1"/>
  <c r="BL15" i="1"/>
  <c r="CB15" i="1" s="1"/>
  <c r="BO23" i="1"/>
  <c r="CE23" i="1" s="1"/>
  <c r="BS12" i="1"/>
  <c r="CI12" i="1" s="1"/>
  <c r="BA22" i="1"/>
  <c r="BN22" i="1"/>
  <c r="CD22" i="1" s="1"/>
  <c r="BU16" i="1"/>
  <c r="CK16" i="1" s="1"/>
  <c r="BS10" i="1"/>
  <c r="CI10" i="1" s="1"/>
  <c r="BL5" i="1"/>
  <c r="BJ16" i="1"/>
  <c r="BZ16" i="1" s="1"/>
  <c r="BT21" i="1"/>
  <c r="CJ21" i="1" s="1"/>
  <c r="BU15" i="1"/>
  <c r="CK15" i="1" s="1"/>
  <c r="BQ10" i="1"/>
  <c r="CG10" i="1" s="1"/>
  <c r="BM23" i="1"/>
  <c r="CC23" i="1" s="1"/>
  <c r="BT15" i="1"/>
  <c r="CJ15" i="1" s="1"/>
  <c r="BL11" i="1"/>
  <c r="CB11" i="1" s="1"/>
  <c r="BR5" i="1"/>
  <c r="BM17" i="1"/>
  <c r="CC17" i="1" s="1"/>
  <c r="BU14" i="1"/>
  <c r="CK14" i="1" s="1"/>
  <c r="BK9" i="1"/>
  <c r="CA9" i="1" s="1"/>
  <c r="BT10" i="1"/>
  <c r="CJ10" i="1" s="1"/>
  <c r="BK6" i="1"/>
  <c r="CA6" i="1" s="1"/>
  <c r="BQ11" i="1"/>
  <c r="CG11" i="1" s="1"/>
  <c r="BU18" i="1"/>
  <c r="CK18" i="1" s="1"/>
  <c r="BN13" i="1"/>
  <c r="CD13" i="1" s="1"/>
  <c r="BS19" i="1"/>
  <c r="CI19" i="1" s="1"/>
  <c r="BN15" i="1"/>
  <c r="CD15" i="1" s="1"/>
  <c r="BJ23" i="1"/>
  <c r="BZ23" i="1" s="1"/>
  <c r="BJ18" i="1"/>
  <c r="BZ18" i="1" s="1"/>
  <c r="BN8" i="1"/>
  <c r="CD8" i="1" s="1"/>
  <c r="AR8" i="1"/>
  <c r="AK30" i="1"/>
  <c r="AR32" i="1"/>
  <c r="AR26" i="1"/>
  <c r="AR29" i="1"/>
  <c r="AR25" i="1"/>
  <c r="AR28" i="1"/>
  <c r="AR31" i="1"/>
  <c r="AR27" i="1"/>
  <c r="AR30" i="1"/>
  <c r="AR33" i="1"/>
  <c r="AK24" i="1"/>
  <c r="AK27" i="1"/>
  <c r="AK33" i="1"/>
  <c r="AR24" i="1"/>
  <c r="AK28" i="1"/>
  <c r="AK25" i="1"/>
  <c r="AK32" i="1"/>
  <c r="AK31" i="1"/>
  <c r="AK26" i="1"/>
  <c r="AK29" i="1"/>
  <c r="AR6" i="1"/>
  <c r="AR5" i="1"/>
  <c r="AK9" i="1"/>
  <c r="AR11" i="1"/>
  <c r="AK7" i="1"/>
  <c r="AK8" i="1"/>
  <c r="AK13" i="1"/>
  <c r="AK12" i="1"/>
  <c r="AK14" i="1"/>
  <c r="AK10" i="1"/>
  <c r="BA18" i="1"/>
  <c r="BG14" i="1"/>
  <c r="BG22" i="1"/>
  <c r="AC7" i="1"/>
  <c r="AC15" i="1"/>
  <c r="AC14" i="1"/>
  <c r="BG17" i="1"/>
  <c r="AS9" i="1"/>
  <c r="AC12" i="1"/>
  <c r="BG18" i="1"/>
  <c r="AC13" i="1"/>
  <c r="AC10" i="1"/>
  <c r="BG16" i="1"/>
  <c r="AC23" i="1"/>
  <c r="AC8" i="1"/>
  <c r="AC21" i="1"/>
  <c r="AS10" i="1"/>
  <c r="AC20" i="1"/>
  <c r="AC9" i="1"/>
  <c r="BA21" i="1"/>
  <c r="DT40" i="1"/>
  <c r="DC9" i="1"/>
  <c r="DT44" i="1" s="1"/>
  <c r="DC10" i="1"/>
  <c r="DT45" i="1" s="1"/>
  <c r="DC11" i="1"/>
  <c r="DT46" i="1" s="1"/>
  <c r="DC8" i="1"/>
  <c r="DT43" i="1" s="1"/>
  <c r="DC6" i="1"/>
  <c r="DT41" i="1" s="1"/>
  <c r="DC7" i="1"/>
  <c r="DT42" i="1" s="1"/>
  <c r="DS40" i="1"/>
  <c r="CW11" i="1"/>
  <c r="DA46" i="1" s="1"/>
  <c r="DC53" i="1"/>
  <c r="DD53" i="1"/>
  <c r="BG9" i="1"/>
  <c r="BG10" i="1"/>
  <c r="BG21" i="1"/>
  <c r="BG20" i="1"/>
  <c r="BG7" i="1"/>
  <c r="BA11" i="1"/>
  <c r="AL18" i="1"/>
  <c r="AS19" i="1"/>
  <c r="AL23" i="1"/>
  <c r="AS18" i="1"/>
  <c r="AL21" i="1"/>
  <c r="AS16" i="1"/>
  <c r="AL19" i="1"/>
  <c r="AS14" i="1"/>
  <c r="AL22" i="1"/>
  <c r="AS21" i="1"/>
  <c r="AS20" i="1"/>
  <c r="DB13" i="1"/>
  <c r="DS48" i="1" s="1"/>
  <c r="AS22" i="1"/>
  <c r="BA6" i="1" l="1"/>
  <c r="BA16" i="1"/>
  <c r="AL15" i="1"/>
  <c r="BG12" i="1"/>
  <c r="AL17" i="1"/>
  <c r="BG15" i="1"/>
  <c r="AC34" i="1"/>
  <c r="AR34" i="1"/>
  <c r="CU17" i="1" s="1"/>
  <c r="DE17" i="1" s="1"/>
  <c r="DV52" i="1" s="1"/>
  <c r="CC5" i="1"/>
  <c r="CC34" i="1" s="1"/>
  <c r="BM34" i="1"/>
  <c r="CV8" i="1" s="1"/>
  <c r="DF8" i="1" s="1"/>
  <c r="AK34" i="1"/>
  <c r="CA5" i="1"/>
  <c r="CA34" i="1" s="1"/>
  <c r="BK34" i="1"/>
  <c r="CV6" i="1" s="1"/>
  <c r="CW6" i="1" s="1"/>
  <c r="DA41" i="1" s="1"/>
  <c r="EJ41" i="1" s="1"/>
  <c r="CJ5" i="1"/>
  <c r="BT34" i="1"/>
  <c r="CV15" i="1" s="1"/>
  <c r="DF15" i="1" s="1"/>
  <c r="CH5" i="1"/>
  <c r="CH34" i="1" s="1"/>
  <c r="BR34" i="1"/>
  <c r="CV13" i="1" s="1"/>
  <c r="CB5" i="1"/>
  <c r="BL34" i="1"/>
  <c r="BZ5" i="1"/>
  <c r="BZ34" i="1" s="1"/>
  <c r="BJ34" i="1"/>
  <c r="CV5" i="1" s="1"/>
  <c r="CW5" i="1" s="1"/>
  <c r="DA40" i="1" s="1"/>
  <c r="CD5" i="1"/>
  <c r="BN34" i="1"/>
  <c r="CV9" i="1" s="1"/>
  <c r="DF9" i="1" s="1"/>
  <c r="DW44" i="1" s="1"/>
  <c r="AL20" i="1"/>
  <c r="CK5" i="1"/>
  <c r="CK34" i="1" s="1"/>
  <c r="BU34" i="1"/>
  <c r="CV16" i="1" s="1"/>
  <c r="DF16" i="1" s="1"/>
  <c r="DW51" i="1" s="1"/>
  <c r="CG5" i="1"/>
  <c r="CG34" i="1" s="1"/>
  <c r="BQ34" i="1"/>
  <c r="CV12" i="1" s="1"/>
  <c r="CI5" i="1"/>
  <c r="CI34" i="1" s="1"/>
  <c r="BS34" i="1"/>
  <c r="CV14" i="1" s="1"/>
  <c r="BG23" i="1"/>
  <c r="BA5" i="1"/>
  <c r="AL5" i="1"/>
  <c r="DU40" i="1"/>
  <c r="BO17" i="1"/>
  <c r="CE17" i="1" s="1"/>
  <c r="AS32" i="1"/>
  <c r="BG32" i="1"/>
  <c r="BO6" i="1"/>
  <c r="CE6" i="1" s="1"/>
  <c r="BV17" i="1"/>
  <c r="CL17" i="1" s="1"/>
  <c r="AS33" i="1"/>
  <c r="BG33" i="1"/>
  <c r="BA9" i="1"/>
  <c r="AL9" i="1"/>
  <c r="BA25" i="1"/>
  <c r="AL25" i="1"/>
  <c r="AS27" i="1"/>
  <c r="BG27" i="1"/>
  <c r="BG8" i="1"/>
  <c r="AS8" i="1"/>
  <c r="BO22" i="1"/>
  <c r="CE22" i="1" s="1"/>
  <c r="AL24" i="1"/>
  <c r="BA24" i="1"/>
  <c r="BV18" i="1"/>
  <c r="CL18" i="1" s="1"/>
  <c r="BV22" i="1"/>
  <c r="CL22" i="1" s="1"/>
  <c r="AL10" i="1"/>
  <c r="BA10" i="1"/>
  <c r="CU10" i="1"/>
  <c r="DE10" i="1" s="1"/>
  <c r="DV45" i="1" s="1"/>
  <c r="AL28" i="1"/>
  <c r="BA28" i="1"/>
  <c r="AS31" i="1"/>
  <c r="BG31" i="1"/>
  <c r="BA26" i="1"/>
  <c r="AL26" i="1"/>
  <c r="AL31" i="1"/>
  <c r="BA31" i="1"/>
  <c r="BO16" i="1"/>
  <c r="CE16" i="1" s="1"/>
  <c r="BV9" i="1"/>
  <c r="CL9" i="1" s="1"/>
  <c r="BG11" i="1"/>
  <c r="AS11" i="1"/>
  <c r="AS30" i="1"/>
  <c r="BG30" i="1"/>
  <c r="BO11" i="1"/>
  <c r="CE11" i="1" s="1"/>
  <c r="BV20" i="1"/>
  <c r="CL20" i="1" s="1"/>
  <c r="BV14" i="1"/>
  <c r="CL14" i="1" s="1"/>
  <c r="AL14" i="1"/>
  <c r="BA14" i="1"/>
  <c r="AS5" i="1"/>
  <c r="BG5" i="1"/>
  <c r="BG24" i="1"/>
  <c r="AS24" i="1"/>
  <c r="BG28" i="1"/>
  <c r="AS28" i="1"/>
  <c r="BV7" i="1"/>
  <c r="CL7" i="1" s="1"/>
  <c r="BA8" i="1"/>
  <c r="AL8" i="1"/>
  <c r="BV23" i="1"/>
  <c r="CL23" i="1" s="1"/>
  <c r="BV21" i="1"/>
  <c r="CL21" i="1" s="1"/>
  <c r="BV19" i="1"/>
  <c r="CL19" i="1" s="1"/>
  <c r="BO18" i="1"/>
  <c r="CE18" i="1" s="1"/>
  <c r="AL12" i="1"/>
  <c r="BA12" i="1"/>
  <c r="BG6" i="1"/>
  <c r="AS6" i="1"/>
  <c r="AL33" i="1"/>
  <c r="BA33" i="1"/>
  <c r="AS25" i="1"/>
  <c r="BG25" i="1"/>
  <c r="AS26" i="1"/>
  <c r="BG26" i="1"/>
  <c r="CV7" i="1"/>
  <c r="DF7" i="1" s="1"/>
  <c r="BV10" i="1"/>
  <c r="CL10" i="1" s="1"/>
  <c r="BA7" i="1"/>
  <c r="AL7" i="1"/>
  <c r="AL32" i="1"/>
  <c r="BA32" i="1"/>
  <c r="AL30" i="1"/>
  <c r="BA30" i="1"/>
  <c r="BV12" i="1"/>
  <c r="CL12" i="1" s="1"/>
  <c r="BO21" i="1"/>
  <c r="CE21" i="1" s="1"/>
  <c r="BV16" i="1"/>
  <c r="CL16" i="1" s="1"/>
  <c r="BV15" i="1"/>
  <c r="CL15" i="1" s="1"/>
  <c r="BA13" i="1"/>
  <c r="AL13" i="1"/>
  <c r="AL29" i="1"/>
  <c r="BA29" i="1"/>
  <c r="AL27" i="1"/>
  <c r="BA27" i="1"/>
  <c r="AS29" i="1"/>
  <c r="BG29" i="1"/>
  <c r="CJ9" i="1"/>
  <c r="CB6" i="1"/>
  <c r="CD10" i="1"/>
  <c r="DB6" i="1"/>
  <c r="DS41" i="1" s="1"/>
  <c r="EJ46" i="1"/>
  <c r="DC46" i="1"/>
  <c r="DD46" i="1"/>
  <c r="DB14" i="1"/>
  <c r="DS49" i="1" s="1"/>
  <c r="BG34" i="1" l="1"/>
  <c r="AS34" i="1"/>
  <c r="CD34" i="1"/>
  <c r="CJ34" i="1"/>
  <c r="BO5" i="1"/>
  <c r="BA34" i="1"/>
  <c r="CB34" i="1"/>
  <c r="AL34" i="1"/>
  <c r="CW16" i="1"/>
  <c r="DA51" i="1" s="1"/>
  <c r="EJ51" i="1" s="1"/>
  <c r="DF5" i="1"/>
  <c r="DG5" i="1" s="1"/>
  <c r="DX40" i="1" s="1"/>
  <c r="DZ40" i="1" s="1"/>
  <c r="EJ40" i="1"/>
  <c r="CW9" i="1"/>
  <c r="DA44" i="1" s="1"/>
  <c r="EJ44" i="1" s="1"/>
  <c r="BV32" i="1"/>
  <c r="CL32" i="1" s="1"/>
  <c r="BO7" i="1"/>
  <c r="CE7" i="1" s="1"/>
  <c r="BO8" i="1"/>
  <c r="CE8" i="1" s="1"/>
  <c r="BV27" i="1"/>
  <c r="CL27" i="1" s="1"/>
  <c r="BV33" i="1"/>
  <c r="CL33" i="1" s="1"/>
  <c r="BO29" i="1"/>
  <c r="CE29" i="1" s="1"/>
  <c r="BV8" i="1"/>
  <c r="CL8" i="1" s="1"/>
  <c r="BO33" i="1"/>
  <c r="CE33" i="1" s="1"/>
  <c r="BV24" i="1"/>
  <c r="CL24" i="1" s="1"/>
  <c r="BV11" i="1"/>
  <c r="CL11" i="1" s="1"/>
  <c r="BO26" i="1"/>
  <c r="CE26" i="1" s="1"/>
  <c r="BO24" i="1"/>
  <c r="CE24" i="1" s="1"/>
  <c r="BV28" i="1"/>
  <c r="CL28" i="1" s="1"/>
  <c r="BO13" i="1"/>
  <c r="CE13" i="1" s="1"/>
  <c r="BV5" i="1"/>
  <c r="BO10" i="1"/>
  <c r="CE10" i="1" s="1"/>
  <c r="BO31" i="1"/>
  <c r="CE31" i="1" s="1"/>
  <c r="BV29" i="1"/>
  <c r="CL29" i="1" s="1"/>
  <c r="BO30" i="1"/>
  <c r="CE30" i="1" s="1"/>
  <c r="BV31" i="1"/>
  <c r="CL31" i="1" s="1"/>
  <c r="BO25" i="1"/>
  <c r="CE25" i="1" s="1"/>
  <c r="BV26" i="1"/>
  <c r="CL26" i="1" s="1"/>
  <c r="BV6" i="1"/>
  <c r="CL6" i="1" s="1"/>
  <c r="BO14" i="1"/>
  <c r="CE14" i="1" s="1"/>
  <c r="BV30" i="1"/>
  <c r="CL30" i="1" s="1"/>
  <c r="BV25" i="1"/>
  <c r="CL25" i="1" s="1"/>
  <c r="BO27" i="1"/>
  <c r="CE27" i="1" s="1"/>
  <c r="BO32" i="1"/>
  <c r="CE32" i="1" s="1"/>
  <c r="BO12" i="1"/>
  <c r="CE12" i="1" s="1"/>
  <c r="BO28" i="1"/>
  <c r="CE28" i="1" s="1"/>
  <c r="BO9" i="1"/>
  <c r="CE9" i="1" s="1"/>
  <c r="DB7" i="1"/>
  <c r="DS42" i="1" s="1"/>
  <c r="DC41" i="1"/>
  <c r="DD41" i="1"/>
  <c r="DW43" i="1"/>
  <c r="DW50" i="1"/>
  <c r="DW42" i="1"/>
  <c r="CW7" i="1"/>
  <c r="DA42" i="1" s="1"/>
  <c r="EJ42" i="1" s="1"/>
  <c r="CW15" i="1"/>
  <c r="DA50" i="1" s="1"/>
  <c r="EJ50" i="1" s="1"/>
  <c r="CW8" i="1"/>
  <c r="DA43" i="1" s="1"/>
  <c r="EJ43" i="1" s="1"/>
  <c r="DF14" i="1"/>
  <c r="CW14" i="1"/>
  <c r="DA49" i="1" s="1"/>
  <c r="EJ49" i="1" s="1"/>
  <c r="DF6" i="1"/>
  <c r="DF12" i="1"/>
  <c r="CW12" i="1"/>
  <c r="DA47" i="1" s="1"/>
  <c r="EJ47" i="1" s="1"/>
  <c r="DF13" i="1"/>
  <c r="CW13" i="1"/>
  <c r="DA48" i="1" s="1"/>
  <c r="EJ48" i="1" s="1"/>
  <c r="DB15" i="1"/>
  <c r="DS50" i="1" s="1"/>
  <c r="DD51" i="1" l="1"/>
  <c r="CL5" i="1"/>
  <c r="CL34" i="1" s="1"/>
  <c r="BV34" i="1"/>
  <c r="CV17" i="1" s="1"/>
  <c r="CE5" i="1"/>
  <c r="CE34" i="1" s="1"/>
  <c r="BO34" i="1"/>
  <c r="CV10" i="1" s="1"/>
  <c r="DW40" i="1"/>
  <c r="EE40" i="1" s="1"/>
  <c r="DC51" i="1"/>
  <c r="DC44" i="1"/>
  <c r="DD44" i="1"/>
  <c r="DG7" i="1"/>
  <c r="DX42" i="1" s="1"/>
  <c r="EC42" i="1" s="1"/>
  <c r="DB8" i="1"/>
  <c r="DS43" i="1" s="1"/>
  <c r="DG15" i="1"/>
  <c r="DX50" i="1" s="1"/>
  <c r="EB50" i="1" s="1"/>
  <c r="EF40" i="1"/>
  <c r="EA40" i="1"/>
  <c r="EB40" i="1"/>
  <c r="EC40" i="1"/>
  <c r="ED40" i="1"/>
  <c r="DC50" i="1"/>
  <c r="DD50" i="1"/>
  <c r="DC47" i="1"/>
  <c r="DD47" i="1"/>
  <c r="DC48" i="1"/>
  <c r="DD48" i="1"/>
  <c r="DC42" i="1"/>
  <c r="DD42" i="1"/>
  <c r="DC49" i="1"/>
  <c r="DD49" i="1"/>
  <c r="DC43" i="1"/>
  <c r="DD43" i="1"/>
  <c r="DC40" i="1"/>
  <c r="DD40" i="1"/>
  <c r="DG14" i="1"/>
  <c r="DX49" i="1" s="1"/>
  <c r="DW49" i="1"/>
  <c r="DG13" i="1"/>
  <c r="DX48" i="1" s="1"/>
  <c r="DW48" i="1"/>
  <c r="DG12" i="1"/>
  <c r="DX47" i="1" s="1"/>
  <c r="DW47" i="1"/>
  <c r="DG6" i="1"/>
  <c r="DX41" i="1" s="1"/>
  <c r="DW41" i="1"/>
  <c r="DB16" i="1"/>
  <c r="DZ42" i="1" l="1"/>
  <c r="EA42" i="1"/>
  <c r="DG8" i="1"/>
  <c r="DX43" i="1" s="1"/>
  <c r="EB43" i="1" s="1"/>
  <c r="EB42" i="1"/>
  <c r="DF10" i="1"/>
  <c r="DW45" i="1" s="1"/>
  <c r="CW10" i="1"/>
  <c r="DA45" i="1" s="1"/>
  <c r="DB9" i="1"/>
  <c r="DS44" i="1" s="1"/>
  <c r="EF42" i="1"/>
  <c r="DF17" i="1"/>
  <c r="DW52" i="1" s="1"/>
  <c r="CW17" i="1"/>
  <c r="DA52" i="1" s="1"/>
  <c r="ED42" i="1"/>
  <c r="EE42" i="1"/>
  <c r="DZ50" i="1"/>
  <c r="EF50" i="1"/>
  <c r="EC50" i="1"/>
  <c r="ED50" i="1"/>
  <c r="EE50" i="1"/>
  <c r="EA50" i="1"/>
  <c r="DS51" i="1"/>
  <c r="DG16" i="1"/>
  <c r="DX51" i="1" s="1"/>
  <c r="EE41" i="1"/>
  <c r="EA41" i="1"/>
  <c r="EC41" i="1"/>
  <c r="EB41" i="1"/>
  <c r="ED41" i="1"/>
  <c r="EF41" i="1"/>
  <c r="DZ41" i="1"/>
  <c r="EE49" i="1"/>
  <c r="EE47" i="1"/>
  <c r="EE48" i="1"/>
  <c r="EB49" i="1"/>
  <c r="EC49" i="1"/>
  <c r="ED49" i="1"/>
  <c r="EA49" i="1"/>
  <c r="EF49" i="1"/>
  <c r="DZ49" i="1"/>
  <c r="EA48" i="1"/>
  <c r="EB48" i="1"/>
  <c r="EC48" i="1"/>
  <c r="ED48" i="1"/>
  <c r="EF48" i="1"/>
  <c r="DZ48" i="1"/>
  <c r="EA47" i="1"/>
  <c r="EB47" i="1"/>
  <c r="EC47" i="1"/>
  <c r="ED47" i="1"/>
  <c r="EF47" i="1"/>
  <c r="DZ47" i="1"/>
  <c r="DB17" i="1"/>
  <c r="DB10" i="1" l="1"/>
  <c r="DB11" i="1" s="1"/>
  <c r="DG9" i="1"/>
  <c r="DX44" i="1" s="1"/>
  <c r="EB44" i="1" s="1"/>
  <c r="EC43" i="1"/>
  <c r="ED43" i="1"/>
  <c r="EA43" i="1"/>
  <c r="EF43" i="1"/>
  <c r="EE43" i="1"/>
  <c r="DZ43" i="1"/>
  <c r="EJ45" i="1"/>
  <c r="DD45" i="1"/>
  <c r="DC45" i="1"/>
  <c r="EJ52" i="1"/>
  <c r="DC52" i="1"/>
  <c r="DD52" i="1"/>
  <c r="EA51" i="1"/>
  <c r="DG10" i="1"/>
  <c r="DX45" i="1" s="1"/>
  <c r="DS52" i="1"/>
  <c r="DG17" i="1"/>
  <c r="DX52" i="1" s="1"/>
  <c r="ED51" i="1"/>
  <c r="EC51" i="1"/>
  <c r="EF51" i="1"/>
  <c r="EE51" i="1"/>
  <c r="EB51" i="1"/>
  <c r="DZ51" i="1"/>
  <c r="DB18" i="1"/>
  <c r="DS45" i="1" l="1"/>
  <c r="EA45" i="1" s="1"/>
  <c r="EA44" i="1"/>
  <c r="EF44" i="1"/>
  <c r="DZ44" i="1"/>
  <c r="EC44" i="1"/>
  <c r="ED44" i="1"/>
  <c r="EE44" i="1"/>
  <c r="EB45" i="1"/>
  <c r="EC45" i="1"/>
  <c r="ED45" i="1"/>
  <c r="DZ45" i="1"/>
  <c r="EF45" i="1"/>
  <c r="EE45" i="1"/>
  <c r="DS46" i="1"/>
  <c r="DG11" i="1"/>
  <c r="DX46" i="1" s="1"/>
  <c r="EE52" i="1"/>
  <c r="ED52" i="1"/>
  <c r="EF52" i="1"/>
  <c r="EB52" i="1"/>
  <c r="EC52" i="1"/>
  <c r="DZ52" i="1"/>
  <c r="DS53" i="1"/>
  <c r="DG18" i="1"/>
  <c r="DX53" i="1" s="1"/>
  <c r="EA52" i="1"/>
  <c r="EA53" i="1" l="1"/>
  <c r="EA46" i="1"/>
  <c r="EF46" i="1"/>
  <c r="EB46" i="1"/>
  <c r="EC46" i="1"/>
  <c r="ED46" i="1"/>
  <c r="EE46" i="1"/>
  <c r="DZ46" i="1"/>
  <c r="EB53" i="1"/>
  <c r="EE53" i="1"/>
  <c r="EC53" i="1"/>
  <c r="ED53" i="1"/>
  <c r="EF53" i="1"/>
  <c r="DZ53" i="1"/>
</calcChain>
</file>

<file path=xl/sharedStrings.xml><?xml version="1.0" encoding="utf-8"?>
<sst xmlns="http://schemas.openxmlformats.org/spreadsheetml/2006/main" count="363" uniqueCount="133">
  <si>
    <t>Year</t>
  </si>
  <si>
    <t>Infrastructure Costs</t>
  </si>
  <si>
    <t>Commodity Costs</t>
  </si>
  <si>
    <t>Environmental Compliance Costs</t>
  </si>
  <si>
    <r>
      <t>Supply ($/Dth/</t>
    </r>
    <r>
      <rPr>
        <b/>
        <sz val="11"/>
        <color rgb="FFFF0000"/>
        <rFont val="Calibri"/>
        <family val="2"/>
        <scheme val="minor"/>
      </rPr>
      <t>Day</t>
    </r>
    <r>
      <rPr>
        <b/>
        <sz val="11"/>
        <color theme="1"/>
        <rFont val="Calibri"/>
        <family val="2"/>
        <scheme val="minor"/>
      </rPr>
      <t>)</t>
    </r>
  </si>
  <si>
    <r>
      <t>Washington Distribution ($/Dth/</t>
    </r>
    <r>
      <rPr>
        <b/>
        <sz val="11"/>
        <color rgb="FFFF0000"/>
        <rFont val="Calibri"/>
        <family val="2"/>
        <scheme val="minor"/>
      </rPr>
      <t>Hour</t>
    </r>
    <r>
      <rPr>
        <b/>
        <sz val="11"/>
        <color theme="1"/>
        <rFont val="Calibri"/>
        <family val="2"/>
        <scheme val="minor"/>
      </rPr>
      <t>)</t>
    </r>
  </si>
  <si>
    <r>
      <t>Oregon Distribution ($/Dth/</t>
    </r>
    <r>
      <rPr>
        <b/>
        <sz val="11"/>
        <color rgb="FFFF0000"/>
        <rFont val="Calibri"/>
        <family val="2"/>
        <scheme val="minor"/>
      </rPr>
      <t>Hour</t>
    </r>
    <r>
      <rPr>
        <b/>
        <sz val="11"/>
        <color theme="1"/>
        <rFont val="Calibri"/>
        <family val="2"/>
        <scheme val="minor"/>
      </rPr>
      <t>)</t>
    </r>
  </si>
  <si>
    <t>Gas and Transport Costs ($/Dth)</t>
  </si>
  <si>
    <t xml:space="preserve">Residential Space Heating </t>
  </si>
  <si>
    <t>Residential Hearths and Fireplaces</t>
  </si>
  <si>
    <t>Commercial Space Heating</t>
  </si>
  <si>
    <t>Water Heating</t>
  </si>
  <si>
    <t>Cooking</t>
  </si>
  <si>
    <t>Process Load</t>
  </si>
  <si>
    <t>On-System Gas Supply</t>
  </si>
  <si>
    <t>On-system Gas Supply</t>
  </si>
  <si>
    <t>Natural Gas Commodity and Transport Costs</t>
  </si>
  <si>
    <t>Greenhouse Gas Compliance Costs</t>
  </si>
  <si>
    <t>Supply Capacity Costs Avoided</t>
  </si>
  <si>
    <t>Distribution System Resources</t>
  </si>
  <si>
    <t>10% Conservation Credit</t>
  </si>
  <si>
    <t xml:space="preserve">Total Avoided Costs </t>
  </si>
  <si>
    <t>Natural Gas and Transport Costs</t>
  </si>
  <si>
    <t>Supply System Costs</t>
  </si>
  <si>
    <t>Distribution System Costs</t>
  </si>
  <si>
    <t>Oregon</t>
  </si>
  <si>
    <t>Interruptible Loads</t>
  </si>
  <si>
    <t>X</t>
  </si>
  <si>
    <t>Washington</t>
  </si>
  <si>
    <t>Levelized</t>
  </si>
  <si>
    <t>Oregon Discount Rate</t>
  </si>
  <si>
    <t>Washington Discount Rate</t>
  </si>
  <si>
    <t>System Discount Rate</t>
  </si>
  <si>
    <r>
      <t xml:space="preserve">Peak </t>
    </r>
    <r>
      <rPr>
        <b/>
        <sz val="11"/>
        <color rgb="FFFF0000"/>
        <rFont val="Calibri"/>
        <family val="2"/>
        <scheme val="minor"/>
      </rPr>
      <t>DAY</t>
    </r>
    <r>
      <rPr>
        <b/>
        <sz val="11"/>
        <color theme="1"/>
        <rFont val="Calibri"/>
        <family val="2"/>
        <scheme val="minor"/>
      </rPr>
      <t xml:space="preserve"> Usage to Normal Weather Annual Usage Factors for </t>
    </r>
    <r>
      <rPr>
        <b/>
        <sz val="11"/>
        <color rgb="FFFF0000"/>
        <rFont val="Calibri"/>
        <family val="2"/>
        <scheme val="minor"/>
      </rPr>
      <t>SUPPLY</t>
    </r>
    <r>
      <rPr>
        <b/>
        <sz val="11"/>
        <color theme="1"/>
        <rFont val="Calibri"/>
        <family val="2"/>
        <scheme val="minor"/>
      </rPr>
      <t xml:space="preserve"> Costs</t>
    </r>
  </si>
  <si>
    <t>Multiply by Number of Days in Year (365.25)</t>
  </si>
  <si>
    <t>Residential Space Heating (Including Hearths and Fireplaces)</t>
  </si>
  <si>
    <r>
      <t xml:space="preserve">Peak </t>
    </r>
    <r>
      <rPr>
        <b/>
        <sz val="11"/>
        <color rgb="FFFF0000"/>
        <rFont val="Calibri"/>
        <family val="2"/>
        <scheme val="minor"/>
      </rPr>
      <t>HOUR</t>
    </r>
    <r>
      <rPr>
        <b/>
        <sz val="11"/>
        <color theme="1"/>
        <rFont val="Calibri"/>
        <family val="2"/>
        <scheme val="minor"/>
      </rPr>
      <t xml:space="preserve"> Usage to Normal Weather Annual Usage Factors for </t>
    </r>
    <r>
      <rPr>
        <b/>
        <sz val="11"/>
        <color rgb="FFFF0000"/>
        <rFont val="Calibri"/>
        <family val="2"/>
        <scheme val="minor"/>
      </rPr>
      <t>DISTRIBUTION</t>
    </r>
    <r>
      <rPr>
        <b/>
        <sz val="11"/>
        <color theme="1"/>
        <rFont val="Calibri"/>
        <family val="2"/>
        <scheme val="minor"/>
      </rPr>
      <t xml:space="preserve"> System Costs</t>
    </r>
  </si>
  <si>
    <t>Multiply by Number of Hours in Year (8766)</t>
  </si>
  <si>
    <t>Residential Space Heating</t>
  </si>
  <si>
    <t>Hearths and Fireplaces</t>
  </si>
  <si>
    <t>Oregon Carbon Policy Scenarios ($/Dth)</t>
  </si>
  <si>
    <t>Base Case</t>
  </si>
  <si>
    <r>
      <t xml:space="preserve">Oregon End Use </t>
    </r>
    <r>
      <rPr>
        <b/>
        <sz val="11"/>
        <color theme="1"/>
        <rFont val="Calibri"/>
        <family val="2"/>
        <scheme val="minor"/>
      </rPr>
      <t>Distribution System</t>
    </r>
    <r>
      <rPr>
        <sz val="11"/>
        <color theme="1"/>
        <rFont val="Calibri"/>
        <family val="2"/>
        <scheme val="minor"/>
      </rPr>
      <t xml:space="preserve"> Capacity Costs Avoided (2019$)</t>
    </r>
  </si>
  <si>
    <t>Calendar 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</si>
  <si>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</si>
  <si>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</si>
  <si>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</si>
  <si>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</si>
  <si>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</si>
  <si>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</si>
  <si>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</si>
  <si>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</si>
  <si>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</si>
  <si>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</si>
  <si>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</si>
  <si>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</si>
  <si>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</si>
  <si>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Monthly Commodity and Transport Avoided Costs Monthly Cost Index</t>
  </si>
  <si>
    <t>Monthly Shares of Usage by End Use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</si>
  <si>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</si>
  <si>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</si>
  <si>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</si>
  <si>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</si>
  <si>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</si>
  <si>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</si>
  <si>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</si>
  <si>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</si>
  <si>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</si>
  <si>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</si>
  <si>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</si>
  <si>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</si>
  <si>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Space Heating</t>
  </si>
  <si>
    <t>Process</t>
  </si>
  <si>
    <t xml:space="preserve">Space Heating </t>
  </si>
  <si>
    <t>Price Deflator (2019 Base Year)</t>
  </si>
  <si>
    <t>Levelized-Washington</t>
  </si>
  <si>
    <t>Levelized-System</t>
  </si>
  <si>
    <t>Interruptible Load</t>
  </si>
  <si>
    <t>Risk Reduction (Hedge) Value</t>
  </si>
  <si>
    <r>
      <t xml:space="preserve">Oregon </t>
    </r>
    <r>
      <rPr>
        <b/>
        <sz val="11"/>
        <color theme="1"/>
        <rFont val="Calibri"/>
        <family val="2"/>
        <scheme val="minor"/>
      </rPr>
      <t>Total Capacity Costs</t>
    </r>
    <r>
      <rPr>
        <sz val="11"/>
        <color theme="1"/>
        <rFont val="Calibri"/>
        <family val="2"/>
        <scheme val="minor"/>
      </rPr>
      <t xml:space="preserve"> Avoided by End Use (2019$)</t>
    </r>
  </si>
  <si>
    <r>
      <t xml:space="preserve">Washington </t>
    </r>
    <r>
      <rPr>
        <b/>
        <sz val="11"/>
        <color theme="1"/>
        <rFont val="Calibri"/>
        <family val="2"/>
        <scheme val="minor"/>
      </rPr>
      <t>Distirbution System</t>
    </r>
    <r>
      <rPr>
        <sz val="11"/>
        <color theme="1"/>
        <rFont val="Calibri"/>
        <family val="2"/>
        <scheme val="minor"/>
      </rPr>
      <t xml:space="preserve"> Capacity Costs Avoided by End Use (2019$)</t>
    </r>
  </si>
  <si>
    <r>
      <t xml:space="preserve">Washington </t>
    </r>
    <r>
      <rPr>
        <b/>
        <sz val="11"/>
        <color theme="1"/>
        <rFont val="Calibri"/>
        <family val="2"/>
        <scheme val="minor"/>
      </rPr>
      <t>Total Capacity Costs</t>
    </r>
    <r>
      <rPr>
        <sz val="11"/>
        <color theme="1"/>
        <rFont val="Calibri"/>
        <family val="2"/>
        <scheme val="minor"/>
      </rPr>
      <t xml:space="preserve"> Avoided by End Use (2019$)</t>
    </r>
  </si>
  <si>
    <r>
      <t xml:space="preserve">Washington </t>
    </r>
    <r>
      <rPr>
        <b/>
        <sz val="11"/>
        <color theme="1"/>
        <rFont val="Calibri"/>
        <family val="2"/>
        <scheme val="minor"/>
      </rPr>
      <t>Supply</t>
    </r>
    <r>
      <rPr>
        <sz val="11"/>
        <color theme="1"/>
        <rFont val="Calibri"/>
        <family val="2"/>
        <scheme val="minor"/>
      </rPr>
      <t xml:space="preserve"> Capacity Costs Avoided by End Use (2019$)</t>
    </r>
  </si>
  <si>
    <r>
      <t xml:space="preserve">Oregon </t>
    </r>
    <r>
      <rPr>
        <b/>
        <sz val="11"/>
        <color theme="1"/>
        <rFont val="Calibri"/>
        <family val="2"/>
        <scheme val="minor"/>
      </rPr>
      <t>Supply</t>
    </r>
    <r>
      <rPr>
        <sz val="11"/>
        <color theme="1"/>
        <rFont val="Calibri"/>
        <family val="2"/>
        <scheme val="minor"/>
      </rPr>
      <t xml:space="preserve"> Capacity Costs Avoided by End Use (2019$)</t>
    </r>
  </si>
  <si>
    <r>
      <t xml:space="preserve">Oregon </t>
    </r>
    <r>
      <rPr>
        <b/>
        <sz val="11"/>
        <color theme="1"/>
        <rFont val="Calibri"/>
        <family val="2"/>
        <scheme val="minor"/>
      </rPr>
      <t xml:space="preserve">10% Conservation Credit </t>
    </r>
    <r>
      <rPr>
        <sz val="11"/>
        <color theme="1"/>
        <rFont val="Calibri"/>
        <family val="2"/>
        <scheme val="minor"/>
      </rPr>
      <t>by End Use (2019$)</t>
    </r>
  </si>
  <si>
    <r>
      <t xml:space="preserve">Washington </t>
    </r>
    <r>
      <rPr>
        <b/>
        <sz val="11"/>
        <color theme="1"/>
        <rFont val="Calibri"/>
        <family val="2"/>
        <scheme val="minor"/>
      </rPr>
      <t>10% Conservation Credit</t>
    </r>
    <r>
      <rPr>
        <sz val="11"/>
        <color theme="1"/>
        <rFont val="Calibri"/>
        <family val="2"/>
        <scheme val="minor"/>
      </rPr>
      <t xml:space="preserve"> by End Use (2019$)</t>
    </r>
  </si>
  <si>
    <t>Oregon Total Avoided Costs by End Use (2019$)</t>
  </si>
  <si>
    <t>Washington Total Avoided Costs by End Use (2019$)</t>
  </si>
  <si>
    <t>Washington Carbon Price: Social Cost of Carbon</t>
  </si>
  <si>
    <t>Capacity Costs</t>
  </si>
  <si>
    <t>Hedge Value ($/Dth)</t>
  </si>
  <si>
    <r>
      <t>System Distribution ($/Dth/</t>
    </r>
    <r>
      <rPr>
        <b/>
        <sz val="11"/>
        <color rgb="FFFF0000"/>
        <rFont val="Calibri"/>
        <family val="2"/>
        <scheme val="minor"/>
      </rPr>
      <t>Hour</t>
    </r>
    <r>
      <rPr>
        <b/>
        <sz val="11"/>
        <color theme="1"/>
        <rFont val="Calibri"/>
        <family val="2"/>
        <scheme val="minor"/>
      </rPr>
      <t>)</t>
    </r>
  </si>
  <si>
    <t>Inflation</t>
  </si>
  <si>
    <t>Resrouces Assumed for Avoided Costs Before IRP analysis</t>
  </si>
  <si>
    <t>Commodity Risk Reduction Cost       (Hedge Value)</t>
  </si>
  <si>
    <t>% Change</t>
  </si>
  <si>
    <t>2020 IRP</t>
  </si>
  <si>
    <t>2018 IRP</t>
  </si>
  <si>
    <t>Total 20-Year Levelized Avoided Costs (2020$)</t>
  </si>
  <si>
    <t>Change in 20 Year Levelized Avoided Costs: 2020 vs 2018 IRP (2020$)</t>
  </si>
  <si>
    <t>Commodity Risk Reduction Cost</t>
  </si>
  <si>
    <t>Distribution System Capacity</t>
  </si>
  <si>
    <t xml:space="preserve"> Commodity and Transport</t>
  </si>
  <si>
    <t>Greenhouse Gas Compliance</t>
  </si>
  <si>
    <t>Supply Capacity</t>
  </si>
  <si>
    <t>2016 IRP</t>
  </si>
  <si>
    <t>2014 IRP</t>
  </si>
  <si>
    <t>Combustion</t>
  </si>
  <si>
    <t>Production/Extraction</t>
  </si>
  <si>
    <t>Processing</t>
  </si>
  <si>
    <t>Transmission&amp; Storage</t>
  </si>
  <si>
    <t>Total</t>
  </si>
  <si>
    <t>NW Natural System (Distribution &amp; Storage)</t>
  </si>
  <si>
    <t>Total Change</t>
  </si>
  <si>
    <t>Other</t>
  </si>
  <si>
    <t>30 Year Levelized Avoided Costs</t>
  </si>
  <si>
    <t xml:space="preserve">Nominal </t>
  </si>
  <si>
    <t>Avoided Commodity and Transport Costs by End Use (2020$)</t>
  </si>
  <si>
    <t>High Sensitivity</t>
  </si>
  <si>
    <t>SCC</t>
  </si>
  <si>
    <t>2022 IRP</t>
  </si>
  <si>
    <t>2018 IRP Update (2019$)</t>
  </si>
  <si>
    <t>Total 2018 IRP Update Avoided Costs (2020$)</t>
  </si>
  <si>
    <t>Total Levelized Avoided Costs to 2050 (2020$)</t>
  </si>
  <si>
    <t>Change (2020$)</t>
  </si>
  <si>
    <t>2018 IRP Update 20 Year Levelized Avoided Costs (2020$)</t>
  </si>
  <si>
    <t>Change in 20 Year Levelized Avoided Costs: 2022 IRP vs 2018 IRP Update (2020$)</t>
  </si>
  <si>
    <t>2018 IRP Update</t>
  </si>
  <si>
    <t>Real Commondity and Transport Costs Avoided (2021$)</t>
  </si>
  <si>
    <t>Real (2021$)</t>
  </si>
  <si>
    <t>CCIs</t>
  </si>
  <si>
    <t>WA Total</t>
  </si>
  <si>
    <t>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</si>
</sst>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&quot;$&quot;#,##0.000"/>
    <numFmt numFmtId="165" formatCode="&quot;$&quot;#,##0.00"/>
    <numFmt numFmtId="166" formatCode="0.0000"/>
    <numFmt numFmtId="167" formatCode="0.000%"/>
    <numFmt numFmtId="168" formatCode="0.00000"/>
    <numFmt numFmtId="169" formatCode="0.0%"/>
    <numFmt numFmtId="170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  <charset val="238"/>
    </font>
    <font>
      <sz val="8"/>
      <color rgb="FF00AB4E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7"/>
      <color theme="1"/>
      <name val="Arial"/>
      <family val="2"/>
      <charset val="238"/>
    </font>
    <font>
      <sz val="10"/>
      <color theme="1"/>
      <name val="Arial"/>
      <family val="2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F8080"/>
        <bgColor indexed="64"/>
      </patternFill>
    </fill>
    <fill>
      <patternFill patternType="solid">
        <fgColor rgb="FFD8DCD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medium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4" borderId="0">
      <alignment vertical="center"/>
    </xf>
    <xf numFmtId="0" fontId="5" fillId="0" borderId="71">
      <alignment horizontal="left" wrapText="1"/>
    </xf>
    <xf numFmtId="0" fontId="6" fillId="5" borderId="0">
      <alignment horizontal="center" vertical="center"/>
    </xf>
    <xf numFmtId="0" fontId="8" fillId="4" borderId="0" applyNumberFormat="0">
      <alignment horizontal="left" vertical="center"/>
    </xf>
    <xf numFmtId="0" fontId="9" fillId="0" borderId="0">
      <alignment horizontal="left" vertical="top"/>
    </xf>
    <xf numFmtId="3" fontId="10" fillId="0" borderId="0">
      <alignment horizontal="left" vertical="top" wrapText="1"/>
    </xf>
    <xf numFmtId="0" fontId="7" fillId="6" borderId="0">
      <alignment horizontal="left" vertical="center"/>
    </xf>
    <xf numFmtId="0" fontId="9" fillId="0" borderId="0" applyNumberFormat="0">
      <alignment horizontal="left" vertical="center"/>
    </xf>
    <xf numFmtId="3" fontId="7" fillId="0" borderId="0">
      <alignment horizontal="left" vertical="top" wrapText="1"/>
    </xf>
    <xf numFmtId="3" fontId="5" fillId="0" borderId="72">
      <alignment horizontal="left" vertical="center"/>
    </xf>
    <xf numFmtId="0" fontId="11" fillId="0" borderId="0" applyNumberFormat="0">
      <alignment horizontal="left" vertical="top" wrapText="1" indent="1"/>
    </xf>
    <xf numFmtId="3" fontId="5" fillId="0" borderId="73">
      <alignment vertical="center"/>
    </xf>
    <xf numFmtId="0" fontId="7" fillId="0" borderId="0"/>
  </cellStyleXfs>
  <cellXfs count="312"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16" xfId="0" applyFont="1" applyFill="1" applyBorder="1" applyAlignment="1">
      <alignment horizontal="center"/>
    </xf>
    <xf numFmtId="165" fontId="0" fillId="0" borderId="16" xfId="0" applyNumberFormat="1" applyFont="1" applyBorder="1"/>
    <xf numFmtId="165" fontId="0" fillId="0" borderId="13" xfId="0" applyNumberFormat="1" applyFont="1" applyBorder="1"/>
    <xf numFmtId="165" fontId="0" fillId="0" borderId="31" xfId="0" applyNumberFormat="1" applyFont="1" applyBorder="1" applyAlignment="1">
      <alignment horizontal="center" vertical="center"/>
    </xf>
    <xf numFmtId="165" fontId="2" fillId="0" borderId="31" xfId="0" applyNumberFormat="1" applyFont="1" applyBorder="1" applyAlignment="1">
      <alignment horizontal="center" vertical="center"/>
    </xf>
    <xf numFmtId="165" fontId="0" fillId="0" borderId="33" xfId="0" applyNumberFormat="1" applyFont="1" applyBorder="1" applyAlignment="1">
      <alignment horizontal="center" vertical="center"/>
    </xf>
    <xf numFmtId="165" fontId="2" fillId="0" borderId="33" xfId="0" applyNumberFormat="1" applyFont="1" applyBorder="1" applyAlignment="1">
      <alignment horizontal="center" vertical="center"/>
    </xf>
    <xf numFmtId="165" fontId="0" fillId="0" borderId="51" xfId="0" applyNumberFormat="1" applyFont="1" applyBorder="1" applyAlignment="1">
      <alignment horizontal="center" vertical="center"/>
    </xf>
    <xf numFmtId="165" fontId="2" fillId="0" borderId="51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vertical="center" wrapText="1"/>
    </xf>
    <xf numFmtId="165" fontId="0" fillId="0" borderId="51" xfId="0" applyNumberFormat="1" applyFont="1" applyBorder="1" applyAlignment="1">
      <alignment horizontal="center"/>
    </xf>
    <xf numFmtId="165" fontId="0" fillId="0" borderId="50" xfId="0" applyNumberFormat="1" applyFont="1" applyBorder="1" applyAlignment="1">
      <alignment horizontal="center"/>
    </xf>
    <xf numFmtId="165" fontId="2" fillId="0" borderId="51" xfId="0" applyNumberFormat="1" applyFont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0" xfId="0" applyFont="1"/>
    <xf numFmtId="164" fontId="2" fillId="0" borderId="53" xfId="0" applyNumberFormat="1" applyFont="1" applyFill="1" applyBorder="1" applyAlignment="1">
      <alignment horizontal="center"/>
    </xf>
    <xf numFmtId="0" fontId="2" fillId="0" borderId="54" xfId="0" applyFont="1" applyBorder="1"/>
    <xf numFmtId="165" fontId="2" fillId="0" borderId="55" xfId="0" applyNumberFormat="1" applyFont="1" applyBorder="1"/>
    <xf numFmtId="0" fontId="0" fillId="0" borderId="0" xfId="0" applyFont="1" applyFill="1"/>
    <xf numFmtId="167" fontId="0" fillId="0" borderId="0" xfId="2" applyNumberFormat="1" applyFont="1"/>
    <xf numFmtId="168" fontId="2" fillId="0" borderId="16" xfId="0" applyNumberFormat="1" applyFont="1" applyBorder="1"/>
    <xf numFmtId="168" fontId="2" fillId="2" borderId="16" xfId="0" applyNumberFormat="1" applyFont="1" applyFill="1" applyBorder="1" applyAlignment="1">
      <alignment horizontal="right"/>
    </xf>
    <xf numFmtId="0" fontId="0" fillId="0" borderId="0" xfId="0" applyFont="1" applyBorder="1"/>
    <xf numFmtId="164" fontId="0" fillId="0" borderId="37" xfId="0" applyNumberFormat="1" applyFont="1" applyFill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164" fontId="0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16" xfId="0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166" fontId="0" fillId="0" borderId="16" xfId="0" applyNumberFormat="1" applyBorder="1" applyAlignment="1">
      <alignment horizontal="center"/>
    </xf>
    <xf numFmtId="0" fontId="0" fillId="0" borderId="0" xfId="0" applyFill="1"/>
    <xf numFmtId="0" fontId="0" fillId="0" borderId="16" xfId="0" applyFill="1" applyBorder="1" applyAlignment="1">
      <alignment horizontal="center"/>
    </xf>
    <xf numFmtId="0" fontId="0" fillId="0" borderId="16" xfId="0" applyFill="1" applyBorder="1"/>
    <xf numFmtId="165" fontId="0" fillId="0" borderId="16" xfId="1" applyNumberFormat="1" applyFont="1" applyBorder="1" applyAlignment="1">
      <alignment horizontal="center"/>
    </xf>
    <xf numFmtId="165" fontId="0" fillId="0" borderId="0" xfId="0" applyNumberFormat="1" applyFont="1" applyBorder="1"/>
    <xf numFmtId="165" fontId="2" fillId="0" borderId="0" xfId="0" applyNumberFormat="1" applyFont="1" applyBorder="1"/>
    <xf numFmtId="0" fontId="2" fillId="0" borderId="59" xfId="0" applyFont="1" applyFill="1" applyBorder="1" applyAlignment="1">
      <alignment horizontal="center"/>
    </xf>
    <xf numFmtId="165" fontId="2" fillId="0" borderId="15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 vertical="center"/>
    </xf>
    <xf numFmtId="0" fontId="2" fillId="0" borderId="37" xfId="0" applyFont="1" applyBorder="1"/>
    <xf numFmtId="164" fontId="2" fillId="0" borderId="38" xfId="0" applyNumberFormat="1" applyFont="1" applyBorder="1" applyAlignment="1">
      <alignment horizontal="center"/>
    </xf>
    <xf numFmtId="164" fontId="2" fillId="0" borderId="39" xfId="0" applyNumberFormat="1" applyFont="1" applyBorder="1" applyAlignment="1">
      <alignment horizontal="center"/>
    </xf>
    <xf numFmtId="165" fontId="0" fillId="0" borderId="61" xfId="0" applyNumberFormat="1" applyFont="1" applyBorder="1" applyAlignment="1">
      <alignment horizontal="center" vertical="center"/>
    </xf>
    <xf numFmtId="165" fontId="0" fillId="0" borderId="14" xfId="0" applyNumberFormat="1" applyFont="1" applyBorder="1" applyAlignment="1">
      <alignment horizontal="center" vertical="center"/>
    </xf>
    <xf numFmtId="165" fontId="0" fillId="0" borderId="62" xfId="0" applyNumberFormat="1" applyFont="1" applyBorder="1" applyAlignment="1">
      <alignment horizontal="center" vertical="center"/>
    </xf>
    <xf numFmtId="165" fontId="0" fillId="0" borderId="62" xfId="0" applyNumberFormat="1" applyFont="1" applyBorder="1" applyAlignment="1">
      <alignment horizontal="center"/>
    </xf>
    <xf numFmtId="165" fontId="0" fillId="0" borderId="44" xfId="0" applyNumberFormat="1" applyFont="1" applyBorder="1" applyAlignment="1">
      <alignment horizontal="center" vertical="center"/>
    </xf>
    <xf numFmtId="165" fontId="0" fillId="0" borderId="48" xfId="0" applyNumberFormat="1" applyFont="1" applyBorder="1" applyAlignment="1">
      <alignment horizontal="center" vertical="center"/>
    </xf>
    <xf numFmtId="165" fontId="0" fillId="0" borderId="52" xfId="0" applyNumberFormat="1" applyFont="1" applyBorder="1" applyAlignment="1">
      <alignment horizontal="center" vertical="center"/>
    </xf>
    <xf numFmtId="165" fontId="0" fillId="0" borderId="52" xfId="0" applyNumberFormat="1" applyFont="1" applyBorder="1" applyAlignment="1">
      <alignment horizontal="center"/>
    </xf>
    <xf numFmtId="0" fontId="0" fillId="0" borderId="32" xfId="0" applyFont="1" applyBorder="1" applyAlignment="1">
      <alignment vertical="center" wrapText="1"/>
    </xf>
    <xf numFmtId="0" fontId="0" fillId="0" borderId="47" xfId="0" applyFont="1" applyBorder="1" applyAlignment="1">
      <alignment vertical="center" wrapText="1"/>
    </xf>
    <xf numFmtId="0" fontId="0" fillId="0" borderId="49" xfId="0" applyFont="1" applyBorder="1" applyAlignment="1">
      <alignment vertical="center" wrapText="1"/>
    </xf>
    <xf numFmtId="0" fontId="0" fillId="0" borderId="43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50" xfId="0" applyFont="1" applyFill="1" applyBorder="1" applyAlignment="1">
      <alignment vertical="center" wrapText="1"/>
    </xf>
    <xf numFmtId="0" fontId="0" fillId="0" borderId="16" xfId="0" applyFont="1" applyBorder="1"/>
    <xf numFmtId="0" fontId="0" fillId="0" borderId="26" xfId="0" applyFont="1" applyBorder="1"/>
    <xf numFmtId="0" fontId="0" fillId="0" borderId="38" xfId="0" applyFont="1" applyBorder="1"/>
    <xf numFmtId="0" fontId="0" fillId="0" borderId="29" xfId="0" applyFont="1" applyBorder="1"/>
    <xf numFmtId="165" fontId="0" fillId="0" borderId="26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165" fontId="2" fillId="0" borderId="31" xfId="0" applyNumberFormat="1" applyFont="1" applyBorder="1" applyAlignment="1">
      <alignment horizontal="center"/>
    </xf>
    <xf numFmtId="165" fontId="0" fillId="0" borderId="16" xfId="0" applyNumberFormat="1" applyFont="1" applyBorder="1" applyAlignment="1">
      <alignment horizontal="center"/>
    </xf>
    <xf numFmtId="165" fontId="0" fillId="0" borderId="13" xfId="0" applyNumberFormat="1" applyFont="1" applyBorder="1" applyAlignment="1">
      <alignment horizontal="center"/>
    </xf>
    <xf numFmtId="165" fontId="2" fillId="0" borderId="33" xfId="0" applyNumberFormat="1" applyFont="1" applyBorder="1" applyAlignment="1">
      <alignment horizontal="center"/>
    </xf>
    <xf numFmtId="165" fontId="0" fillId="0" borderId="38" xfId="0" applyNumberFormat="1" applyFont="1" applyBorder="1" applyAlignment="1">
      <alignment horizontal="center"/>
    </xf>
    <xf numFmtId="165" fontId="0" fillId="0" borderId="29" xfId="0" applyNumberFormat="1" applyFont="1" applyBorder="1" applyAlignment="1">
      <alignment horizontal="center"/>
    </xf>
    <xf numFmtId="165" fontId="0" fillId="0" borderId="30" xfId="0" applyNumberFormat="1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169" fontId="0" fillId="0" borderId="16" xfId="2" applyNumberFormat="1" applyFont="1" applyFill="1" applyBorder="1"/>
    <xf numFmtId="164" fontId="1" fillId="0" borderId="15" xfId="1" applyNumberFormat="1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2" fillId="0" borderId="66" xfId="0" applyFont="1" applyFill="1" applyBorder="1" applyAlignment="1">
      <alignment horizontal="center"/>
    </xf>
    <xf numFmtId="0" fontId="2" fillId="0" borderId="1" xfId="0" applyFont="1" applyFill="1" applyBorder="1"/>
    <xf numFmtId="164" fontId="0" fillId="0" borderId="23" xfId="0" applyNumberFormat="1" applyFont="1" applyFill="1" applyBorder="1" applyAlignment="1">
      <alignment horizontal="center"/>
    </xf>
    <xf numFmtId="165" fontId="0" fillId="0" borderId="16" xfId="0" applyNumberFormat="1" applyFont="1" applyBorder="1" applyAlignment="1">
      <alignment vertical="center"/>
    </xf>
    <xf numFmtId="0" fontId="0" fillId="0" borderId="26" xfId="0" applyFont="1" applyBorder="1" applyAlignment="1">
      <alignment vertical="center" wrapText="1"/>
    </xf>
    <xf numFmtId="0" fontId="0" fillId="0" borderId="38" xfId="0" applyFont="1" applyFill="1" applyBorder="1" applyAlignment="1">
      <alignment vertical="center" wrapText="1"/>
    </xf>
    <xf numFmtId="165" fontId="0" fillId="0" borderId="16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165" fontId="2" fillId="0" borderId="16" xfId="0" applyNumberFormat="1" applyFont="1" applyBorder="1" applyAlignment="1">
      <alignment horizontal="center" vertical="center"/>
    </xf>
    <xf numFmtId="0" fontId="0" fillId="0" borderId="16" xfId="0" applyFont="1" applyFill="1" applyBorder="1" applyAlignment="1">
      <alignment vertical="center" wrapText="1"/>
    </xf>
    <xf numFmtId="165" fontId="2" fillId="0" borderId="16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 vertical="center"/>
    </xf>
    <xf numFmtId="165" fontId="0" fillId="0" borderId="70" xfId="0" applyNumberFormat="1" applyFont="1" applyFill="1" applyBorder="1" applyAlignment="1">
      <alignment horizontal="center" vertical="center"/>
    </xf>
    <xf numFmtId="9" fontId="0" fillId="0" borderId="13" xfId="2" applyNumberFormat="1" applyFont="1" applyBorder="1" applyAlignment="1">
      <alignment horizontal="center"/>
    </xf>
    <xf numFmtId="9" fontId="0" fillId="0" borderId="50" xfId="2" applyNumberFormat="1" applyFont="1" applyBorder="1" applyAlignment="1">
      <alignment horizontal="center"/>
    </xf>
    <xf numFmtId="165" fontId="0" fillId="0" borderId="46" xfId="0" applyNumberFormat="1" applyFont="1" applyBorder="1" applyAlignment="1">
      <alignment horizontal="center"/>
    </xf>
    <xf numFmtId="165" fontId="0" fillId="0" borderId="39" xfId="0" applyNumberFormat="1" applyFont="1" applyBorder="1" applyAlignment="1">
      <alignment horizontal="center"/>
    </xf>
    <xf numFmtId="9" fontId="0" fillId="0" borderId="16" xfId="2" applyFont="1" applyFill="1" applyBorder="1" applyAlignment="1">
      <alignment horizontal="center" vertical="center"/>
    </xf>
    <xf numFmtId="165" fontId="0" fillId="0" borderId="27" xfId="0" applyNumberFormat="1" applyFont="1" applyBorder="1" applyAlignment="1">
      <alignment horizontal="center"/>
    </xf>
    <xf numFmtId="165" fontId="0" fillId="0" borderId="16" xfId="2" applyNumberFormat="1" applyFont="1" applyBorder="1" applyAlignment="1">
      <alignment horizontal="center"/>
    </xf>
    <xf numFmtId="165" fontId="0" fillId="0" borderId="26" xfId="2" applyNumberFormat="1" applyFont="1" applyBorder="1" applyAlignment="1">
      <alignment horizontal="center"/>
    </xf>
    <xf numFmtId="0" fontId="0" fillId="0" borderId="38" xfId="0" applyFont="1" applyBorder="1" applyAlignment="1">
      <alignment vertical="center" wrapText="1"/>
    </xf>
    <xf numFmtId="165" fontId="0" fillId="0" borderId="38" xfId="2" applyNumberFormat="1" applyFont="1" applyBorder="1" applyAlignment="1">
      <alignment horizontal="center"/>
    </xf>
    <xf numFmtId="0" fontId="0" fillId="0" borderId="0" xfId="0" applyAlignment="1">
      <alignment wrapText="1"/>
    </xf>
    <xf numFmtId="165" fontId="0" fillId="0" borderId="0" xfId="0" applyNumberFormat="1"/>
    <xf numFmtId="0" fontId="0" fillId="0" borderId="29" xfId="0" applyFont="1" applyBorder="1" applyAlignment="1">
      <alignment horizontal="center" vertical="center" wrapText="1"/>
    </xf>
    <xf numFmtId="165" fontId="0" fillId="0" borderId="16" xfId="0" applyNumberFormat="1" applyFont="1" applyBorder="1" applyAlignment="1">
      <alignment horizontal="center" vertical="center"/>
    </xf>
    <xf numFmtId="170" fontId="2" fillId="0" borderId="0" xfId="0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165" fontId="0" fillId="0" borderId="26" xfId="0" applyNumberFormat="1" applyFont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/>
    </xf>
    <xf numFmtId="165" fontId="2" fillId="0" borderId="46" xfId="0" applyNumberFormat="1" applyFont="1" applyBorder="1" applyAlignment="1">
      <alignment horizontal="center" vertical="center"/>
    </xf>
    <xf numFmtId="165" fontId="0" fillId="0" borderId="38" xfId="0" applyNumberFormat="1" applyFont="1" applyBorder="1" applyAlignment="1">
      <alignment horizontal="center" vertical="center"/>
    </xf>
    <xf numFmtId="165" fontId="2" fillId="0" borderId="39" xfId="0" applyNumberFormat="1" applyFont="1" applyBorder="1" applyAlignment="1">
      <alignment horizontal="center" vertical="center"/>
    </xf>
    <xf numFmtId="0" fontId="2" fillId="0" borderId="34" xfId="0" applyFont="1" applyBorder="1"/>
    <xf numFmtId="164" fontId="2" fillId="0" borderId="29" xfId="0" applyNumberFormat="1" applyFont="1" applyBorder="1" applyAlignment="1">
      <alignment horizontal="center"/>
    </xf>
    <xf numFmtId="164" fontId="2" fillId="0" borderId="67" xfId="0" applyNumberFormat="1" applyFont="1" applyBorder="1" applyAlignment="1">
      <alignment horizontal="center"/>
    </xf>
    <xf numFmtId="0" fontId="0" fillId="0" borderId="58" xfId="0" applyFont="1" applyBorder="1" applyAlignment="1">
      <alignment vertical="center" wrapText="1"/>
    </xf>
    <xf numFmtId="0" fontId="0" fillId="0" borderId="29" xfId="0" applyBorder="1"/>
    <xf numFmtId="0" fontId="0" fillId="0" borderId="16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2" fillId="0" borderId="35" xfId="0" applyFont="1" applyBorder="1"/>
    <xf numFmtId="164" fontId="2" fillId="0" borderId="18" xfId="0" applyNumberFormat="1" applyFont="1" applyFill="1" applyBorder="1" applyAlignment="1">
      <alignment horizontal="center"/>
    </xf>
    <xf numFmtId="0" fontId="2" fillId="0" borderId="64" xfId="0" applyFont="1" applyBorder="1"/>
    <xf numFmtId="0" fontId="0" fillId="0" borderId="0" xfId="0"/>
    <xf numFmtId="168" fontId="2" fillId="0" borderId="29" xfId="0" applyNumberFormat="1" applyFont="1" applyBorder="1"/>
    <xf numFmtId="164" fontId="0" fillId="0" borderId="34" xfId="0" applyNumberFormat="1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170" fontId="0" fillId="0" borderId="0" xfId="0" applyNumberFormat="1"/>
    <xf numFmtId="0" fontId="2" fillId="8" borderId="2" xfId="0" applyFont="1" applyFill="1" applyBorder="1" applyAlignment="1">
      <alignment horizontal="center" vertical="center" wrapText="1"/>
    </xf>
    <xf numFmtId="0" fontId="2" fillId="8" borderId="57" xfId="0" applyFont="1" applyFill="1" applyBorder="1" applyAlignment="1">
      <alignment horizontal="center" vertical="center" wrapText="1"/>
    </xf>
    <xf numFmtId="164" fontId="0" fillId="8" borderId="29" xfId="0" applyNumberFormat="1" applyFont="1" applyFill="1" applyBorder="1" applyAlignment="1">
      <alignment horizontal="center"/>
    </xf>
    <xf numFmtId="164" fontId="0" fillId="8" borderId="68" xfId="0" applyNumberFormat="1" applyFont="1" applyFill="1" applyBorder="1" applyAlignment="1">
      <alignment horizontal="center"/>
    </xf>
    <xf numFmtId="164" fontId="0" fillId="8" borderId="14" xfId="0" applyNumberFormat="1" applyFont="1" applyFill="1" applyBorder="1" applyAlignment="1">
      <alignment horizontal="center"/>
    </xf>
    <xf numFmtId="164" fontId="0" fillId="8" borderId="59" xfId="0" applyNumberFormat="1" applyFont="1" applyFill="1" applyBorder="1" applyAlignment="1">
      <alignment horizontal="center"/>
    </xf>
    <xf numFmtId="164" fontId="0" fillId="8" borderId="62" xfId="0" applyNumberFormat="1" applyFont="1" applyFill="1" applyBorder="1" applyAlignment="1">
      <alignment horizontal="center"/>
    </xf>
    <xf numFmtId="4" fontId="2" fillId="7" borderId="14" xfId="0" applyNumberFormat="1" applyFont="1" applyFill="1" applyBorder="1" applyAlignment="1">
      <alignment horizontal="center"/>
    </xf>
    <xf numFmtId="4" fontId="2" fillId="7" borderId="16" xfId="0" applyNumberFormat="1" applyFont="1" applyFill="1" applyBorder="1" applyAlignment="1">
      <alignment horizontal="center"/>
    </xf>
    <xf numFmtId="164" fontId="2" fillId="7" borderId="0" xfId="0" applyNumberFormat="1" applyFont="1" applyFill="1" applyBorder="1"/>
    <xf numFmtId="0" fontId="0" fillId="7" borderId="0" xfId="0" applyFont="1" applyFill="1"/>
    <xf numFmtId="0" fontId="0" fillId="7" borderId="0" xfId="0" applyFont="1" applyFill="1" applyBorder="1"/>
    <xf numFmtId="10" fontId="2" fillId="7" borderId="16" xfId="2" applyNumberFormat="1" applyFont="1" applyFill="1" applyBorder="1" applyAlignment="1">
      <alignment horizontal="center"/>
    </xf>
    <xf numFmtId="167" fontId="0" fillId="7" borderId="0" xfId="2" applyNumberFormat="1" applyFont="1" applyFill="1"/>
    <xf numFmtId="164" fontId="0" fillId="7" borderId="30" xfId="0" applyNumberFormat="1" applyFont="1" applyFill="1" applyBorder="1" applyAlignment="1">
      <alignment horizontal="center"/>
    </xf>
    <xf numFmtId="10" fontId="2" fillId="7" borderId="53" xfId="2" applyNumberFormat="1" applyFont="1" applyFill="1" applyBorder="1" applyAlignment="1">
      <alignment horizontal="center" vertical="center"/>
    </xf>
    <xf numFmtId="10" fontId="0" fillId="7" borderId="53" xfId="2" applyNumberFormat="1" applyFont="1" applyFill="1" applyBorder="1"/>
    <xf numFmtId="0" fontId="2" fillId="7" borderId="22" xfId="0" applyFont="1" applyFill="1" applyBorder="1" applyAlignment="1">
      <alignment horizontal="center" vertical="center" wrapText="1"/>
    </xf>
    <xf numFmtId="10" fontId="2" fillId="7" borderId="53" xfId="0" applyNumberFormat="1" applyFont="1" applyFill="1" applyBorder="1" applyAlignment="1">
      <alignment horizontal="center" vertical="center"/>
    </xf>
    <xf numFmtId="0" fontId="2" fillId="7" borderId="53" xfId="0" applyFont="1" applyFill="1" applyBorder="1" applyAlignment="1">
      <alignment horizontal="center" vertical="center" wrapText="1"/>
    </xf>
    <xf numFmtId="10" fontId="2" fillId="7" borderId="21" xfId="2" applyNumberFormat="1" applyFont="1" applyFill="1" applyBorder="1" applyAlignment="1">
      <alignment horizontal="center" vertical="center"/>
    </xf>
    <xf numFmtId="10" fontId="2" fillId="7" borderId="20" xfId="2" applyNumberFormat="1" applyFont="1" applyFill="1" applyBorder="1" applyAlignment="1">
      <alignment horizontal="center" vertical="center"/>
    </xf>
    <xf numFmtId="0" fontId="2" fillId="7" borderId="53" xfId="0" applyFont="1" applyFill="1" applyBorder="1"/>
    <xf numFmtId="10" fontId="0" fillId="7" borderId="53" xfId="2" applyNumberFormat="1" applyFont="1" applyFill="1" applyBorder="1" applyAlignment="1">
      <alignment horizontal="center"/>
    </xf>
    <xf numFmtId="10" fontId="0" fillId="7" borderId="0" xfId="0" applyNumberFormat="1" applyFont="1" applyFill="1"/>
    <xf numFmtId="164" fontId="0" fillId="9" borderId="15" xfId="0" applyNumberFormat="1" applyFont="1" applyFill="1" applyBorder="1" applyAlignment="1">
      <alignment horizontal="center"/>
    </xf>
    <xf numFmtId="164" fontId="0" fillId="9" borderId="30" xfId="0" applyNumberFormat="1" applyFont="1" applyFill="1" applyBorder="1" applyAlignment="1">
      <alignment horizontal="center"/>
    </xf>
    <xf numFmtId="164" fontId="0" fillId="9" borderId="46" xfId="0" applyNumberFormat="1" applyFont="1" applyFill="1" applyBorder="1" applyAlignment="1">
      <alignment horizontal="center"/>
    </xf>
    <xf numFmtId="164" fontId="0" fillId="9" borderId="36" xfId="0" applyNumberFormat="1" applyFont="1" applyFill="1" applyBorder="1" applyAlignment="1">
      <alignment horizontal="center"/>
    </xf>
    <xf numFmtId="164" fontId="0" fillId="9" borderId="23" xfId="0" applyNumberFormat="1" applyFont="1" applyFill="1" applyBorder="1" applyAlignment="1">
      <alignment horizontal="center"/>
    </xf>
    <xf numFmtId="164" fontId="0" fillId="9" borderId="33" xfId="0" applyNumberFormat="1" applyFont="1" applyFill="1" applyBorder="1" applyAlignment="1">
      <alignment horizontal="center"/>
    </xf>
    <xf numFmtId="164" fontId="0" fillId="9" borderId="66" xfId="0" applyNumberFormat="1" applyFont="1" applyFill="1" applyBorder="1" applyAlignment="1">
      <alignment horizontal="center"/>
    </xf>
    <xf numFmtId="164" fontId="0" fillId="9" borderId="47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textRotation="90"/>
    </xf>
    <xf numFmtId="0" fontId="2" fillId="0" borderId="47" xfId="0" applyFont="1" applyBorder="1" applyAlignment="1">
      <alignment horizontal="center" vertical="center" textRotation="90"/>
    </xf>
    <xf numFmtId="0" fontId="2" fillId="0" borderId="49" xfId="0" applyFont="1" applyBorder="1" applyAlignment="1">
      <alignment horizontal="center" vertical="center" textRotation="90"/>
    </xf>
    <xf numFmtId="165" fontId="0" fillId="0" borderId="31" xfId="0" applyNumberFormat="1" applyFont="1" applyBorder="1" applyAlignment="1">
      <alignment horizontal="center" vertical="center"/>
    </xf>
    <xf numFmtId="165" fontId="0" fillId="0" borderId="33" xfId="0" applyNumberFormat="1" applyFont="1" applyBorder="1" applyAlignment="1">
      <alignment horizontal="center" vertical="center"/>
    </xf>
    <xf numFmtId="165" fontId="0" fillId="0" borderId="51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textRotation="90"/>
    </xf>
    <xf numFmtId="0" fontId="2" fillId="0" borderId="45" xfId="0" applyFont="1" applyBorder="1" applyAlignment="1">
      <alignment horizontal="center" vertical="center" textRotation="90"/>
    </xf>
    <xf numFmtId="0" fontId="2" fillId="0" borderId="37" xfId="0" applyFont="1" applyBorder="1" applyAlignment="1">
      <alignment horizontal="center" vertical="center" textRotation="90"/>
    </xf>
    <xf numFmtId="0" fontId="2" fillId="0" borderId="34" xfId="0" applyFont="1" applyBorder="1" applyAlignment="1">
      <alignment horizontal="center" vertical="center" textRotation="90"/>
    </xf>
    <xf numFmtId="0" fontId="0" fillId="0" borderId="31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0" fillId="2" borderId="29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0" fillId="0" borderId="16" xfId="0" applyFont="1" applyBorder="1" applyAlignment="1">
      <alignment horizontal="center" vertical="center" textRotation="90"/>
    </xf>
    <xf numFmtId="0" fontId="2" fillId="0" borderId="31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0" fillId="0" borderId="16" xfId="0" applyNumberFormat="1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65" fontId="2" fillId="0" borderId="25" xfId="0" applyNumberFormat="1" applyFont="1" applyBorder="1" applyAlignment="1">
      <alignment horizontal="center" vertical="center" textRotation="90"/>
    </xf>
    <xf numFmtId="165" fontId="2" fillId="0" borderId="45" xfId="0" applyNumberFormat="1" applyFont="1" applyBorder="1" applyAlignment="1">
      <alignment horizontal="center" vertical="center" textRotation="90"/>
    </xf>
    <xf numFmtId="165" fontId="2" fillId="0" borderId="37" xfId="0" applyNumberFormat="1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69" xfId="0" applyFont="1" applyBorder="1" applyAlignment="1">
      <alignment horizontal="center" vertical="center" wrapText="1"/>
    </xf>
    <xf numFmtId="0" fontId="0" fillId="0" borderId="6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6">
    <cellStyle name="Currency" xfId="1" builtinId="4"/>
    <cellStyle name="Hyperlink Style" xfId="9" xr:uid="{00000000-0005-0000-0000-000001000000}"/>
    <cellStyle name="Index Hyperlink" xfId="5" xr:uid="{00000000-0005-0000-0000-000002000000}"/>
    <cellStyle name="Normal" xfId="0" builtinId="0"/>
    <cellStyle name="Normal 2" xfId="8" xr:uid="{00000000-0005-0000-0000-000004000000}"/>
    <cellStyle name="Normal 242" xfId="15" xr:uid="{60739E54-30B8-4CA1-84CA-7203EB9D107C}"/>
    <cellStyle name="Normal 3" xfId="11" xr:uid="{00000000-0005-0000-0000-000005000000}"/>
    <cellStyle name="Percent" xfId="2" builtinId="5"/>
    <cellStyle name="phx-col-head-last" xfId="4" xr:uid="{00000000-0005-0000-0000-000007000000}"/>
    <cellStyle name="phx-header" xfId="6" xr:uid="{00000000-0005-0000-0000-000008000000}"/>
    <cellStyle name="phx-HL-row" xfId="12" xr:uid="{00000000-0005-0000-0000-000009000000}"/>
    <cellStyle name="phx-level1" xfId="13" xr:uid="{00000000-0005-0000-0000-00000A000000}"/>
    <cellStyle name="phx-note" xfId="10" xr:uid="{00000000-0005-0000-0000-00000B000000}"/>
    <cellStyle name="phx-source" xfId="7" xr:uid="{00000000-0005-0000-0000-00000C000000}"/>
    <cellStyle name="phx-subhead" xfId="3" xr:uid="{00000000-0005-0000-0000-00000D000000}"/>
    <cellStyle name="phx-total-row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Oregon 30-year Levelized Avoided Costs by End Use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25686789151357"/>
          <c:y val="8.0774320722662538E-2"/>
          <c:w val="0.8763309419655877"/>
          <c:h val="0.713547098375363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'Avoided Costs Summary'!$DA$3:$DA$4</c:f>
              <c:strCache>
                <c:ptCount val="2"/>
                <c:pt idx="0">
                  <c:v>Natural Gas and Transport Costs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'Avoided Costs Summary'!$CZ$5:$CZ$11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Summary'!$DA$5:$DA$11</c:f>
              <c:numCache>
                <c:formatCode>"$"#,##0.00</c:formatCode>
                <c:ptCount val="7"/>
                <c:pt idx="0">
                  <c:v>3.5968875798474569</c:v>
                </c:pt>
                <c:pt idx="1">
                  <c:v>3.5968875798474569</c:v>
                </c:pt>
                <c:pt idx="2">
                  <c:v>3.5968875798474569</c:v>
                </c:pt>
                <c:pt idx="3">
                  <c:v>3.346779978374316</c:v>
                </c:pt>
                <c:pt idx="4">
                  <c:v>3.3140146939569006</c:v>
                </c:pt>
                <c:pt idx="5">
                  <c:v>3.3140146939569006</c:v>
                </c:pt>
                <c:pt idx="6">
                  <c:v>3.3140146939569006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4-4B2B-960B-BDC699411C60}"/>
            </c:ext>
          </c:extLst>
        </c:ser>
        <c:ser>
          <c:idx val="1"/>
          <c:order val="1"/>
          <c:tx>
            <c:strRef>
              <c:f>'Avoided Costs Summary'!$DB$3:$DB$4</c:f>
              <c:strCache>
                <c:ptCount val="2"/>
                <c:pt idx="0">
                  <c:v>Greenhouse Gas Compliance Costs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'Avoided Costs Summary'!$CZ$5:$CZ$11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Summary'!$DB$5:$DB$11</c:f>
              <c:numCache>
                <c:formatCode>"$"#,##0.00</c:formatCode>
                <c:ptCount val="7"/>
                <c:pt idx="0">
                  <c:v>7.5694291911940814</c:v>
                </c:pt>
                <c:pt idx="1">
                  <c:v>7.5694291911940814</c:v>
                </c:pt>
                <c:pt idx="2">
                  <c:v>7.5694291911940814</c:v>
                </c:pt>
                <c:pt idx="3">
                  <c:v>7.5694291911940814</c:v>
                </c:pt>
                <c:pt idx="4">
                  <c:v>7.5694291911940814</c:v>
                </c:pt>
                <c:pt idx="5">
                  <c:v>7.5694291911940814</c:v>
                </c:pt>
                <c:pt idx="6">
                  <c:v>7.5694291911940814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64-4B2B-960B-BDC699411C60}"/>
            </c:ext>
          </c:extLst>
        </c:ser>
        <c:ser>
          <c:idx val="2"/>
          <c:order val="2"/>
          <c:tx>
            <c:strRef>
              <c:f>'Avoided Costs Summary'!$DC$3:$DC$4</c:f>
              <c:strCache>
                <c:ptCount val="2"/>
                <c:pt idx="0">
                  <c:v>Risk Reduction (Hedge) Value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'Avoided Costs Summary'!$CZ$5:$CZ$11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Summary'!$DC$5:$DC$11</c:f>
              <c:numCache>
                <c:formatCode>"$"#,##0.00</c:formatCode>
                <c:ptCount val="7"/>
                <c:pt idx="0">
                  <c:v>0.52020000000000011</c:v>
                </c:pt>
                <c:pt idx="1">
                  <c:v>0.52020000000000011</c:v>
                </c:pt>
                <c:pt idx="2">
                  <c:v>0.52020000000000011</c:v>
                </c:pt>
                <c:pt idx="3">
                  <c:v>0.52020000000000011</c:v>
                </c:pt>
                <c:pt idx="4">
                  <c:v>0.52020000000000011</c:v>
                </c:pt>
                <c:pt idx="5">
                  <c:v>0.52020000000000011</c:v>
                </c:pt>
                <c:pt idx="6">
                  <c:v>0.52020000000000011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64-4B2B-960B-BDC699411C60}"/>
            </c:ext>
          </c:extLst>
        </c:ser>
        <c:ser>
          <c:idx val="3"/>
          <c:order val="3"/>
          <c:tx>
            <c:strRef>
              <c:f>'Avoided Costs Summary'!$DD$3:$DD$4</c:f>
              <c:strCache>
                <c:ptCount val="2"/>
                <c:pt idx="0">
                  <c:v>Supply System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'Avoided Costs Summary'!$CZ$5:$CZ$11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Summary'!$DD$5:$DD$11</c:f>
              <c:numCache>
                <c:formatCode>"$"#,##0.00</c:formatCode>
                <c:ptCount val="7"/>
                <c:pt idx="0">
                  <c:v>0.64427383382065839</c:v>
                </c:pt>
                <c:pt idx="1">
                  <c:v>0.64427383382065839</c:v>
                </c:pt>
                <c:pt idx="2">
                  <c:v>0.57472154494229166</c:v>
                </c:pt>
                <c:pt idx="3">
                  <c:v>0.10720049999999996</c:v>
                </c:pt>
                <c:pt idx="4">
                  <c:v>0.11570000000000003</c:v>
                </c:pt>
                <c:pt idx="5">
                  <c:v>8.8999999999999982E-2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64-4B2B-960B-BDC699411C60}"/>
            </c:ext>
          </c:extLst>
        </c:ser>
        <c:ser>
          <c:idx val="4"/>
          <c:order val="4"/>
          <c:tx>
            <c:strRef>
              <c:f>'Avoided Costs Summary'!$DE$3:$DE$4</c:f>
              <c:strCache>
                <c:ptCount val="2"/>
                <c:pt idx="0">
                  <c:v>Distribution System Costs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'Avoided Costs Summary'!$CZ$5:$CZ$11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Summary'!$DE$5:$DE$11</c:f>
              <c:numCache>
                <c:formatCode>"$"#,##0.00</c:formatCode>
                <c:ptCount val="7"/>
                <c:pt idx="0">
                  <c:v>4.5394336600280862</c:v>
                </c:pt>
                <c:pt idx="1">
                  <c:v>2.2845515805370105</c:v>
                </c:pt>
                <c:pt idx="2">
                  <c:v>5.4740229429750444</c:v>
                </c:pt>
                <c:pt idx="3">
                  <c:v>1.0258634585384641</c:v>
                </c:pt>
                <c:pt idx="4">
                  <c:v>2.8132415999999996</c:v>
                </c:pt>
                <c:pt idx="5">
                  <c:v>0.45084000000000002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64-4B2B-960B-BDC699411C60}"/>
            </c:ext>
          </c:extLst>
        </c:ser>
        <c:ser>
          <c:idx val="5"/>
          <c:order val="5"/>
          <c:tx>
            <c:strRef>
              <c:f>'Avoided Costs Summary'!$DF$3:$DF$4</c:f>
              <c:strCache>
                <c:ptCount val="2"/>
                <c:pt idx="0">
                  <c:v>10% Conservation Credit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'Avoided Costs Summary'!$CZ$5:$CZ$11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Summary'!$DF$5:$DF$11</c:f>
              <c:numCache>
                <c:formatCode>"$"#,##0.00</c:formatCode>
                <c:ptCount val="7"/>
                <c:pt idx="0">
                  <c:v>0.87805950736962013</c:v>
                </c:pt>
                <c:pt idx="1">
                  <c:v>0.65257129942051273</c:v>
                </c:pt>
                <c:pt idx="2">
                  <c:v>0.964563206776479</c:v>
                </c:pt>
                <c:pt idx="3">
                  <c:v>0.44798439369127807</c:v>
                </c:pt>
                <c:pt idx="4">
                  <c:v>0.62429562939568994</c:v>
                </c:pt>
                <c:pt idx="5">
                  <c:v>0.38538546939568985</c:v>
                </c:pt>
                <c:pt idx="6">
                  <c:v>0.33140146939568998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64-4B2B-960B-BDC699411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656731088"/>
        <c:axId val="-1656725648"/>
      </c:barChart>
      <c:catAx>
        <c:axId val="-165673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56725648"/>
        <c:crosses val="autoZero"/>
        <c:auto val="1"/>
        <c:lblAlgn val="ctr"/>
        <c:lblOffset val="100"/>
        <c:noMultiLvlLbl val="0"/>
      </c:catAx>
      <c:valAx>
        <c:axId val="-1656725648"/>
        <c:scaling>
          <c:orientation val="minMax"/>
          <c:max val="18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2019$/Dth</a:t>
                </a:r>
              </a:p>
            </c:rich>
          </c:tx>
          <c:layout>
            <c:manualLayout>
              <c:xMode val="edge"/>
              <c:yMode val="edge"/>
              <c:x val="1.7474015748031497E-2"/>
              <c:y val="0.367954447636644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5673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984312551856912E-2"/>
          <c:y val="0.91509700392083571"/>
          <c:w val="0.93124725709748701"/>
          <c:h val="8.0513719056962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Oregon</a:t>
            </a:r>
            <a:r>
              <a:rPr lang="en-US" b="1" baseline="0"/>
              <a:t> Avoided Costs Through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63658062159706"/>
          <c:y val="9.9503811464782835E-2"/>
          <c:w val="0.8759613327764818"/>
          <c:h val="0.65718452605136468"/>
        </c:manualLayout>
      </c:layout>
      <c:barChart>
        <c:barDir val="col"/>
        <c:grouping val="clustered"/>
        <c:varyColors val="0"/>
        <c:ser>
          <c:idx val="0"/>
          <c:order val="0"/>
          <c:tx>
            <c:v>2022 IRP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'Avoided Costs Summary'!$EI$40:$EI$46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Summary'!$EJ$40:$EJ$46</c:f>
              <c:numCache>
                <c:formatCode>"$"#,##0.00</c:formatCode>
                <c:ptCount val="7"/>
                <c:pt idx="0">
                  <c:v>17.748283772259903</c:v>
                </c:pt>
                <c:pt idx="1">
                  <c:v>15.267913484819722</c:v>
                </c:pt>
                <c:pt idx="2">
                  <c:v>18.699824465735354</c:v>
                </c:pt>
                <c:pt idx="3">
                  <c:v>13.017457521798139</c:v>
                </c:pt>
                <c:pt idx="4">
                  <c:v>14.956881114546672</c:v>
                </c:pt>
                <c:pt idx="5">
                  <c:v>12.328869354546672</c:v>
                </c:pt>
                <c:pt idx="6">
                  <c:v>11.735045354546672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5-455B-BFD8-939FD41C6C86}"/>
            </c:ext>
          </c:extLst>
        </c:ser>
        <c:ser>
          <c:idx val="1"/>
          <c:order val="1"/>
          <c:tx>
            <c:strRef>
              <c:f>'Avoided Costs Summary'!$EK$39</c:f>
              <c:strCache>
                <c:ptCount val="1"/>
                <c:pt idx="0">
                  <c:v>2018 IRP Update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'Avoided Costs Summary'!$EI$40:$EI$46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Summary'!$EK$40:$EK$46</c:f>
              <c:numCache>
                <c:formatCode>"$"#,##0.00</c:formatCode>
                <c:ptCount val="7"/>
                <c:pt idx="0">
                  <c:v>14.574846863809482</c:v>
                </c:pt>
                <c:pt idx="1">
                  <c:v>12.373737782209485</c:v>
                </c:pt>
                <c:pt idx="2">
                  <c:v>15.44305335555665</c:v>
                </c:pt>
                <c:pt idx="3">
                  <c:v>10.74282523327596</c:v>
                </c:pt>
                <c:pt idx="4">
                  <c:v>12.687623244220509</c:v>
                </c:pt>
                <c:pt idx="5">
                  <c:v>10.0699063730513</c:v>
                </c:pt>
                <c:pt idx="6">
                  <c:v>9.5103986691539237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5-455B-BFD8-939FD41C6C86}"/>
            </c:ext>
          </c:extLst>
        </c:ser>
        <c:ser>
          <c:idx val="4"/>
          <c:order val="2"/>
          <c:tx>
            <c:v>2018 IRP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'Avoided Costs Summary'!$EL$40:$EL$46</c:f>
              <c:numCache>
                <c:formatCode>"$"#,##0.00</c:formatCode>
                <c:ptCount val="7"/>
                <c:pt idx="0">
                  <c:v>9.451215464023214</c:v>
                </c:pt>
                <c:pt idx="1">
                  <c:v>8.1367211664232126</c:v>
                </c:pt>
                <c:pt idx="2">
                  <c:v>9.838711118735711</c:v>
                </c:pt>
                <c:pt idx="3">
                  <c:v>6.1109393412649151</c:v>
                </c:pt>
                <c:pt idx="4">
                  <c:v>7.2824275597733745</c:v>
                </c:pt>
                <c:pt idx="5">
                  <c:v>5.6624701004132421</c:v>
                </c:pt>
                <c:pt idx="6">
                  <c:v>5.1610943393614646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9B-4F43-B082-F717AB86A027}"/>
            </c:ext>
          </c:extLst>
        </c:ser>
        <c:ser>
          <c:idx val="2"/>
          <c:order val="3"/>
          <c:tx>
            <c:strRef>
              <c:f>'Avoided Costs Summary'!$EM$39</c:f>
              <c:strCache>
                <c:ptCount val="1"/>
                <c:pt idx="0">
                  <c:v>2016 IRP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'Avoided Costs Summary'!$EI$40:$EI$46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Summary'!$EM$40:$EM$46</c:f>
              <c:numCache>
                <c:formatCode>"$"#,##0.00</c:formatCode>
                <c:ptCount val="7"/>
                <c:pt idx="0">
                  <c:v>6.3453287986666806</c:v>
                </c:pt>
                <c:pt idx="1">
                  <c:v>6.3453287986666806</c:v>
                </c:pt>
                <c:pt idx="2">
                  <c:v>6.1517576114196029</c:v>
                </c:pt>
                <c:pt idx="3">
                  <c:v>4.7638811481747334</c:v>
                </c:pt>
                <c:pt idx="4">
                  <c:v>4.7638811481747334</c:v>
                </c:pt>
                <c:pt idx="5">
                  <c:v>4.7638811481747334</c:v>
                </c:pt>
                <c:pt idx="6">
                  <c:v>4.5206095794339021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25-455B-BFD8-939FD41C6C86}"/>
            </c:ext>
          </c:extLst>
        </c:ser>
        <c:ser>
          <c:idx val="3"/>
          <c:order val="4"/>
          <c:tx>
            <c:strRef>
              <c:f>'Avoided Costs Summary'!$EN$39</c:f>
              <c:strCache>
                <c:ptCount val="1"/>
                <c:pt idx="0">
                  <c:v>2014 IRP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'Avoided Costs Summary'!$EI$40:$EI$46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Summary'!$EN$40:$EN$46</c:f>
              <c:numCache>
                <c:formatCode>"$"#,##0.00</c:formatCode>
                <c:ptCount val="7"/>
                <c:pt idx="0">
                  <c:v>4.8155872687828172</c:v>
                </c:pt>
                <c:pt idx="1">
                  <c:v>4.8155872687828172</c:v>
                </c:pt>
                <c:pt idx="2">
                  <c:v>4.8155872687828172</c:v>
                </c:pt>
                <c:pt idx="3">
                  <c:v>4.8155872687828172</c:v>
                </c:pt>
                <c:pt idx="4">
                  <c:v>4.8155872687828172</c:v>
                </c:pt>
                <c:pt idx="5">
                  <c:v>4.8155872687828172</c:v>
                </c:pt>
                <c:pt idx="6">
                  <c:v>4.8155872687828172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5-455B-BFD8-939FD41C6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549314864"/>
        <c:axId val="-1549303984"/>
      </c:barChart>
      <c:catAx>
        <c:axId val="-1549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03984"/>
        <c:crosses val="autoZero"/>
        <c:auto val="1"/>
        <c:lblAlgn val="ctr"/>
        <c:lblOffset val="100"/>
        <c:noMultiLvlLbl val="0"/>
      </c:catAx>
      <c:valAx>
        <c:axId val="-1549303984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Levelized Costs* (2020$)</a:t>
                </a:r>
              </a:p>
            </c:rich>
          </c:tx>
          <c:layout>
            <c:manualLayout>
              <c:xMode val="edge"/>
              <c:yMode val="edge"/>
              <c:x val="1.0338423091680163E-2"/>
              <c:y val="0.252096519896484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1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701161141265109"/>
          <c:y val="0.86681051323658298"/>
          <c:w val="0.73029177178095461"/>
          <c:h val="5.570476019509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Washington</a:t>
            </a:r>
            <a:r>
              <a:rPr lang="en-US" b="1" baseline="0"/>
              <a:t> Avoided Costs by IRP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247764954348366"/>
          <c:y val="9.9503794512551091E-2"/>
          <c:w val="0.87380523100847829"/>
          <c:h val="0.66014583597443877"/>
        </c:manualLayout>
      </c:layout>
      <c:barChart>
        <c:barDir val="col"/>
        <c:grouping val="clustered"/>
        <c:varyColors val="0"/>
        <c:ser>
          <c:idx val="0"/>
          <c:order val="0"/>
          <c:tx>
            <c:v>2022 IRP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'Avoided Costs Summary'!$EI$40:$EI$46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Summary'!$EJ$47:$EJ$53</c:f>
              <c:numCache>
                <c:formatCode>"$"#,##0.00</c:formatCode>
                <c:ptCount val="7"/>
                <c:pt idx="0">
                  <c:v>19.492109742838437</c:v>
                </c:pt>
                <c:pt idx="1">
                  <c:v>15.384347185358312</c:v>
                </c:pt>
                <c:pt idx="2">
                  <c:v>21.118161706133069</c:v>
                </c:pt>
                <c:pt idx="3">
                  <c:v>12.176793015388782</c:v>
                </c:pt>
                <c:pt idx="4">
                  <c:v>15.404407132086254</c:v>
                </c:pt>
                <c:pt idx="5">
                  <c:v>11.071404172086256</c:v>
                </c:pt>
                <c:pt idx="6">
                  <c:v>10.152200172086255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5-410F-B13F-C0A69E1C9F1D}"/>
            </c:ext>
          </c:extLst>
        </c:ser>
        <c:ser>
          <c:idx val="1"/>
          <c:order val="1"/>
          <c:tx>
            <c:strRef>
              <c:f>'Avoided Costs Summary'!$EK$39</c:f>
              <c:strCache>
                <c:ptCount val="1"/>
                <c:pt idx="0">
                  <c:v>2018 IRP Update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'Avoided Costs Summary'!$EI$40:$EI$46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Summary'!$EK$47:$EK$53</c:f>
              <c:numCache>
                <c:formatCode>"$"#,##0.00</c:formatCode>
                <c:ptCount val="7"/>
                <c:pt idx="0">
                  <c:v>18.161667457309093</c:v>
                </c:pt>
                <c:pt idx="1">
                  <c:v>14.516391783709096</c:v>
                </c:pt>
                <c:pt idx="2">
                  <c:v>19.628442997056258</c:v>
                </c:pt>
                <c:pt idx="3">
                  <c:v>12.168524233625771</c:v>
                </c:pt>
                <c:pt idx="4">
                  <c:v>15.404273721133267</c:v>
                </c:pt>
                <c:pt idx="5">
                  <c:v>11.081565649964059</c:v>
                </c:pt>
                <c:pt idx="6">
                  <c:v>10.196677946066684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55-410F-B13F-C0A69E1C9F1D}"/>
            </c:ext>
          </c:extLst>
        </c:ser>
        <c:ser>
          <c:idx val="4"/>
          <c:order val="2"/>
          <c:tx>
            <c:v>2018 IRP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'Avoided Costs Summary'!$EL$47:$EL$53</c:f>
              <c:numCache>
                <c:formatCode>"$"#,##0.00</c:formatCode>
                <c:ptCount val="7"/>
                <c:pt idx="0">
                  <c:v>11.65449038291074</c:v>
                </c:pt>
                <c:pt idx="1">
                  <c:v>9.2881288155602224</c:v>
                </c:pt>
                <c:pt idx="2">
                  <c:v>12.482834871960865</c:v>
                </c:pt>
                <c:pt idx="3">
                  <c:v>6.9564135949538466</c:v>
                </c:pt>
                <c:pt idx="4">
                  <c:v>8.8829986123030462</c:v>
                </c:pt>
                <c:pt idx="5">
                  <c:v>6.0233107022073105</c:v>
                </c:pt>
                <c:pt idx="6">
                  <c:v>5.2940501522178387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3C-4533-B25F-8251108BF47D}"/>
            </c:ext>
          </c:extLst>
        </c:ser>
        <c:ser>
          <c:idx val="2"/>
          <c:order val="3"/>
          <c:tx>
            <c:strRef>
              <c:f>'Avoided Costs Summary'!$EM$39</c:f>
              <c:strCache>
                <c:ptCount val="1"/>
                <c:pt idx="0">
                  <c:v>2016 IRP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'Avoided Costs Summary'!$EI$40:$EI$46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Summary'!$EM$47:$EM$53</c:f>
              <c:numCache>
                <c:formatCode>"$"#,##0.00</c:formatCode>
                <c:ptCount val="7"/>
                <c:pt idx="0">
                  <c:v>7.3755722083679132</c:v>
                </c:pt>
                <c:pt idx="1">
                  <c:v>7.3755722083679132</c:v>
                </c:pt>
                <c:pt idx="2">
                  <c:v>7.117350489799553</c:v>
                </c:pt>
                <c:pt idx="3">
                  <c:v>5.2659393857170809</c:v>
                </c:pt>
                <c:pt idx="4">
                  <c:v>5.2659393857170809</c:v>
                </c:pt>
                <c:pt idx="5">
                  <c:v>5.2659393857170809</c:v>
                </c:pt>
                <c:pt idx="6">
                  <c:v>4.9414179347074532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55-410F-B13F-C0A69E1C9F1D}"/>
            </c:ext>
          </c:extLst>
        </c:ser>
        <c:ser>
          <c:idx val="3"/>
          <c:order val="4"/>
          <c:tx>
            <c:strRef>
              <c:f>'Avoided Costs Summary'!$EN$39</c:f>
              <c:strCache>
                <c:ptCount val="1"/>
                <c:pt idx="0">
                  <c:v>2014 IRP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'Avoided Costs Summary'!$EI$40:$EI$46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Summary'!$EN$47:$EN$53</c:f>
              <c:numCache>
                <c:formatCode>"$"#,##0.00</c:formatCode>
                <c:ptCount val="7"/>
                <c:pt idx="0">
                  <c:v>4.82</c:v>
                </c:pt>
                <c:pt idx="1">
                  <c:v>4.82</c:v>
                </c:pt>
                <c:pt idx="2">
                  <c:v>4.82</c:v>
                </c:pt>
                <c:pt idx="3">
                  <c:v>4.82</c:v>
                </c:pt>
                <c:pt idx="4">
                  <c:v>4.82</c:v>
                </c:pt>
                <c:pt idx="5">
                  <c:v>4.82</c:v>
                </c:pt>
                <c:pt idx="6">
                  <c:v>4.82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55-410F-B13F-C0A69E1C9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549301264"/>
        <c:axId val="-1549314320"/>
      </c:barChart>
      <c:catAx>
        <c:axId val="-154930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14320"/>
        <c:crosses val="autoZero"/>
        <c:auto val="1"/>
        <c:lblAlgn val="ctr"/>
        <c:lblOffset val="100"/>
        <c:noMultiLvlLbl val="0"/>
      </c:catAx>
      <c:valAx>
        <c:axId val="-1549314320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Levelized Costs* (2020$)</a:t>
                </a:r>
              </a:p>
            </c:rich>
          </c:tx>
          <c:layout>
            <c:manualLayout>
              <c:xMode val="edge"/>
              <c:yMode val="edge"/>
              <c:x val="1.0338423091680163E-2"/>
              <c:y val="0.252096519896484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0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57808058966723"/>
          <c:y val="0.88165852032359993"/>
          <c:w val="0.73076475867977642"/>
          <c:h val="5.57296728785467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Share of Annual Load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'Commodity Costs Avoided Detail'!$P$3</c:f>
              <c:strCache>
                <c:ptCount val="1"/>
                <c:pt idx="0">
                  <c:v>Space Heating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'Commodity Costs Avoided Detail'!$Q$2:$AB$2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xVal>
          <c:yVal>
            <c:numRef>
              <c:f>'Commodity Costs Avoided Detail'!$Q$3:$AB$3</c:f>
              <c:numCache>
                <c:formatCode>0.0%</c:formatCode>
                <c:ptCount val="12"/>
                <c:pt idx="0">
                  <c:v>0.20357644474883524</c:v>
                </c:pt>
                <c:pt idx="1">
                  <c:v>0.14547860941347318</c:v>
                </c:pt>
                <c:pt idx="2">
                  <c:v>0.12279570006497546</c:v>
                </c:pt>
                <c:pt idx="3">
                  <c:v>7.0390014268996839E-2</c:v>
                </c:pt>
                <c:pt idx="4">
                  <c:v>3.3400491491967242E-2</c:v>
                </c:pt>
                <c:pt idx="5">
                  <c:v>5.9916737644436684E-3</c:v>
                </c:pt>
                <c:pt idx="6">
                  <c:v>2.4068309470860662E-4</c:v>
                </c:pt>
                <c:pt idx="7">
                  <c:v>1.3157560344665095E-3</c:v>
                </c:pt>
                <c:pt idx="8">
                  <c:v>8.1595836194615964E-3</c:v>
                </c:pt>
                <c:pt idx="9">
                  <c:v>6.2406758042658522E-2</c:v>
                </c:pt>
                <c:pt idx="10">
                  <c:v>0.1285372060784663</c:v>
                </c:pt>
                <c:pt idx="11">
                  <c:v>0.21770707937754671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F50-42AC-9858-C8C146A87F40}"/>
            </c:ext>
          </c:extLst>
        </c:ser>
        <c:ser>
          <c:idx val="1"/>
          <c:order val="1"/>
          <c:tx>
            <c:strRef>
              <c:f>'Commodity Costs Avoided Detail'!$P$4</c:f>
              <c:strCache>
                <c:ptCount val="1"/>
                <c:pt idx="0">
                  <c:v>Water Heating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strRef>
              <c:f>'Commodity Costs Avoided Detail'!$Q$2:$AB$2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xVal>
          <c:yVal>
            <c:numRef>
              <c:f>'Commodity Costs Avoided Detail'!$Q$4:$AB$4</c:f>
              <c:numCache>
                <c:formatCode>0.0%</c:formatCode>
                <c:ptCount val="12"/>
                <c:pt idx="0">
                  <c:v>0.10050761421319797</c:v>
                </c:pt>
                <c:pt idx="1">
                  <c:v>9.6446700507614197E-2</c:v>
                </c:pt>
                <c:pt idx="2">
                  <c:v>9.2385786802030453E-2</c:v>
                </c:pt>
                <c:pt idx="3">
                  <c:v>8.8324873096446682E-2</c:v>
                </c:pt>
                <c:pt idx="4">
                  <c:v>8.3248730964466999E-2</c:v>
                </c:pt>
                <c:pt idx="5">
                  <c:v>7.918781725888327E-2</c:v>
                </c:pt>
                <c:pt idx="6">
                  <c:v>7.3096446700507592E-2</c:v>
                </c:pt>
                <c:pt idx="7">
                  <c:v>6.8020304568527937E-2</c:v>
                </c:pt>
                <c:pt idx="8">
                  <c:v>6.9035532994923848E-2</c:v>
                </c:pt>
                <c:pt idx="9">
                  <c:v>7.3096446700507592E-2</c:v>
                </c:pt>
                <c:pt idx="10">
                  <c:v>8.1218274111675121E-2</c:v>
                </c:pt>
                <c:pt idx="11">
                  <c:v>9.5431472081218258E-2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F50-42AC-9858-C8C146A87F40}"/>
            </c:ext>
          </c:extLst>
        </c:ser>
        <c:ser>
          <c:idx val="2"/>
          <c:order val="2"/>
          <c:tx>
            <c:strRef>
              <c:f>'Commodity Costs Avoided Detail'!$P$5</c:f>
              <c:strCache>
                <c:ptCount val="1"/>
                <c:pt idx="0">
                  <c:v>Other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strRef>
              <c:f>'Commodity Costs Avoided Detail'!$Q$2:$AB$2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xVal>
          <c:yVal>
            <c:numRef>
              <c:f>'Commodity Costs Avoided Detail'!$Q$5:$AB$5</c:f>
              <c:numCache>
                <c:formatCode>0.0%</c:formatCode>
                <c:ptCount val="12"/>
                <c:pt idx="0">
                  <c:v>8.3333333333333343E-2</c:v>
                </c:pt>
                <c:pt idx="1">
                  <c:v>8.3333333333333343E-2</c:v>
                </c:pt>
                <c:pt idx="2">
                  <c:v>8.3333333333333343E-2</c:v>
                </c:pt>
                <c:pt idx="3">
                  <c:v>8.3333333333333343E-2</c:v>
                </c:pt>
                <c:pt idx="4">
                  <c:v>8.3333333333333343E-2</c:v>
                </c:pt>
                <c:pt idx="5">
                  <c:v>8.3333333333333343E-2</c:v>
                </c:pt>
                <c:pt idx="6">
                  <c:v>8.3333333333333343E-2</c:v>
                </c:pt>
                <c:pt idx="7">
                  <c:v>8.3333333333333343E-2</c:v>
                </c:pt>
                <c:pt idx="8">
                  <c:v>8.3333333333333343E-2</c:v>
                </c:pt>
                <c:pt idx="9">
                  <c:v>8.3333333333333315E-2</c:v>
                </c:pt>
                <c:pt idx="10">
                  <c:v>8.3333333333333343E-2</c:v>
                </c:pt>
                <c:pt idx="11">
                  <c:v>8.3333333333333343E-2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F50-42AC-9858-C8C146A87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03967"/>
        <c:axId val="1312159551"/>
      </c:scatterChart>
      <c:valAx>
        <c:axId val="65803967"/>
        <c:scaling>
          <c:orientation val="minMax"/>
          <c:max val="1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159551"/>
        <c:crosses val="autoZero"/>
        <c:crossBetween val="midCat"/>
        <c:majorUnit val="1"/>
      </c:valAx>
      <c:valAx>
        <c:axId val="1312159551"/>
        <c:scaling>
          <c:orientation val="minMax"/>
          <c:max val="0.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03967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Marginal Gas and Transport Costs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2021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strRef>
              <c:f>'Commodity Costs Avoided Detail'!$B$2:$M$2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xVal>
          <c:yVal>
            <c:numRef>
              <c:f>'Commodity Costs Avoided Detail'!$B$3:$M$3</c:f>
              <c:numCache>
                <c:formatCode>"$"#,##0.00</c:formatCode>
                <c:ptCount val="12"/>
                <c:pt idx="0">
                  <c:v>5.2304495332258059</c:v>
                </c:pt>
                <c:pt idx="1">
                  <c:v>5.0853212325000001</c:v>
                </c:pt>
                <c:pt idx="2">
                  <c:v>4.5958852961290342</c:v>
                </c:pt>
                <c:pt idx="3">
                  <c:v>5.4117810799999981</c:v>
                </c:pt>
                <c:pt idx="4">
                  <c:v>5.4442551000000003</c:v>
                </c:pt>
                <c:pt idx="5">
                  <c:v>5.459418699999997</c:v>
                </c:pt>
                <c:pt idx="6">
                  <c:v>5.3432024399999998</c:v>
                </c:pt>
                <c:pt idx="7">
                  <c:v>5.3581106000000025</c:v>
                </c:pt>
                <c:pt idx="8">
                  <c:v>4.9580577300000046</c:v>
                </c:pt>
                <c:pt idx="9">
                  <c:v>5.2889030700000026</c:v>
                </c:pt>
                <c:pt idx="10">
                  <c:v>5.8227776873333319</c:v>
                </c:pt>
                <c:pt idx="11">
                  <c:v>6.5255660219354867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F8-4D23-8FF3-691CC8813678}"/>
            </c:ext>
          </c:extLst>
        </c:ser>
        <c:ser>
          <c:idx val="1"/>
          <c:order val="1"/>
          <c:tx>
            <c:v>2030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strRef>
              <c:f>'Commodity Costs Avoided Detail'!$B$2:$M$2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xVal>
          <c:yVal>
            <c:numRef>
              <c:f>'Commodity Costs Avoided Detail'!$B$12:$M$12</c:f>
              <c:numCache>
                <c:formatCode>"$"#,##0.00</c:formatCode>
                <c:ptCount val="12"/>
                <c:pt idx="0">
                  <c:v>3.6185377900000018</c:v>
                </c:pt>
                <c:pt idx="1">
                  <c:v>3.0552423303571423</c:v>
                </c:pt>
                <c:pt idx="2">
                  <c:v>3.0608341461290332</c:v>
                </c:pt>
                <c:pt idx="3">
                  <c:v>2.8315174506666674</c:v>
                </c:pt>
                <c:pt idx="4">
                  <c:v>2.7507540887096789</c:v>
                </c:pt>
                <c:pt idx="5">
                  <c:v>2.7510775003333325</c:v>
                </c:pt>
                <c:pt idx="6">
                  <c:v>2.7587533316129038</c:v>
                </c:pt>
                <c:pt idx="7">
                  <c:v>2.7664505799999985</c:v>
                </c:pt>
                <c:pt idx="8">
                  <c:v>2.7741693100000004</c:v>
                </c:pt>
                <c:pt idx="9">
                  <c:v>2.8306704403225802</c:v>
                </c:pt>
                <c:pt idx="10">
                  <c:v>3.2116117606666665</c:v>
                </c:pt>
                <c:pt idx="11">
                  <c:v>3.6797246416129052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AF8-4D23-8FF3-691CC8813678}"/>
            </c:ext>
          </c:extLst>
        </c:ser>
        <c:ser>
          <c:idx val="2"/>
          <c:order val="2"/>
          <c:tx>
            <c:v>2040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strRef>
              <c:f>'Commodity Costs Avoided Detail'!$B$2:$M$2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xVal>
          <c:yVal>
            <c:numRef>
              <c:f>'Commodity Costs Avoided Detail'!$B$22:$M$22</c:f>
              <c:numCache>
                <c:formatCode>"$"#,##0.00</c:formatCode>
                <c:ptCount val="12"/>
                <c:pt idx="0">
                  <c:v>3.9352615100000028</c:v>
                </c:pt>
                <c:pt idx="1">
                  <c:v>3.1414795400000011</c:v>
                </c:pt>
                <c:pt idx="2">
                  <c:v>3.1471164061290304</c:v>
                </c:pt>
                <c:pt idx="3">
                  <c:v>2.9765883660000001</c:v>
                </c:pt>
                <c:pt idx="4">
                  <c:v>2.927614636451612</c:v>
                </c:pt>
                <c:pt idx="5">
                  <c:v>2.9326389999999996</c:v>
                </c:pt>
                <c:pt idx="6">
                  <c:v>2.9408214099999985</c:v>
                </c:pt>
                <c:pt idx="7">
                  <c:v>2.9490266522580639</c:v>
                </c:pt>
                <c:pt idx="8">
                  <c:v>2.95725478</c:v>
                </c:pt>
                <c:pt idx="9">
                  <c:v>2.9805443180645166</c:v>
                </c:pt>
                <c:pt idx="10">
                  <c:v>3.5291675633333339</c:v>
                </c:pt>
                <c:pt idx="11">
                  <c:v>3.8351714687096803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AF8-4D23-8FF3-691CC8813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874447"/>
        <c:axId val="1312152479"/>
      </c:scatterChart>
      <c:valAx>
        <c:axId val="682874447"/>
        <c:scaling>
          <c:orientation val="minMax"/>
          <c:max val="1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152479"/>
        <c:crosses val="autoZero"/>
        <c:crossBetween val="midCat"/>
        <c:majorUnit val="1"/>
      </c:valAx>
      <c:valAx>
        <c:axId val="1312152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8744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Social</a:t>
            </a:r>
            <a:r>
              <a:rPr lang="en-US" b="1" baseline="0"/>
              <a:t> Cost of Carbon Designated by HB 1257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23419592261874"/>
          <c:y val="0.13467683369644154"/>
          <c:w val="0.83425507258373255"/>
          <c:h val="0.7675984537880477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'Greenhouse Gas Costs Avoided De'!$A$1:$A$30</c:f>
              <c:numCache>
                <c:formatCode>General</c:formatCode>
                <c:ptCount val="30"/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xVal>
          <c:yVal>
            <c:numRef>
              <c:f>'Greenhouse Gas Costs Avoided De'!$B$1:$B$30</c:f>
              <c:numCache>
                <c:formatCode>"$"#,##0</c:formatCode>
                <c:ptCount val="30"/>
                <c:pt idx="0" formatCode="General">
                  <c:v>0</c:v>
                </c:pt>
                <c:pt idx="1">
                  <c:v>79.775054530792616</c:v>
                </c:pt>
                <c:pt idx="2">
                  <c:v>81.412581796188917</c:v>
                </c:pt>
                <c:pt idx="3">
                  <c:v>83.050109061585232</c:v>
                </c:pt>
                <c:pt idx="4">
                  <c:v>84.687636326981547</c:v>
                </c:pt>
                <c:pt idx="5">
                  <c:v>85.933042743554807</c:v>
                </c:pt>
                <c:pt idx="6">
                  <c:v>87.178449160128054</c:v>
                </c:pt>
                <c:pt idx="7">
                  <c:v>88.423855576701314</c:v>
                </c:pt>
                <c:pt idx="8">
                  <c:v>89.66926199327456</c:v>
                </c:pt>
                <c:pt idx="9">
                  <c:v>90.914668409847849</c:v>
                </c:pt>
                <c:pt idx="10">
                  <c:v>92.160074826421109</c:v>
                </c:pt>
                <c:pt idx="11">
                  <c:v>93.405481242994355</c:v>
                </c:pt>
                <c:pt idx="12">
                  <c:v>94.650887659567616</c:v>
                </c:pt>
                <c:pt idx="13">
                  <c:v>95.896294076140862</c:v>
                </c:pt>
                <c:pt idx="14">
                  <c:v>97.141700492714136</c:v>
                </c:pt>
                <c:pt idx="15">
                  <c:v>98.52136039417131</c:v>
                </c:pt>
                <c:pt idx="16">
                  <c:v>99.901020295628484</c:v>
                </c:pt>
                <c:pt idx="17">
                  <c:v>101.28068019708566</c:v>
                </c:pt>
                <c:pt idx="18">
                  <c:v>102.66034009854285</c:v>
                </c:pt>
                <c:pt idx="19">
                  <c:v>104.04</c:v>
                </c:pt>
                <c:pt idx="20">
                  <c:v>105.26400000000001</c:v>
                </c:pt>
                <c:pt idx="21">
                  <c:v>106.48800000000001</c:v>
                </c:pt>
                <c:pt idx="22">
                  <c:v>107.71200000000002</c:v>
                </c:pt>
                <c:pt idx="23">
                  <c:v>108.93600000000001</c:v>
                </c:pt>
                <c:pt idx="24">
                  <c:v>110.16</c:v>
                </c:pt>
                <c:pt idx="25">
                  <c:v>111.58800000000001</c:v>
                </c:pt>
                <c:pt idx="26">
                  <c:v>113.01600000000002</c:v>
                </c:pt>
                <c:pt idx="27">
                  <c:v>114.44400000000002</c:v>
                </c:pt>
                <c:pt idx="28">
                  <c:v>115.87200000000003</c:v>
                </c:pt>
                <c:pt idx="29">
                  <c:v>117.3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'Greenhouse Gas Planning Costs'!#REF!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332-46BC-9575-E8000A05F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876111"/>
        <c:axId val="1312129183"/>
      </c:scatterChart>
      <c:valAx>
        <c:axId val="152876111"/>
        <c:scaling>
          <c:orientation val="minMax"/>
          <c:max val="2050"/>
          <c:min val="20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129183"/>
        <c:crosses val="autoZero"/>
        <c:crossBetween val="midCat"/>
      </c:valAx>
      <c:valAx>
        <c:axId val="1312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$/Metric Ton CO2</a:t>
                </a:r>
              </a:p>
            </c:rich>
          </c:tx>
          <c:layout>
            <c:manualLayout>
              <c:xMode val="edge"/>
              <c:yMode val="edge"/>
              <c:x val="1.5094795147978384E-2"/>
              <c:y val="0.372978459391922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8761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GHG Costs Avoided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68915978447063"/>
          <c:y val="0.10557432432432433"/>
          <c:w val="0.83643521832498213"/>
          <c:h val="0.69609424877633541"/>
        </c:manualLayout>
      </c:layout>
      <c:areaChart>
        <c:grouping val="stacked"/>
        <c:varyColors val="0"/>
        <c:ser>
          <c:idx val="0"/>
          <c:order val="0"/>
          <c:tx>
            <c:v>Direct Emissions</c:v>
          </c:tx>
          <c:spPr>
            <a:solidFill>
              <a:srgbClr val="00B0F0"/>
            </a:solidFill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'Greenhouse Gas Costs Avoided De'!$A$2:$A$31</c15:sqref>
                  </c15:fullRef>
                </c:ext>
              </c:extLst>
              <c:f>'Greenhouse Gas Costs Avoided De'!$A$2:$A$20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'Greenhouse Gas Costs Avoided De'!$I$2:$I$31</c15:sqref>
                  </c15:fullRef>
                </c:ext>
              </c:extLst>
              <c:f>'Greenhouse Gas Costs Avoided De'!$I$2:$I$20</c:f>
              <c:numCache>
                <c:formatCode>General</c:formatCode>
                <c:ptCount val="19"/>
                <c:pt idx="0">
                  <c:v>6.335026311896709E-2</c:v>
                </c:pt>
                <c:pt idx="1">
                  <c:v>6.335026311896709E-2</c:v>
                </c:pt>
                <c:pt idx="2">
                  <c:v>6.335026311896709E-2</c:v>
                </c:pt>
                <c:pt idx="3">
                  <c:v>6.335026311896709E-2</c:v>
                </c:pt>
                <c:pt idx="4">
                  <c:v>6.335026311896709E-2</c:v>
                </c:pt>
                <c:pt idx="5">
                  <c:v>6.335026311896709E-2</c:v>
                </c:pt>
                <c:pt idx="6">
                  <c:v>6.335026311896709E-2</c:v>
                </c:pt>
                <c:pt idx="7">
                  <c:v>6.335026311896709E-2</c:v>
                </c:pt>
                <c:pt idx="8">
                  <c:v>6.335026311896709E-2</c:v>
                </c:pt>
                <c:pt idx="9">
                  <c:v>6.335026311896709E-2</c:v>
                </c:pt>
                <c:pt idx="10">
                  <c:v>6.335026311896709E-2</c:v>
                </c:pt>
                <c:pt idx="11">
                  <c:v>6.335026311896709E-2</c:v>
                </c:pt>
                <c:pt idx="12">
                  <c:v>6.335026311896709E-2</c:v>
                </c:pt>
                <c:pt idx="13">
                  <c:v>6.335026311896709E-2</c:v>
                </c:pt>
                <c:pt idx="14">
                  <c:v>6.335026311896709E-2</c:v>
                </c:pt>
                <c:pt idx="15">
                  <c:v>6.335026311896709E-2</c:v>
                </c:pt>
                <c:pt idx="16">
                  <c:v>6.335026311896709E-2</c:v>
                </c:pt>
                <c:pt idx="17">
                  <c:v>6.335026311896709E-2</c:v>
                </c:pt>
                <c:pt idx="18">
                  <c:v>6.335026311896709E-2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7-4251-A746-B393BF641BF8}"/>
            </c:ext>
          </c:extLst>
        </c:ser>
        <c:ser>
          <c:idx val="1"/>
          <c:order val="1"/>
          <c:tx>
            <c:strRef>
              <c:f>'Greenhouse Gas Costs Avoided De'!$K$1</c:f>
              <c:strCache>
                <c:ptCount val="1"/>
                <c:pt idx="0">
                  <c:v>Production/Extraction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'Greenhouse Gas Costs Avoided De'!$A$2:$A$31</c15:sqref>
                  </c15:fullRef>
                </c:ext>
              </c:extLst>
              <c:f>'Greenhouse Gas Costs Avoided De'!$A$2:$A$20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'Greenhouse Gas Costs Avoided De'!$J$2:$J$31</c15:sqref>
                  </c15:fullRef>
                </c:ext>
              </c:extLst>
              <c:f>'Greenhouse Gas Costs Avoided De'!$J$2:$J$20</c:f>
              <c:numCache>
                <c:formatCode>"$"#,##0.00</c:formatCode>
                <c:ptCount val="19"/>
                <c:pt idx="0">
                  <c:v>4.2348587697671256</c:v>
                </c:pt>
                <c:pt idx="1">
                  <c:v>4.3217869046506889</c:v>
                </c:pt>
                <c:pt idx="2">
                  <c:v>4.4087150395342523</c:v>
                </c:pt>
                <c:pt idx="3">
                  <c:v>4.4956431744178156</c:v>
                </c:pt>
                <c:pt idx="4">
                  <c:v>4.5617555740416069</c:v>
                </c:pt>
                <c:pt idx="5">
                  <c:v>4.6278679736653974</c:v>
                </c:pt>
                <c:pt idx="6">
                  <c:v>4.6939803732891896</c:v>
                </c:pt>
                <c:pt idx="7">
                  <c:v>4.7600927729129801</c:v>
                </c:pt>
                <c:pt idx="8">
                  <c:v>4.8262051725367732</c:v>
                </c:pt>
                <c:pt idx="9">
                  <c:v>4.8923175721605645</c:v>
                </c:pt>
                <c:pt idx="10">
                  <c:v>4.958429971784355</c:v>
                </c:pt>
                <c:pt idx="11">
                  <c:v>5.0245423714081472</c:v>
                </c:pt>
                <c:pt idx="12">
                  <c:v>5.0906547710319376</c:v>
                </c:pt>
                <c:pt idx="13">
                  <c:v>5.1567671706557299</c:v>
                </c:pt>
                <c:pt idx="14">
                  <c:v>5.2300064165245841</c:v>
                </c:pt>
                <c:pt idx="15">
                  <c:v>5.3032456623934383</c:v>
                </c:pt>
                <c:pt idx="16">
                  <c:v>5.3764849082622925</c:v>
                </c:pt>
                <c:pt idx="17">
                  <c:v>5.4497241541311467</c:v>
                </c:pt>
                <c:pt idx="18">
                  <c:v>5.5229634000000001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7-4251-A746-B393BF641BF8}"/>
            </c:ext>
          </c:extLst>
        </c:ser>
        <c:ser>
          <c:idx val="2"/>
          <c:order val="2"/>
          <c:tx>
            <c:strRef>
              <c:f>'Greenhouse Gas Costs Avoided De'!$L$1</c:f>
              <c:strCache>
                <c:ptCount val="1"/>
                <c:pt idx="0">
                  <c:v>Processing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'Greenhouse Gas Costs Avoided De'!$A$2:$A$31</c15:sqref>
                  </c15:fullRef>
                </c:ext>
              </c:extLst>
              <c:f>'Greenhouse Gas Costs Avoided De'!$A$2:$A$20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'Greenhouse Gas Costs Avoided De'!$K$2:$K$31</c15:sqref>
                  </c15:fullRef>
                </c:ext>
              </c:extLst>
              <c:f>'Greenhouse Gas Costs Avoided De'!$K$2:$K$20</c:f>
              <c:numCache>
                <c:formatCode>"$"#,##0.00</c:formatCode>
                <c:ptCount val="19"/>
                <c:pt idx="0">
                  <c:v>0.34553053819102886</c:v>
                </c:pt>
                <c:pt idx="1">
                  <c:v>0.3526231773705667</c:v>
                </c:pt>
                <c:pt idx="2">
                  <c:v>0.35971581655010459</c:v>
                </c:pt>
                <c:pt idx="3">
                  <c:v>0.36680845572964249</c:v>
                </c:pt>
                <c:pt idx="4">
                  <c:v>0.37220269772566666</c:v>
                </c:pt>
                <c:pt idx="5">
                  <c:v>0.37759693972169078</c:v>
                </c:pt>
                <c:pt idx="6">
                  <c:v>0.38299118171771496</c:v>
                </c:pt>
                <c:pt idx="7">
                  <c:v>0.38838542371373902</c:v>
                </c:pt>
                <c:pt idx="8">
                  <c:v>0.3937796657097633</c:v>
                </c:pt>
                <c:pt idx="9">
                  <c:v>0.39917390770578748</c:v>
                </c:pt>
                <c:pt idx="10">
                  <c:v>0.4045681497018116</c:v>
                </c:pt>
                <c:pt idx="11">
                  <c:v>0.40996239169783577</c:v>
                </c:pt>
                <c:pt idx="12">
                  <c:v>0.41535663369385989</c:v>
                </c:pt>
                <c:pt idx="13">
                  <c:v>0.42075087568988406</c:v>
                </c:pt>
                <c:pt idx="14">
                  <c:v>0.42672661122619854</c:v>
                </c:pt>
                <c:pt idx="15">
                  <c:v>0.43270234676251296</c:v>
                </c:pt>
                <c:pt idx="16">
                  <c:v>0.43867808229882738</c:v>
                </c:pt>
                <c:pt idx="17">
                  <c:v>0.44465381783514191</c:v>
                </c:pt>
                <c:pt idx="18">
                  <c:v>0.45062955337145627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7-4251-A746-B393BF641BF8}"/>
            </c:ext>
          </c:extLst>
        </c:ser>
        <c:ser>
          <c:idx val="3"/>
          <c:order val="3"/>
          <c:tx>
            <c:v>Transmission and Storage</c:v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'Greenhouse Gas Costs Avoided De'!$A$2:$A$31</c15:sqref>
                  </c15:fullRef>
                </c:ext>
              </c:extLst>
              <c:f>'Greenhouse Gas Costs Avoided De'!$A$2:$A$20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'Greenhouse Gas Costs Avoided De'!$L$2:$L$31</c15:sqref>
                  </c15:fullRef>
                </c:ext>
              </c:extLst>
              <c:f>'Greenhouse Gas Costs Avoided De'!$L$2:$L$20</c:f>
              <c:numCache>
                <c:formatCode>"$"#,##0.00</c:formatCode>
                <c:ptCount val="19"/>
                <c:pt idx="0">
                  <c:v>0.24949054137404467</c:v>
                </c:pt>
                <c:pt idx="1">
                  <c:v>0.25461178593302874</c:v>
                </c:pt>
                <c:pt idx="2">
                  <c:v>0.25973303049201291</c:v>
                </c:pt>
                <c:pt idx="3">
                  <c:v>0.26485427505099707</c:v>
                </c:pt>
                <c:pt idx="4">
                  <c:v>0.26874919086057059</c:v>
                </c:pt>
                <c:pt idx="5">
                  <c:v>0.27264410667014399</c:v>
                </c:pt>
                <c:pt idx="6">
                  <c:v>0.27653902247971751</c:v>
                </c:pt>
                <c:pt idx="7">
                  <c:v>0.28043393828929097</c:v>
                </c:pt>
                <c:pt idx="8">
                  <c:v>0.28432885409886455</c:v>
                </c:pt>
                <c:pt idx="9">
                  <c:v>0.28822376990843801</c:v>
                </c:pt>
                <c:pt idx="10">
                  <c:v>0.29211868571801147</c:v>
                </c:pt>
                <c:pt idx="11">
                  <c:v>0.29601360152758499</c:v>
                </c:pt>
                <c:pt idx="12">
                  <c:v>0.29990851733715845</c:v>
                </c:pt>
                <c:pt idx="13">
                  <c:v>0.30380343314673197</c:v>
                </c:pt>
                <c:pt idx="14">
                  <c:v>0.30811821673103834</c:v>
                </c:pt>
                <c:pt idx="15">
                  <c:v>0.31243300031534477</c:v>
                </c:pt>
                <c:pt idx="16">
                  <c:v>0.31674778389965114</c:v>
                </c:pt>
                <c:pt idx="17">
                  <c:v>0.32106256748395756</c:v>
                </c:pt>
                <c:pt idx="18">
                  <c:v>0.32537735106826393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7-4251-A746-B393BF641BF8}"/>
            </c:ext>
          </c:extLst>
        </c:ser>
        <c:ser>
          <c:idx val="4"/>
          <c:order val="4"/>
          <c:tx>
            <c:v>On NW Natural System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'Greenhouse Gas Costs Avoided De'!$A$2:$A$31</c15:sqref>
                  </c15:fullRef>
                </c:ext>
              </c:extLst>
              <c:f>'Greenhouse Gas Costs Avoided De'!$A$2:$A$20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'Greenhouse Gas Costs Avoided De'!$M$2:$M$31</c15:sqref>
                  </c15:fullRef>
                </c:ext>
              </c:extLst>
              <c:f>'Greenhouse Gas Costs Avoided De'!$M$2:$M$20</c:f>
              <c:numCache>
                <c:formatCode>"$"#,##0.00</c:formatCode>
                <c:ptCount val="19"/>
                <c:pt idx="0">
                  <c:v>0.16783953037525615</c:v>
                </c:pt>
                <c:pt idx="1">
                  <c:v>0.17128474026971888</c:v>
                </c:pt>
                <c:pt idx="2">
                  <c:v>0.17472995016418166</c:v>
                </c:pt>
                <c:pt idx="3">
                  <c:v>0.17817516005864445</c:v>
                </c:pt>
                <c:pt idx="4">
                  <c:v>0.18079538300068335</c:v>
                </c:pt>
                <c:pt idx="5">
                  <c:v>0.18341560594272222</c:v>
                </c:pt>
                <c:pt idx="6">
                  <c:v>0.18603582888476111</c:v>
                </c:pt>
                <c:pt idx="7">
                  <c:v>0.18865605182679998</c:v>
                </c:pt>
                <c:pt idx="8">
                  <c:v>0.19127627476883893</c:v>
                </c:pt>
                <c:pt idx="9">
                  <c:v>0.19389649771087783</c:v>
                </c:pt>
                <c:pt idx="10">
                  <c:v>0.1965167206529167</c:v>
                </c:pt>
                <c:pt idx="11">
                  <c:v>0.19913694359495557</c:v>
                </c:pt>
                <c:pt idx="12">
                  <c:v>0.20175716653699444</c:v>
                </c:pt>
                <c:pt idx="13">
                  <c:v>0.20437738947903336</c:v>
                </c:pt>
                <c:pt idx="14">
                  <c:v>0.20728006966270862</c:v>
                </c:pt>
                <c:pt idx="15">
                  <c:v>0.21018274984638388</c:v>
                </c:pt>
                <c:pt idx="16">
                  <c:v>0.21308543003005911</c:v>
                </c:pt>
                <c:pt idx="17">
                  <c:v>0.2159881102137344</c:v>
                </c:pt>
                <c:pt idx="18">
                  <c:v>0.21889079039740963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67-4251-A746-B393BF641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0267855"/>
        <c:axId val="2024389119"/>
      </c:areaChart>
      <c:catAx>
        <c:axId val="11802678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4389119"/>
        <c:crosses val="autoZero"/>
        <c:auto val="1"/>
        <c:lblAlgn val="ctr"/>
        <c:lblOffset val="100"/>
        <c:noMultiLvlLbl val="0"/>
      </c:catAx>
      <c:valAx>
        <c:axId val="2024389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$/Dth</a:t>
                </a:r>
              </a:p>
            </c:rich>
          </c:tx>
          <c:layout>
            <c:manualLayout>
              <c:xMode val="edge"/>
              <c:yMode val="edge"/>
              <c:x val="1.3364993215739487E-2"/>
              <c:y val="0.408147123501454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02678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592940807772162E-2"/>
          <c:y val="0.90674168262750943"/>
          <c:w val="0.96421258061873882"/>
          <c:h val="7.63664254805987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Washington 30-year Levelized Avoided Costs by End Use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54333850258945"/>
          <c:y val="8.0774320722662538E-2"/>
          <c:w val="0.88577186233564953"/>
          <c:h val="0.713547098375363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'Avoided Costs Summary'!$DA$3:$DA$4</c:f>
              <c:strCache>
                <c:ptCount val="2"/>
                <c:pt idx="0">
                  <c:v>Natural Gas and Transport Costs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'Avoided Costs Summary'!$CZ$5:$CZ$11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Summary'!$DA$12:$DA$18</c:f>
              <c:numCache>
                <c:formatCode>"$"#,##0.00</c:formatCode>
                <c:ptCount val="7"/>
                <c:pt idx="0">
                  <c:v>3.5967945484978729</c:v>
                </c:pt>
                <c:pt idx="1">
                  <c:v>3.5967945484978729</c:v>
                </c:pt>
                <c:pt idx="2">
                  <c:v>3.5967945484978729</c:v>
                </c:pt>
                <c:pt idx="3">
                  <c:v>3.2980084480350089</c:v>
                </c:pt>
                <c:pt idx="4">
                  <c:v>3.2634481058329809</c:v>
                </c:pt>
                <c:pt idx="5">
                  <c:v>3.2634481058329818</c:v>
                </c:pt>
                <c:pt idx="6">
                  <c:v>3.2634481058329818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3-4D03-BF25-F78713B47E5D}"/>
            </c:ext>
          </c:extLst>
        </c:ser>
        <c:ser>
          <c:idx val="1"/>
          <c:order val="1"/>
          <c:tx>
            <c:strRef>
              <c:f>'Avoided Costs Summary'!$DB$3:$DB$4</c:f>
              <c:strCache>
                <c:ptCount val="2"/>
                <c:pt idx="0">
                  <c:v>Greenhouse Gas Compliance Costs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'Avoided Costs Summary'!$CZ$5:$CZ$11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Summary'!$DB$12:$DB$18</c:f>
              <c:numCache>
                <c:formatCode>"$"#,##0.00</c:formatCode>
                <c:ptCount val="7"/>
                <c:pt idx="0">
                  <c:v>6.0371505968575834</c:v>
                </c:pt>
                <c:pt idx="1">
                  <c:v>6.0371505968575834</c:v>
                </c:pt>
                <c:pt idx="2">
                  <c:v>6.0371505968575834</c:v>
                </c:pt>
                <c:pt idx="3">
                  <c:v>6.0371505968575834</c:v>
                </c:pt>
                <c:pt idx="4">
                  <c:v>6.0371505968575834</c:v>
                </c:pt>
                <c:pt idx="5">
                  <c:v>6.0371505968575834</c:v>
                </c:pt>
                <c:pt idx="6">
                  <c:v>6.0371505968575834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C3-4D03-BF25-F78713B47E5D}"/>
            </c:ext>
          </c:extLst>
        </c:ser>
        <c:ser>
          <c:idx val="2"/>
          <c:order val="2"/>
          <c:tx>
            <c:strRef>
              <c:f>'Avoided Costs Summary'!$DC$3:$DC$4</c:f>
              <c:strCache>
                <c:ptCount val="2"/>
                <c:pt idx="0">
                  <c:v>Risk Reduction (Hedge) Value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'Avoided Costs Summary'!$CZ$5:$CZ$11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Summary'!$DC$12:$DC$18</c:f>
              <c:numCache>
                <c:formatCode>"$"#,##0.00</c:formatCode>
                <c:ptCount val="7"/>
                <c:pt idx="0">
                  <c:v>0.52020000000000011</c:v>
                </c:pt>
                <c:pt idx="1">
                  <c:v>0.52020000000000011</c:v>
                </c:pt>
                <c:pt idx="2">
                  <c:v>0.52020000000000011</c:v>
                </c:pt>
                <c:pt idx="3">
                  <c:v>0.52020000000000011</c:v>
                </c:pt>
                <c:pt idx="4">
                  <c:v>0.52020000000000011</c:v>
                </c:pt>
                <c:pt idx="5">
                  <c:v>0.52020000000000011</c:v>
                </c:pt>
                <c:pt idx="6">
                  <c:v>0.52020000000000011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C3-4D03-BF25-F78713B47E5D}"/>
            </c:ext>
          </c:extLst>
        </c:ser>
        <c:ser>
          <c:idx val="3"/>
          <c:order val="3"/>
          <c:tx>
            <c:strRef>
              <c:f>'Avoided Costs Summary'!$DD$3:$DD$4</c:f>
              <c:strCache>
                <c:ptCount val="2"/>
                <c:pt idx="0">
                  <c:v>Supply System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'Avoided Costs Summary'!$CZ$5:$CZ$11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Summary'!$DD$12:$DD$18</c:f>
              <c:numCache>
                <c:formatCode>"$"#,##0.00</c:formatCode>
                <c:ptCount val="7"/>
                <c:pt idx="0">
                  <c:v>0.64427383382065839</c:v>
                </c:pt>
                <c:pt idx="1">
                  <c:v>0.64427383382065839</c:v>
                </c:pt>
                <c:pt idx="2">
                  <c:v>0.57472154494229166</c:v>
                </c:pt>
                <c:pt idx="3">
                  <c:v>0.10720049999999996</c:v>
                </c:pt>
                <c:pt idx="4">
                  <c:v>0.11570000000000003</c:v>
                </c:pt>
                <c:pt idx="5">
                  <c:v>8.8999999999999982E-2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C3-4D03-BF25-F78713B47E5D}"/>
            </c:ext>
          </c:extLst>
        </c:ser>
        <c:ser>
          <c:idx val="4"/>
          <c:order val="4"/>
          <c:tx>
            <c:strRef>
              <c:f>'Avoided Costs Summary'!$DE$3:$DE$4</c:f>
              <c:strCache>
                <c:ptCount val="2"/>
                <c:pt idx="0">
                  <c:v>Distribution System Costs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'Avoided Costs Summary'!$CZ$5:$CZ$11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Summary'!$DE$12:$DE$18</c:f>
              <c:numCache>
                <c:formatCode>"$"#,##0.00</c:formatCode>
                <c:ptCount val="7"/>
                <c:pt idx="0">
                  <c:v>7.5177951111777368</c:v>
                </c:pt>
                <c:pt idx="1">
                  <c:v>3.7834655134685313</c:v>
                </c:pt>
                <c:pt idx="2">
                  <c:v>9.0655764575966788</c:v>
                </c:pt>
                <c:pt idx="3">
                  <c:v>1.6989412933261439</c:v>
                </c:pt>
                <c:pt idx="4">
                  <c:v>4.659033599999999</c:v>
                </c:pt>
                <c:pt idx="5">
                  <c:v>0.74664000000000019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C3-4D03-BF25-F78713B47E5D}"/>
            </c:ext>
          </c:extLst>
        </c:ser>
        <c:ser>
          <c:idx val="5"/>
          <c:order val="5"/>
          <c:tx>
            <c:strRef>
              <c:f>'Avoided Costs Summary'!$DF$3:$DF$4</c:f>
              <c:strCache>
                <c:ptCount val="2"/>
                <c:pt idx="0">
                  <c:v>10% Conservation Credit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'Avoided Costs Summary'!$CZ$5:$CZ$11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Summary'!$DF$12:$DF$18</c:f>
              <c:numCache>
                <c:formatCode>"$"#,##0.00</c:formatCode>
                <c:ptCount val="7"/>
                <c:pt idx="0">
                  <c:v>1.1758956524845847</c:v>
                </c:pt>
                <c:pt idx="1">
                  <c:v>0.80246269271366455</c:v>
                </c:pt>
                <c:pt idx="2">
                  <c:v>1.3237185582386428</c:v>
                </c:pt>
                <c:pt idx="3">
                  <c:v>0.51529217717004594</c:v>
                </c:pt>
                <c:pt idx="4">
                  <c:v>0.80887482939568967</c:v>
                </c:pt>
                <c:pt idx="5">
                  <c:v>0.41496546939569001</c:v>
                </c:pt>
                <c:pt idx="6">
                  <c:v>0.33140146939568998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C3-4D03-BF25-F78713B47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661354784"/>
        <c:axId val="-1661353152"/>
      </c:barChart>
      <c:catAx>
        <c:axId val="-166135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61353152"/>
        <c:crosses val="autoZero"/>
        <c:auto val="1"/>
        <c:lblAlgn val="ctr"/>
        <c:lblOffset val="100"/>
        <c:noMultiLvlLbl val="0"/>
      </c:catAx>
      <c:valAx>
        <c:axId val="-1661353152"/>
        <c:scaling>
          <c:orientation val="minMax"/>
          <c:max val="18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2019$/Dth</a:t>
                </a:r>
              </a:p>
            </c:rich>
          </c:tx>
          <c:layout>
            <c:manualLayout>
              <c:xMode val="edge"/>
              <c:yMode val="edge"/>
              <c:x val="1.294133722465866E-2"/>
              <c:y val="0.342188476701722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6135478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277913620061177E-2"/>
          <c:y val="0.91720705116957457"/>
          <c:w val="0.89501177995400383"/>
          <c:h val="8.0513719056962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Oregon</a:t>
            </a:r>
            <a:r>
              <a:rPr lang="en-US" baseline="0"/>
              <a:t> Total Avoided Costs by End Use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29903428340826E-2"/>
          <c:y val="0.1228959575878065"/>
          <c:w val="0.8807327495862779"/>
          <c:h val="0.796508873269568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'Avoided Costs Summary'!$BZ$3:$BZ$4</c:f>
              <c:strCache>
                <c:ptCount val="2"/>
                <c:pt idx="0">
                  <c:v>Residential Space Heating </c:v>
                </c:pt>
              </c:strCache>
            </c:strRef>
          </c:tx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Summary'!$BY$5:$BY$23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xVal>
          <c:yVal>
            <c:numRef>
              <c:f>'Avoided Costs Summary'!$BZ$5:$BZ$23</c:f>
              <c:numCache>
                <c:formatCode>"$"#,##0.00</c:formatCode>
                <c:ptCount val="19"/>
                <c:pt idx="0">
                  <c:v>18.019103077334062</c:v>
                </c:pt>
                <c:pt idx="1">
                  <c:v>17.398250924942754</c:v>
                </c:pt>
                <c:pt idx="2">
                  <c:v>15.885920158137992</c:v>
                </c:pt>
                <c:pt idx="3">
                  <c:v>15.944107739572182</c:v>
                </c:pt>
                <c:pt idx="4">
                  <c:v>15.620015202320371</c:v>
                </c:pt>
                <c:pt idx="5">
                  <c:v>15.578263229353954</c:v>
                </c:pt>
                <c:pt idx="6">
                  <c:v>15.768937726414187</c:v>
                </c:pt>
                <c:pt idx="7">
                  <c:v>15.867680465989391</c:v>
                </c:pt>
                <c:pt idx="8">
                  <c:v>15.953014518626148</c:v>
                </c:pt>
                <c:pt idx="9">
                  <c:v>16.043594937256646</c:v>
                </c:pt>
                <c:pt idx="10">
                  <c:v>16.085524113381837</c:v>
                </c:pt>
                <c:pt idx="11">
                  <c:v>17.767239087568264</c:v>
                </c:pt>
                <c:pt idx="12">
                  <c:v>17.466668088374661</c:v>
                </c:pt>
                <c:pt idx="13">
                  <c:v>17.142877293010532</c:v>
                </c:pt>
                <c:pt idx="14">
                  <c:v>22.603656653325558</c:v>
                </c:pt>
                <c:pt idx="15">
                  <c:v>22.185109908170904</c:v>
                </c:pt>
                <c:pt idx="16">
                  <c:v>21.700536920512953</c:v>
                </c:pt>
                <c:pt idx="17">
                  <c:v>21.22968547693473</c:v>
                </c:pt>
                <c:pt idx="18">
                  <c:v>20.811162633621763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CE-470D-B00F-584431A4DF03}"/>
            </c:ext>
          </c:extLst>
        </c:ser>
        <c:ser>
          <c:idx val="1"/>
          <c:order val="1"/>
          <c:tx>
            <c:strRef>
              <c:f>'Avoided Costs Summary'!$CA$3:$CA$4</c:f>
              <c:strCache>
                <c:ptCount val="2"/>
                <c:pt idx="0">
                  <c:v>Residential Hearths and Fireplaces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Summary'!$BY$5:$BY$23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xVal>
          <c:yVal>
            <c:numRef>
              <c:f>'Avoided Costs Summary'!$CA$5:$CA$23</c:f>
              <c:numCache>
                <c:formatCode>"$"#,##0.00</c:formatCode>
                <c:ptCount val="19"/>
                <c:pt idx="0">
                  <c:v>15.538732789893878</c:v>
                </c:pt>
                <c:pt idx="1">
                  <c:v>14.91788063750257</c:v>
                </c:pt>
                <c:pt idx="2">
                  <c:v>13.405549870697811</c:v>
                </c:pt>
                <c:pt idx="3">
                  <c:v>13.463737452131998</c:v>
                </c:pt>
                <c:pt idx="4">
                  <c:v>13.139644914880186</c:v>
                </c:pt>
                <c:pt idx="5">
                  <c:v>13.09789294191377</c:v>
                </c:pt>
                <c:pt idx="6">
                  <c:v>13.288567438974002</c:v>
                </c:pt>
                <c:pt idx="7">
                  <c:v>13.387310178549207</c:v>
                </c:pt>
                <c:pt idx="8">
                  <c:v>13.472644231185964</c:v>
                </c:pt>
                <c:pt idx="9">
                  <c:v>13.563224649816462</c:v>
                </c:pt>
                <c:pt idx="10">
                  <c:v>13.605153825941656</c:v>
                </c:pt>
                <c:pt idx="11">
                  <c:v>15.286868800128083</c:v>
                </c:pt>
                <c:pt idx="12">
                  <c:v>14.986297800934476</c:v>
                </c:pt>
                <c:pt idx="13">
                  <c:v>14.662507005570347</c:v>
                </c:pt>
                <c:pt idx="14">
                  <c:v>20.123286365885374</c:v>
                </c:pt>
                <c:pt idx="15">
                  <c:v>19.70473962073072</c:v>
                </c:pt>
                <c:pt idx="16">
                  <c:v>19.220166633072768</c:v>
                </c:pt>
                <c:pt idx="17">
                  <c:v>18.749315189494549</c:v>
                </c:pt>
                <c:pt idx="18">
                  <c:v>18.330792346181582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CE-470D-B00F-584431A4DF03}"/>
            </c:ext>
          </c:extLst>
        </c:ser>
        <c:ser>
          <c:idx val="2"/>
          <c:order val="2"/>
          <c:tx>
            <c:strRef>
              <c:f>'Avoided Costs Summary'!$CB$3:$CB$4</c:f>
              <c:strCache>
                <c:ptCount val="2"/>
                <c:pt idx="0">
                  <c:v>Commercial Space Heating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Summary'!$BY$5:$BY$23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xVal>
          <c:yVal>
            <c:numRef>
              <c:f>'Avoided Costs Summary'!$CB$5:$CB$23</c:f>
              <c:numCache>
                <c:formatCode>"$"#,##0.00</c:formatCode>
                <c:ptCount val="19"/>
                <c:pt idx="0">
                  <c:v>18.970643770809509</c:v>
                </c:pt>
                <c:pt idx="1">
                  <c:v>18.349791618418202</c:v>
                </c:pt>
                <c:pt idx="2">
                  <c:v>16.837460851613443</c:v>
                </c:pt>
                <c:pt idx="3">
                  <c:v>16.895648433047633</c:v>
                </c:pt>
                <c:pt idx="4">
                  <c:v>16.571555895795822</c:v>
                </c:pt>
                <c:pt idx="5">
                  <c:v>16.529803922829402</c:v>
                </c:pt>
                <c:pt idx="6">
                  <c:v>16.720478419889634</c:v>
                </c:pt>
                <c:pt idx="7">
                  <c:v>16.819221159464838</c:v>
                </c:pt>
                <c:pt idx="8">
                  <c:v>16.904555212101599</c:v>
                </c:pt>
                <c:pt idx="9">
                  <c:v>16.995135630732094</c:v>
                </c:pt>
                <c:pt idx="10">
                  <c:v>17.037064806857288</c:v>
                </c:pt>
                <c:pt idx="11">
                  <c:v>18.718779781043715</c:v>
                </c:pt>
                <c:pt idx="12">
                  <c:v>18.418208781850108</c:v>
                </c:pt>
                <c:pt idx="13">
                  <c:v>18.094417986485983</c:v>
                </c:pt>
                <c:pt idx="14">
                  <c:v>23.555197346801005</c:v>
                </c:pt>
                <c:pt idx="15">
                  <c:v>23.136650601646359</c:v>
                </c:pt>
                <c:pt idx="16">
                  <c:v>22.6520776139884</c:v>
                </c:pt>
                <c:pt idx="17">
                  <c:v>22.181226170410181</c:v>
                </c:pt>
                <c:pt idx="18">
                  <c:v>21.762703327097217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CE-470D-B00F-584431A4DF03}"/>
            </c:ext>
          </c:extLst>
        </c:ser>
        <c:ser>
          <c:idx val="3"/>
          <c:order val="3"/>
          <c:tx>
            <c:strRef>
              <c:f>'Avoided Costs Summary'!$CC$3:$CC$4</c:f>
              <c:strCache>
                <c:ptCount val="2"/>
                <c:pt idx="0">
                  <c:v>Water Heating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Summary'!$BY$5:$BY$23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xVal>
          <c:yVal>
            <c:numRef>
              <c:f>'Avoided Costs Summary'!$CC$5:$CC$23</c:f>
              <c:numCache>
                <c:formatCode>"$"#,##0.00</c:formatCode>
                <c:ptCount val="19"/>
                <c:pt idx="0">
                  <c:v>13.422007931968473</c:v>
                </c:pt>
                <c:pt idx="1">
                  <c:v>12.357340623453108</c:v>
                </c:pt>
                <c:pt idx="2">
                  <c:v>10.974027891637171</c:v>
                </c:pt>
                <c:pt idx="3">
                  <c:v>11.355829051827449</c:v>
                </c:pt>
                <c:pt idx="4">
                  <c:v>10.910687306206651</c:v>
                </c:pt>
                <c:pt idx="5">
                  <c:v>10.91398475966739</c:v>
                </c:pt>
                <c:pt idx="6">
                  <c:v>11.072569591323937</c:v>
                </c:pt>
                <c:pt idx="7">
                  <c:v>11.131816751435444</c:v>
                </c:pt>
                <c:pt idx="8">
                  <c:v>11.187772579472021</c:v>
                </c:pt>
                <c:pt idx="9">
                  <c:v>11.31968872798884</c:v>
                </c:pt>
                <c:pt idx="10">
                  <c:v>11.316586204002274</c:v>
                </c:pt>
                <c:pt idx="11">
                  <c:v>13.057838040710195</c:v>
                </c:pt>
                <c:pt idx="12">
                  <c:v>12.738444226965843</c:v>
                </c:pt>
                <c:pt idx="13">
                  <c:v>12.410017745920626</c:v>
                </c:pt>
                <c:pt idx="14">
                  <c:v>17.875520073096961</c:v>
                </c:pt>
                <c:pt idx="15">
                  <c:v>17.447409273743197</c:v>
                </c:pt>
                <c:pt idx="16">
                  <c:v>16.997887736297429</c:v>
                </c:pt>
                <c:pt idx="17">
                  <c:v>16.544444243426874</c:v>
                </c:pt>
                <c:pt idx="18">
                  <c:v>16.098958702492368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CE-470D-B00F-584431A4DF03}"/>
            </c:ext>
          </c:extLst>
        </c:ser>
        <c:ser>
          <c:idx val="4"/>
          <c:order val="4"/>
          <c:tx>
            <c:strRef>
              <c:f>'Avoided Costs Summary'!$CD$3:$CD$4</c:f>
              <c:strCache>
                <c:ptCount val="2"/>
                <c:pt idx="0">
                  <c:v>Cooking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Summary'!$BY$5:$BY$23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xVal>
          <c:yVal>
            <c:numRef>
              <c:f>'Avoided Costs Summary'!$CD$5:$CD$23</c:f>
              <c:numCache>
                <c:formatCode>"$"#,##0.00</c:formatCode>
                <c:ptCount val="19"/>
                <c:pt idx="0">
                  <c:v>15.389890871686337</c:v>
                </c:pt>
                <c:pt idx="1">
                  <c:v>14.22677398742545</c:v>
                </c:pt>
                <c:pt idx="2">
                  <c:v>12.874485998607707</c:v>
                </c:pt>
                <c:pt idx="3">
                  <c:v>13.313651871410908</c:v>
                </c:pt>
                <c:pt idx="4">
                  <c:v>12.850995760255017</c:v>
                </c:pt>
                <c:pt idx="5">
                  <c:v>12.865844794456542</c:v>
                </c:pt>
                <c:pt idx="6">
                  <c:v>13.017578323135663</c:v>
                </c:pt>
                <c:pt idx="7">
                  <c:v>13.071642265293011</c:v>
                </c:pt>
                <c:pt idx="8">
                  <c:v>13.123382876510931</c:v>
                </c:pt>
                <c:pt idx="9">
                  <c:v>13.261170568954334</c:v>
                </c:pt>
                <c:pt idx="10">
                  <c:v>13.252757041301702</c:v>
                </c:pt>
                <c:pt idx="11">
                  <c:v>15.002131642970163</c:v>
                </c:pt>
                <c:pt idx="12">
                  <c:v>14.678206163862278</c:v>
                </c:pt>
                <c:pt idx="13">
                  <c:v>14.349511470825359</c:v>
                </c:pt>
                <c:pt idx="14">
                  <c:v>19.816764218149547</c:v>
                </c:pt>
                <c:pt idx="15">
                  <c:v>19.386390709935213</c:v>
                </c:pt>
                <c:pt idx="16">
                  <c:v>18.940916448389967</c:v>
                </c:pt>
                <c:pt idx="17">
                  <c:v>18.495133062173387</c:v>
                </c:pt>
                <c:pt idx="18">
                  <c:v>18.047598632412726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CE-470D-B00F-584431A4DF03}"/>
            </c:ext>
          </c:extLst>
        </c:ser>
        <c:ser>
          <c:idx val="5"/>
          <c:order val="5"/>
          <c:tx>
            <c:strRef>
              <c:f>'Avoided Costs Summary'!$CE$3:$CE$4</c:f>
              <c:strCache>
                <c:ptCount val="2"/>
                <c:pt idx="0">
                  <c:v>Process Load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Summary'!$BY$5:$BY$23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xVal>
          <c:yVal>
            <c:numRef>
              <c:f>'Avoided Costs Summary'!$CE$5:$CE$23</c:f>
              <c:numCache>
                <c:formatCode>"$"#,##0.00</c:formatCode>
                <c:ptCount val="19"/>
                <c:pt idx="0">
                  <c:v>12.761879111686337</c:v>
                </c:pt>
                <c:pt idx="1">
                  <c:v>11.598762227425446</c:v>
                </c:pt>
                <c:pt idx="2">
                  <c:v>10.246474238607707</c:v>
                </c:pt>
                <c:pt idx="3">
                  <c:v>10.685640111410908</c:v>
                </c:pt>
                <c:pt idx="4">
                  <c:v>10.222984000255018</c:v>
                </c:pt>
                <c:pt idx="5">
                  <c:v>10.237833034456543</c:v>
                </c:pt>
                <c:pt idx="6">
                  <c:v>10.389566563135663</c:v>
                </c:pt>
                <c:pt idx="7">
                  <c:v>10.443630505293012</c:v>
                </c:pt>
                <c:pt idx="8">
                  <c:v>10.495371116510931</c:v>
                </c:pt>
                <c:pt idx="9">
                  <c:v>10.633158808954335</c:v>
                </c:pt>
                <c:pt idx="10">
                  <c:v>10.624745281301703</c:v>
                </c:pt>
                <c:pt idx="11">
                  <c:v>12.374119882970163</c:v>
                </c:pt>
                <c:pt idx="12">
                  <c:v>12.050194403862275</c:v>
                </c:pt>
                <c:pt idx="13">
                  <c:v>11.721499710825359</c:v>
                </c:pt>
                <c:pt idx="14">
                  <c:v>17.188752458149551</c:v>
                </c:pt>
                <c:pt idx="15">
                  <c:v>16.758378949935214</c:v>
                </c:pt>
                <c:pt idx="16">
                  <c:v>16.312904688389963</c:v>
                </c:pt>
                <c:pt idx="17">
                  <c:v>15.867121302173388</c:v>
                </c:pt>
                <c:pt idx="18">
                  <c:v>15.419586872412722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CE-470D-B00F-584431A4DF03}"/>
            </c:ext>
          </c:extLst>
        </c:ser>
        <c:ser>
          <c:idx val="6"/>
          <c:order val="6"/>
          <c:tx>
            <c:strRef>
              <c:f>'Avoided Costs Summary'!$CF$3:$CF$4</c:f>
              <c:strCache>
                <c:ptCount val="2"/>
                <c:pt idx="0">
                  <c:v>Interruptible Load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Summary'!$BY$5:$BY$23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xVal>
          <c:yVal>
            <c:numRef>
              <c:f>'Avoided Costs Summary'!$CF$5:$CF$23</c:f>
              <c:numCache>
                <c:formatCode>"$"#,##0.00</c:formatCode>
                <c:ptCount val="19"/>
                <c:pt idx="0">
                  <c:v>12.168055111686339</c:v>
                </c:pt>
                <c:pt idx="1">
                  <c:v>11.004938227425448</c:v>
                </c:pt>
                <c:pt idx="2">
                  <c:v>9.6526502386077055</c:v>
                </c:pt>
                <c:pt idx="3">
                  <c:v>10.091816111410907</c:v>
                </c:pt>
                <c:pt idx="4">
                  <c:v>9.6291600002550197</c:v>
                </c:pt>
                <c:pt idx="5">
                  <c:v>9.6440090344565448</c:v>
                </c:pt>
                <c:pt idx="6">
                  <c:v>9.7957425631356614</c:v>
                </c:pt>
                <c:pt idx="7">
                  <c:v>9.8498065052930102</c:v>
                </c:pt>
                <c:pt idx="8">
                  <c:v>9.9015471165109332</c:v>
                </c:pt>
                <c:pt idx="9">
                  <c:v>10.039334808954333</c:v>
                </c:pt>
                <c:pt idx="10">
                  <c:v>10.030921281301705</c:v>
                </c:pt>
                <c:pt idx="11">
                  <c:v>11.780295882970162</c:v>
                </c:pt>
                <c:pt idx="12">
                  <c:v>11.456370403862277</c:v>
                </c:pt>
                <c:pt idx="13">
                  <c:v>11.127675710825358</c:v>
                </c:pt>
                <c:pt idx="14">
                  <c:v>16.59492845814955</c:v>
                </c:pt>
                <c:pt idx="15">
                  <c:v>16.164554949935216</c:v>
                </c:pt>
                <c:pt idx="16">
                  <c:v>15.719080688389965</c:v>
                </c:pt>
                <c:pt idx="17">
                  <c:v>15.27329730217339</c:v>
                </c:pt>
                <c:pt idx="18">
                  <c:v>14.825762872412724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CE-470D-B00F-584431A4D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61358048"/>
        <c:axId val="-1900299504"/>
      </c:scatterChart>
      <c:valAx>
        <c:axId val="-1661358048"/>
        <c:scaling>
          <c:orientation val="minMax"/>
          <c:max val="2040"/>
          <c:min val="20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00299504"/>
        <c:crosses val="autoZero"/>
        <c:crossBetween val="midCat"/>
      </c:valAx>
      <c:valAx>
        <c:axId val="-1900299504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61358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593510584716852E-2"/>
          <c:y val="0.15134077425212505"/>
          <c:w val="0.36204142539393547"/>
          <c:h val="0.248924301957285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Avoided Costs by End Use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657765605386284"/>
          <c:y val="0.1228959575878065"/>
          <c:w val="0.82585745622376916"/>
          <c:h val="0.80023611611172862"/>
        </c:manualLayout>
      </c:layout>
      <c:scatterChart>
        <c:scatterStyle val="lineMarker"/>
        <c:varyColors val="0"/>
        <c:ser>
          <c:idx val="2"/>
          <c:order val="0"/>
          <c:tx>
            <c:strRef>
              <c:f>'Avoided Costs Summary'!$CI$3:$CI$4</c:f>
              <c:strCache>
                <c:ptCount val="2"/>
                <c:pt idx="0">
                  <c:v>Commercial Space Heating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Summary'!$BY$5:$BY$23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xVal>
          <c:yVal>
            <c:numRef>
              <c:f>'Avoided Costs Summary'!$CI$5:$CI$23</c:f>
              <c:numCache>
                <c:formatCode>"$"#,##0.00</c:formatCode>
                <c:ptCount val="19"/>
                <c:pt idx="0">
                  <c:v>22.241943331748971</c:v>
                </c:pt>
                <c:pt idx="1">
                  <c:v>21.671743962484999</c:v>
                </c:pt>
                <c:pt idx="2">
                  <c:v>20.210065978807581</c:v>
                </c:pt>
                <c:pt idx="3">
                  <c:v>20.318906343369111</c:v>
                </c:pt>
                <c:pt idx="4">
                  <c:v>20.020625630297264</c:v>
                </c:pt>
                <c:pt idx="5">
                  <c:v>20.004685481510812</c:v>
                </c:pt>
                <c:pt idx="6">
                  <c:v>20.221171802751009</c:v>
                </c:pt>
                <c:pt idx="7">
                  <c:v>20.345726366506181</c:v>
                </c:pt>
                <c:pt idx="8">
                  <c:v>20.456872243322906</c:v>
                </c:pt>
                <c:pt idx="9">
                  <c:v>20.573264486133368</c:v>
                </c:pt>
                <c:pt idx="10">
                  <c:v>20.641005486438527</c:v>
                </c:pt>
                <c:pt idx="11">
                  <c:v>20.781647284804919</c:v>
                </c:pt>
                <c:pt idx="12">
                  <c:v>20.842973109791281</c:v>
                </c:pt>
                <c:pt idx="13">
                  <c:v>20.891079138607118</c:v>
                </c:pt>
                <c:pt idx="14">
                  <c:v>20.996260316694144</c:v>
                </c:pt>
                <c:pt idx="15">
                  <c:v>21.108115389311493</c:v>
                </c:pt>
                <c:pt idx="16">
                  <c:v>21.144944219425536</c:v>
                </c:pt>
                <c:pt idx="17">
                  <c:v>21.221494593619322</c:v>
                </c:pt>
                <c:pt idx="18">
                  <c:v>21.468373568078352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7C-47FC-865F-7102911E2C4E}"/>
            </c:ext>
          </c:extLst>
        </c:ser>
        <c:ser>
          <c:idx val="0"/>
          <c:order val="1"/>
          <c:tx>
            <c:strRef>
              <c:f>'Avoided Costs Summary'!$CG$3:$CG$4</c:f>
              <c:strCache>
                <c:ptCount val="2"/>
                <c:pt idx="0">
                  <c:v>Residential Space Heating 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Summary'!$BY$5:$BY$23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xVal>
          <c:yVal>
            <c:numRef>
              <c:f>'Avoided Costs Summary'!$CG$5:$CG$23</c:f>
              <c:numCache>
                <c:formatCode>"$"#,##0.00</c:formatCode>
                <c:ptCount val="19"/>
                <c:pt idx="0">
                  <c:v>20.615891368454335</c:v>
                </c:pt>
                <c:pt idx="1">
                  <c:v>20.045691999190364</c:v>
                </c:pt>
                <c:pt idx="2">
                  <c:v>18.584014015512945</c:v>
                </c:pt>
                <c:pt idx="3">
                  <c:v>18.692854380074472</c:v>
                </c:pt>
                <c:pt idx="4">
                  <c:v>18.394573667002629</c:v>
                </c:pt>
                <c:pt idx="5">
                  <c:v>18.378633518216173</c:v>
                </c:pt>
                <c:pt idx="6">
                  <c:v>18.595119839456373</c:v>
                </c:pt>
                <c:pt idx="7">
                  <c:v>18.719674403211542</c:v>
                </c:pt>
                <c:pt idx="8">
                  <c:v>18.830820280028266</c:v>
                </c:pt>
                <c:pt idx="9">
                  <c:v>18.947212522838729</c:v>
                </c:pt>
                <c:pt idx="10">
                  <c:v>19.014953523143888</c:v>
                </c:pt>
                <c:pt idx="11">
                  <c:v>19.155595321510283</c:v>
                </c:pt>
                <c:pt idx="12">
                  <c:v>19.216921146496642</c:v>
                </c:pt>
                <c:pt idx="13">
                  <c:v>19.265027175312479</c:v>
                </c:pt>
                <c:pt idx="14">
                  <c:v>19.370208353399505</c:v>
                </c:pt>
                <c:pt idx="15">
                  <c:v>19.482063426016857</c:v>
                </c:pt>
                <c:pt idx="16">
                  <c:v>19.518892256130904</c:v>
                </c:pt>
                <c:pt idx="17">
                  <c:v>19.595442630324683</c:v>
                </c:pt>
                <c:pt idx="18">
                  <c:v>19.842321604783713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7C-47FC-865F-7102911E2C4E}"/>
            </c:ext>
          </c:extLst>
        </c:ser>
        <c:ser>
          <c:idx val="1"/>
          <c:order val="2"/>
          <c:tx>
            <c:strRef>
              <c:f>'Avoided Costs Summary'!$CH$3:$CH$4</c:f>
              <c:strCache>
                <c:ptCount val="2"/>
                <c:pt idx="0">
                  <c:v>Residential Hearths and Fireplaces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Summary'!$BY$5:$BY$23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xVal>
          <c:yVal>
            <c:numRef>
              <c:f>'Avoided Costs Summary'!$CH$5:$CH$23</c:f>
              <c:numCache>
                <c:formatCode>"$"#,##0.00</c:formatCode>
                <c:ptCount val="19"/>
                <c:pt idx="0">
                  <c:v>16.50812881097421</c:v>
                </c:pt>
                <c:pt idx="1">
                  <c:v>15.937929441710242</c:v>
                </c:pt>
                <c:pt idx="2">
                  <c:v>14.476251458032824</c:v>
                </c:pt>
                <c:pt idx="3">
                  <c:v>14.58509182259435</c:v>
                </c:pt>
                <c:pt idx="4">
                  <c:v>14.286811109522503</c:v>
                </c:pt>
                <c:pt idx="5">
                  <c:v>14.270870960736051</c:v>
                </c:pt>
                <c:pt idx="6">
                  <c:v>14.487357281976251</c:v>
                </c:pt>
                <c:pt idx="7">
                  <c:v>14.61191184573142</c:v>
                </c:pt>
                <c:pt idx="8">
                  <c:v>14.723057722548145</c:v>
                </c:pt>
                <c:pt idx="9">
                  <c:v>14.839449965358607</c:v>
                </c:pt>
                <c:pt idx="10">
                  <c:v>14.907190965663766</c:v>
                </c:pt>
                <c:pt idx="11">
                  <c:v>15.047832764030158</c:v>
                </c:pt>
                <c:pt idx="12">
                  <c:v>15.10915858901652</c:v>
                </c:pt>
                <c:pt idx="13">
                  <c:v>15.157264617832357</c:v>
                </c:pt>
                <c:pt idx="14">
                  <c:v>15.262445795919387</c:v>
                </c:pt>
                <c:pt idx="15">
                  <c:v>15.374300868536732</c:v>
                </c:pt>
                <c:pt idx="16">
                  <c:v>15.411129698650779</c:v>
                </c:pt>
                <c:pt idx="17">
                  <c:v>15.487680072844562</c:v>
                </c:pt>
                <c:pt idx="18">
                  <c:v>15.734559047303591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7C-47FC-865F-7102911E2C4E}"/>
            </c:ext>
          </c:extLst>
        </c:ser>
        <c:ser>
          <c:idx val="3"/>
          <c:order val="3"/>
          <c:tx>
            <c:strRef>
              <c:f>'Avoided Costs Summary'!$CJ$3:$CJ$4</c:f>
              <c:strCache>
                <c:ptCount val="2"/>
                <c:pt idx="0">
                  <c:v>Water Heating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Summary'!$BY$5:$BY$23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xVal>
          <c:yVal>
            <c:numRef>
              <c:f>'Avoided Costs Summary'!$CJ$5:$CJ$23</c:f>
              <c:numCache>
                <c:formatCode>"$"#,##0.00</c:formatCode>
                <c:ptCount val="19"/>
                <c:pt idx="0">
                  <c:v>13.482984245090581</c:v>
                </c:pt>
                <c:pt idx="1">
                  <c:v>12.468969719702553</c:v>
                </c:pt>
                <c:pt idx="2">
                  <c:v>11.136309771013956</c:v>
                </c:pt>
                <c:pt idx="3">
                  <c:v>11.56876371433157</c:v>
                </c:pt>
                <c:pt idx="4">
                  <c:v>11.14943379289074</c:v>
                </c:pt>
                <c:pt idx="5">
                  <c:v>11.178543070531443</c:v>
                </c:pt>
                <c:pt idx="6">
                  <c:v>11.362939726367959</c:v>
                </c:pt>
                <c:pt idx="7">
                  <c:v>11.447998710659434</c:v>
                </c:pt>
                <c:pt idx="8">
                  <c:v>11.529766362875975</c:v>
                </c:pt>
                <c:pt idx="9">
                  <c:v>11.687494335572762</c:v>
                </c:pt>
                <c:pt idx="10">
                  <c:v>11.71020363576616</c:v>
                </c:pt>
                <c:pt idx="11">
                  <c:v>11.910382296654046</c:v>
                </c:pt>
                <c:pt idx="12">
                  <c:v>11.952885307089659</c:v>
                </c:pt>
                <c:pt idx="13">
                  <c:v>11.996355650224409</c:v>
                </c:pt>
                <c:pt idx="14">
                  <c:v>12.106259795172747</c:v>
                </c:pt>
                <c:pt idx="15">
                  <c:v>12.208550813590985</c:v>
                </c:pt>
                <c:pt idx="16">
                  <c:v>12.280431093917215</c:v>
                </c:pt>
                <c:pt idx="17">
                  <c:v>12.374389418818662</c:v>
                </c:pt>
                <c:pt idx="18">
                  <c:v>12.594305695656153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7C-47FC-865F-7102911E2C4E}"/>
            </c:ext>
          </c:extLst>
        </c:ser>
        <c:ser>
          <c:idx val="4"/>
          <c:order val="4"/>
          <c:tx>
            <c:strRef>
              <c:f>'Avoided Costs Summary'!$CK$3:$CK$4</c:f>
              <c:strCache>
                <c:ptCount val="2"/>
                <c:pt idx="0">
                  <c:v>Cooking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Summary'!$BY$5:$BY$23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xVal>
          <c:yVal>
            <c:numRef>
              <c:f>'Avoided Costs Summary'!$CK$5:$CK$23</c:f>
              <c:numCache>
                <c:formatCode>"$"#,##0.00</c:formatCode>
                <c:ptCount val="19"/>
                <c:pt idx="0">
                  <c:v>16.740852766541998</c:v>
                </c:pt>
                <c:pt idx="1">
                  <c:v>15.628388665408448</c:v>
                </c:pt>
                <c:pt idx="2">
                  <c:v>14.326753459718045</c:v>
                </c:pt>
                <c:pt idx="3">
                  <c:v>14.816572115648583</c:v>
                </c:pt>
                <c:pt idx="4">
                  <c:v>14.37972782867266</c:v>
                </c:pt>
                <c:pt idx="5">
                  <c:v>14.42038868705415</c:v>
                </c:pt>
                <c:pt idx="6">
                  <c:v>14.597934039913238</c:v>
                </c:pt>
                <c:pt idx="7">
                  <c:v>14.677809806250551</c:v>
                </c:pt>
                <c:pt idx="8">
                  <c:v>14.755362241648438</c:v>
                </c:pt>
                <c:pt idx="9">
                  <c:v>14.918961758271806</c:v>
                </c:pt>
                <c:pt idx="10">
                  <c:v>14.936360054799142</c:v>
                </c:pt>
                <c:pt idx="11">
                  <c:v>15.144661480647567</c:v>
                </c:pt>
                <c:pt idx="12">
                  <c:v>15.182632825719644</c:v>
                </c:pt>
                <c:pt idx="13">
                  <c:v>15.225834956862695</c:v>
                </c:pt>
                <c:pt idx="14">
                  <c:v>15.337489521958886</c:v>
                </c:pt>
                <c:pt idx="15">
                  <c:v>15.437517831516551</c:v>
                </c:pt>
                <c:pt idx="16">
                  <c:v>15.5134453877433</c:v>
                </c:pt>
                <c:pt idx="17">
                  <c:v>15.615063819298726</c:v>
                </c:pt>
                <c:pt idx="18">
                  <c:v>15.832931207310061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7C-47FC-865F-7102911E2C4E}"/>
            </c:ext>
          </c:extLst>
        </c:ser>
        <c:ser>
          <c:idx val="5"/>
          <c:order val="5"/>
          <c:tx>
            <c:strRef>
              <c:f>'Avoided Costs Summary'!$CL$3:$CL$4</c:f>
              <c:strCache>
                <c:ptCount val="2"/>
                <c:pt idx="0">
                  <c:v>Process Load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Summary'!$BY$5:$BY$23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xVal>
          <c:yVal>
            <c:numRef>
              <c:f>'Avoided Costs Summary'!$CL$5:$CL$23</c:f>
              <c:numCache>
                <c:formatCode>"$"#,##0.00</c:formatCode>
                <c:ptCount val="19"/>
                <c:pt idx="0">
                  <c:v>12.407849806541996</c:v>
                </c:pt>
                <c:pt idx="1">
                  <c:v>11.295385705408446</c:v>
                </c:pt>
                <c:pt idx="2">
                  <c:v>9.9937504997180433</c:v>
                </c:pt>
                <c:pt idx="3">
                  <c:v>10.483569155648581</c:v>
                </c:pt>
                <c:pt idx="4">
                  <c:v>10.046724868672658</c:v>
                </c:pt>
                <c:pt idx="5">
                  <c:v>10.087385727054148</c:v>
                </c:pt>
                <c:pt idx="6">
                  <c:v>10.264931079913236</c:v>
                </c:pt>
                <c:pt idx="7">
                  <c:v>10.344806846250549</c:v>
                </c:pt>
                <c:pt idx="8">
                  <c:v>10.422359281648436</c:v>
                </c:pt>
                <c:pt idx="9">
                  <c:v>10.585958798271808</c:v>
                </c:pt>
                <c:pt idx="10">
                  <c:v>10.60335709479914</c:v>
                </c:pt>
                <c:pt idx="11">
                  <c:v>10.811658520647565</c:v>
                </c:pt>
                <c:pt idx="12">
                  <c:v>10.849629865719645</c:v>
                </c:pt>
                <c:pt idx="13">
                  <c:v>10.892831996862697</c:v>
                </c:pt>
                <c:pt idx="14">
                  <c:v>11.004486561958888</c:v>
                </c:pt>
                <c:pt idx="15">
                  <c:v>11.104514871516553</c:v>
                </c:pt>
                <c:pt idx="16">
                  <c:v>11.180442427743298</c:v>
                </c:pt>
                <c:pt idx="17">
                  <c:v>11.282060859298724</c:v>
                </c:pt>
                <c:pt idx="18">
                  <c:v>11.499928247310059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7C-47FC-865F-7102911E2C4E}"/>
            </c:ext>
          </c:extLst>
        </c:ser>
        <c:ser>
          <c:idx val="6"/>
          <c:order val="6"/>
          <c:tx>
            <c:strRef>
              <c:f>'Avoided Costs Summary'!$CM$3:$CM$4</c:f>
              <c:strCache>
                <c:ptCount val="2"/>
                <c:pt idx="0">
                  <c:v>Interruptible Load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Summary'!$BY$5:$BY$23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xVal>
          <c:yVal>
            <c:numRef>
              <c:f>'Avoided Costs Summary'!$CM$5:$CM$23</c:f>
              <c:numCache>
                <c:formatCode>"$"#,##0.00</c:formatCode>
                <c:ptCount val="19"/>
                <c:pt idx="0">
                  <c:v>11.488645806541999</c:v>
                </c:pt>
                <c:pt idx="1">
                  <c:v>10.376181705408445</c:v>
                </c:pt>
                <c:pt idx="2">
                  <c:v>9.0745464997180463</c:v>
                </c:pt>
                <c:pt idx="3">
                  <c:v>9.5643651556485842</c:v>
                </c:pt>
                <c:pt idx="4">
                  <c:v>9.1275208686726614</c:v>
                </c:pt>
                <c:pt idx="5">
                  <c:v>9.1681817270541508</c:v>
                </c:pt>
                <c:pt idx="6">
                  <c:v>9.3457270799132353</c:v>
                </c:pt>
                <c:pt idx="7">
                  <c:v>9.4256028462505519</c:v>
                </c:pt>
                <c:pt idx="8">
                  <c:v>9.5031552816484393</c:v>
                </c:pt>
                <c:pt idx="9">
                  <c:v>9.6667547982718069</c:v>
                </c:pt>
                <c:pt idx="10">
                  <c:v>9.6841530947991394</c:v>
                </c:pt>
                <c:pt idx="11">
                  <c:v>9.8924545206475649</c:v>
                </c:pt>
                <c:pt idx="12">
                  <c:v>9.9304258657196449</c:v>
                </c:pt>
                <c:pt idx="13">
                  <c:v>9.973627996862696</c:v>
                </c:pt>
                <c:pt idx="14">
                  <c:v>10.085282561958888</c:v>
                </c:pt>
                <c:pt idx="15">
                  <c:v>10.185310871516553</c:v>
                </c:pt>
                <c:pt idx="16">
                  <c:v>10.261238427743301</c:v>
                </c:pt>
                <c:pt idx="17">
                  <c:v>10.362856859298727</c:v>
                </c:pt>
                <c:pt idx="18">
                  <c:v>10.580724247310059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7C-47FC-865F-7102911E2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00302224"/>
        <c:axId val="-1978123792"/>
      </c:scatterChart>
      <c:valAx>
        <c:axId val="-1900302224"/>
        <c:scaling>
          <c:orientation val="minMax"/>
          <c:max val="2040"/>
          <c:min val="20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78123792"/>
        <c:crosses val="autoZero"/>
        <c:crossBetween val="midCat"/>
      </c:valAx>
      <c:valAx>
        <c:axId val="-1978123792"/>
        <c:scaling>
          <c:orientation val="minMax"/>
          <c:max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2019 $/Dth</a:t>
                </a:r>
              </a:p>
            </c:rich>
          </c:tx>
          <c:layout>
            <c:manualLayout>
              <c:xMode val="edge"/>
              <c:yMode val="edge"/>
              <c:x val="1.9373121838031113E-2"/>
              <c:y val="0.45395344468621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0030222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15922058655712"/>
          <c:y val="0.61895138356214419"/>
          <c:w val="0.40726444520521893"/>
          <c:h val="0.2650777748208909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Oregon Levelized Avoided Costs: 2020 vs 2018 IRP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97314424094778"/>
          <c:y val="0.10883215962441314"/>
          <c:w val="0.87522766491205173"/>
          <c:h val="0.674745619385604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'Avoided Costs Summary'!$DA$37:$DA$39</c:f>
              <c:strCache>
                <c:ptCount val="3"/>
                <c:pt idx="0">
                  <c:v>2022 IRP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'Avoided Costs Summary'!$CY$40:$CZ$53</c15:sqref>
                  </c15:fullRef>
                </c:ext>
              </c:extLst>
              <c:f>'Avoided Costs Summary'!$CY$40:$CZ$46</c:f>
              <c:multiLvlStrCache>
                <c:ptCount val="7"/>
                <c:lvl>
                  <c:pt idx="0">
                    <c:v>Residential Space Heating </c:v>
                  </c:pt>
                  <c:pt idx="1">
                    <c:v>Residential Hearths and Fireplaces</c:v>
                  </c:pt>
                  <c:pt idx="2">
                    <c:v>Commercial Space Heating</c:v>
                  </c:pt>
                  <c:pt idx="3">
                    <c:v>Water Heating</c:v>
                  </c:pt>
                  <c:pt idx="4">
                    <c:v>Cooking</c:v>
                  </c:pt>
                  <c:pt idx="5">
                    <c:v>Process Load</c:v>
                  </c:pt>
                  <c:pt idx="6">
                    <c:v>Interruptible Loads</c:v>
                  </c:pt>
                </c:lvl>
                <c:lvl>
                  <c:pt idx="0">
                    <c:v>Oregon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Summary'!$DA$40:$DA$53</c15:sqref>
                  </c15:fullRef>
                </c:ext>
              </c:extLst>
              <c:f>'Avoided Costs Summary'!$DA$40:$DA$46</c:f>
              <c:numCache>
                <c:formatCode>"$"#,##0.00</c:formatCode>
                <c:ptCount val="7"/>
                <c:pt idx="0">
                  <c:v>17.748283772259903</c:v>
                </c:pt>
                <c:pt idx="1">
                  <c:v>15.267913484819722</c:v>
                </c:pt>
                <c:pt idx="2">
                  <c:v>18.699824465735354</c:v>
                </c:pt>
                <c:pt idx="3">
                  <c:v>13.017457521798139</c:v>
                </c:pt>
                <c:pt idx="4">
                  <c:v>14.956881114546672</c:v>
                </c:pt>
                <c:pt idx="5">
                  <c:v>12.328869354546672</c:v>
                </c:pt>
                <c:pt idx="6">
                  <c:v>11.735045354546672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9-4B01-AD6F-9F4838859615}"/>
            </c:ext>
          </c:extLst>
        </c:ser>
        <c:ser>
          <c:idx val="1"/>
          <c:order val="1"/>
          <c:tx>
            <c:v>2018 IRP Update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'Avoided Costs Summary'!$CY$40:$CZ$53</c15:sqref>
                  </c15:fullRef>
                </c:ext>
              </c:extLst>
              <c:f>'Avoided Costs Summary'!$CY$40:$CZ$46</c:f>
              <c:multiLvlStrCache>
                <c:ptCount val="7"/>
                <c:lvl>
                  <c:pt idx="0">
                    <c:v>Residential Space Heating </c:v>
                  </c:pt>
                  <c:pt idx="1">
                    <c:v>Residential Hearths and Fireplaces</c:v>
                  </c:pt>
                  <c:pt idx="2">
                    <c:v>Commercial Space Heating</c:v>
                  </c:pt>
                  <c:pt idx="3">
                    <c:v>Water Heating</c:v>
                  </c:pt>
                  <c:pt idx="4">
                    <c:v>Cooking</c:v>
                  </c:pt>
                  <c:pt idx="5">
                    <c:v>Process Load</c:v>
                  </c:pt>
                  <c:pt idx="6">
                    <c:v>Interruptible Loads</c:v>
                  </c:pt>
                </c:lvl>
                <c:lvl>
                  <c:pt idx="0">
                    <c:v>Oregon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Summary'!$DB$40:$DB$53</c15:sqref>
                  </c15:fullRef>
                </c:ext>
              </c:extLst>
              <c:f>'Avoided Costs Summary'!$DB$40:$DB$46</c:f>
              <c:numCache>
                <c:formatCode>"$"#,##0.00</c:formatCode>
                <c:ptCount val="7"/>
                <c:pt idx="0">
                  <c:v>14.574846863809482</c:v>
                </c:pt>
                <c:pt idx="1">
                  <c:v>12.373737782209485</c:v>
                </c:pt>
                <c:pt idx="2">
                  <c:v>15.44305335555665</c:v>
                </c:pt>
                <c:pt idx="3">
                  <c:v>10.74282523327596</c:v>
                </c:pt>
                <c:pt idx="4">
                  <c:v>12.687623244220509</c:v>
                </c:pt>
                <c:pt idx="5">
                  <c:v>10.0699063730513</c:v>
                </c:pt>
                <c:pt idx="6">
                  <c:v>9.5103986691539237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9-4B01-AD6F-9F4838859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549303440"/>
        <c:axId val="-1549309968"/>
      </c:barChart>
      <c:catAx>
        <c:axId val="-154930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09968"/>
        <c:crosses val="autoZero"/>
        <c:auto val="1"/>
        <c:lblAlgn val="ctr"/>
        <c:lblOffset val="100"/>
        <c:noMultiLvlLbl val="0"/>
      </c:catAx>
      <c:valAx>
        <c:axId val="-1549309968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2020 Levelized $</a:t>
                </a:r>
              </a:p>
            </c:rich>
          </c:tx>
          <c:layout>
            <c:manualLayout>
              <c:xMode val="edge"/>
              <c:yMode val="edge"/>
              <c:x val="1.3398517799515229E-2"/>
              <c:y val="0.34029980407378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0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35397010156339"/>
          <c:y val="0.90353550400794491"/>
          <c:w val="0.51369257103731603"/>
          <c:h val="6.712182544083396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Washington Levelized Avoided Costs: 2020 vs 2018 IRP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40734535842592"/>
          <c:y val="0.10883215962441314"/>
          <c:w val="0.87479328381824617"/>
          <c:h val="0.674745619385604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'Avoided Costs Summary'!$DA$37:$DA$39</c:f>
              <c:strCache>
                <c:ptCount val="3"/>
                <c:pt idx="0">
                  <c:v>2022 IRP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'Avoided Costs Summary'!$CY$40:$CZ$53</c15:sqref>
                  </c15:fullRef>
                </c:ext>
              </c:extLst>
              <c:f>'Avoided Costs Summary'!$CY$47:$CZ$53</c:f>
              <c:multiLvlStrCache>
                <c:ptCount val="7"/>
                <c:lvl>
                  <c:pt idx="0">
                    <c:v>Residential Space Heating </c:v>
                  </c:pt>
                  <c:pt idx="1">
                    <c:v>Residential Hearths and Fireplaces</c:v>
                  </c:pt>
                  <c:pt idx="2">
                    <c:v>Commercial Space Heating</c:v>
                  </c:pt>
                  <c:pt idx="3">
                    <c:v>Water Heating</c:v>
                  </c:pt>
                  <c:pt idx="4">
                    <c:v>Cooking</c:v>
                  </c:pt>
                  <c:pt idx="5">
                    <c:v>Process Load</c:v>
                  </c:pt>
                  <c:pt idx="6">
                    <c:v>Interruptible Loads</c:v>
                  </c:pt>
                </c:lvl>
                <c:lvl>
                  <c:pt idx="0">
                    <c:v>Washington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Summary'!$DA$40:$DA$53</c15:sqref>
                  </c15:fullRef>
                </c:ext>
              </c:extLst>
              <c:f>'Avoided Costs Summary'!$DA$47:$DA$53</c:f>
              <c:numCache>
                <c:formatCode>"$"#,##0.00</c:formatCode>
                <c:ptCount val="7"/>
                <c:pt idx="0">
                  <c:v>19.492109742838437</c:v>
                </c:pt>
                <c:pt idx="1">
                  <c:v>15.384347185358312</c:v>
                </c:pt>
                <c:pt idx="2">
                  <c:v>21.118161706133069</c:v>
                </c:pt>
                <c:pt idx="3">
                  <c:v>12.176793015388782</c:v>
                </c:pt>
                <c:pt idx="4">
                  <c:v>15.404407132086254</c:v>
                </c:pt>
                <c:pt idx="5">
                  <c:v>11.071404172086256</c:v>
                </c:pt>
                <c:pt idx="6">
                  <c:v>10.152200172086255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3-4356-A131-94F794ADFA50}"/>
            </c:ext>
          </c:extLst>
        </c:ser>
        <c:ser>
          <c:idx val="1"/>
          <c:order val="1"/>
          <c:tx>
            <c:v>2018 IRP Update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'Avoided Costs Summary'!$CY$40:$CZ$53</c15:sqref>
                  </c15:fullRef>
                </c:ext>
              </c:extLst>
              <c:f>'Avoided Costs Summary'!$CY$47:$CZ$53</c:f>
              <c:multiLvlStrCache>
                <c:ptCount val="7"/>
                <c:lvl>
                  <c:pt idx="0">
                    <c:v>Residential Space Heating </c:v>
                  </c:pt>
                  <c:pt idx="1">
                    <c:v>Residential Hearths and Fireplaces</c:v>
                  </c:pt>
                  <c:pt idx="2">
                    <c:v>Commercial Space Heating</c:v>
                  </c:pt>
                  <c:pt idx="3">
                    <c:v>Water Heating</c:v>
                  </c:pt>
                  <c:pt idx="4">
                    <c:v>Cooking</c:v>
                  </c:pt>
                  <c:pt idx="5">
                    <c:v>Process Load</c:v>
                  </c:pt>
                  <c:pt idx="6">
                    <c:v>Interruptible Loads</c:v>
                  </c:pt>
                </c:lvl>
                <c:lvl>
                  <c:pt idx="0">
                    <c:v>Washington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Summary'!$DB$40:$DB$53</c15:sqref>
                  </c15:fullRef>
                </c:ext>
              </c:extLst>
              <c:f>'Avoided Costs Summary'!$DB$47:$DB$53</c:f>
              <c:numCache>
                <c:formatCode>"$"#,##0.00</c:formatCode>
                <c:ptCount val="7"/>
                <c:pt idx="0">
                  <c:v>18.161667457309093</c:v>
                </c:pt>
                <c:pt idx="1">
                  <c:v>14.516391783709096</c:v>
                </c:pt>
                <c:pt idx="2">
                  <c:v>19.628442997056258</c:v>
                </c:pt>
                <c:pt idx="3">
                  <c:v>12.168524233625771</c:v>
                </c:pt>
                <c:pt idx="4">
                  <c:v>15.404273721133267</c:v>
                </c:pt>
                <c:pt idx="5">
                  <c:v>11.081565649964059</c:v>
                </c:pt>
                <c:pt idx="6">
                  <c:v>10.196677946066684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3-4356-A131-94F794ADF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549305072"/>
        <c:axId val="-1549300720"/>
      </c:barChart>
      <c:catAx>
        <c:axId val="-154930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00720"/>
        <c:crosses val="autoZero"/>
        <c:auto val="1"/>
        <c:lblAlgn val="ctr"/>
        <c:lblOffset val="100"/>
        <c:noMultiLvlLbl val="0"/>
      </c:catAx>
      <c:valAx>
        <c:axId val="-154930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2020 Levelized $</a:t>
                </a:r>
              </a:p>
            </c:rich>
          </c:tx>
          <c:layout>
            <c:manualLayout>
              <c:xMode val="edge"/>
              <c:yMode val="edge"/>
              <c:x val="1.3398517799515229E-2"/>
              <c:y val="0.34029980407378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0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562498578492248"/>
          <c:y val="0.90060117925400163"/>
          <c:w val="0.38198647179501177"/>
          <c:h val="6.712182544083396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Residential Space Heating - Change from 2018 IRP Update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68890430841739"/>
          <c:y val="0.11871583248625714"/>
          <c:w val="0.86731462207070875"/>
          <c:h val="0.704633886082158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'Avoided Costs Summary'!$DQ$47</c:f>
              <c:strCache>
                <c:ptCount val="1"/>
                <c:pt idx="0">
                  <c:v>Residential Space Heating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DB-47B8-B165-E3B94DB2CDE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DB-47B8-B165-E3B94DB2CDE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4DB-47B8-B165-E3B94DB2CDE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4DB-47B8-B165-E3B94DB2CDE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4DB-47B8-B165-E3B94DB2CDE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4DB-47B8-B165-E3B94DB2CDE6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4DB-47B8-B165-E3B94DB2CDE6}"/>
              </c:ext>
            </c:extLst>
          </c:dPt>
          <c:cat>
            <c:strRef>
              <c:f>'Avoided Costs Summary'!$DR$37:$DX$39</c:f>
              <c:strCache>
                <c:ptCount val="7"/>
                <c:pt idx="0">
                  <c:v> Commodity and Transport</c:v>
                </c:pt>
                <c:pt idx="1">
                  <c:v>Greenhouse Gas Compliance</c:v>
                </c:pt>
                <c:pt idx="2">
                  <c:v>Commodity Risk Reduction Cost</c:v>
                </c:pt>
                <c:pt idx="3">
                  <c:v>Supply Capacity</c:v>
                </c:pt>
                <c:pt idx="4">
                  <c:v>Distribution System Capacity</c:v>
                </c:pt>
                <c:pt idx="5">
                  <c:v>10% Conservation Credit</c:v>
                </c:pt>
                <c:pt idx="6">
                  <c:v>Total Change</c:v>
                </c:pt>
              </c:strCache>
            </c:strRef>
          </c:cat>
          <c:val>
            <c:numRef>
              <c:f>'Avoided Costs Summary'!$DR$47:$DX$47</c:f>
              <c:numCache>
                <c:formatCode>"$"#,##0.00</c:formatCode>
                <c:ptCount val="7"/>
                <c:pt idx="0">
                  <c:v>2.0189014524319759E-2</c:v>
                </c:pt>
                <c:pt idx="1">
                  <c:v>0.10075059685758259</c:v>
                </c:pt>
                <c:pt idx="2">
                  <c:v>-1.4799999999999924E-2</c:v>
                </c:pt>
                <c:pt idx="3">
                  <c:v>0.26238047654084307</c:v>
                </c:pt>
                <c:pt idx="4">
                  <c:v>0.65661271117774511</c:v>
                </c:pt>
                <c:pt idx="5">
                  <c:v>6.0088519071220592E-2</c:v>
                </c:pt>
                <c:pt idx="6">
                  <c:v>0.81373202338367889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4DB-47B8-B165-E3B94DB2C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49300176"/>
        <c:axId val="-1549304528"/>
      </c:barChart>
      <c:catAx>
        <c:axId val="-154930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04528"/>
        <c:crosses val="autoZero"/>
        <c:auto val="1"/>
        <c:lblAlgn val="ctr"/>
        <c:lblOffset val="100"/>
        <c:noMultiLvlLbl val="0"/>
      </c:catAx>
      <c:valAx>
        <c:axId val="-154930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Levelized 2020$</a:t>
                </a:r>
              </a:p>
            </c:rich>
          </c:tx>
          <c:layout>
            <c:manualLayout>
              <c:xMode val="edge"/>
              <c:yMode val="edge"/>
              <c:x val="9.8079933494903179E-3"/>
              <c:y val="0.345912288420594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0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Oregon Change in Levelized Avoided Costs: 2022</a:t>
            </a:r>
            <a:r>
              <a:rPr lang="en-US" b="1" baseline="0"/>
              <a:t> IRP</a:t>
            </a:r>
            <a:r>
              <a:rPr lang="en-US" b="1"/>
              <a:t> vs 2018 IRP Update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843961152453203E-2"/>
          <c:y val="0.1075072463768116"/>
          <c:w val="0.88917968491924781"/>
          <c:h val="0.678646125756019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'Avoided Costs Summary'!$DR$37</c:f>
              <c:strCache>
                <c:ptCount val="1"/>
                <c:pt idx="0">
                  <c:v> Commodity and Transport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Summary'!$DQ$40:$DQ$53</c15:sqref>
                  </c15:fullRef>
                </c:ext>
              </c:extLst>
              <c:f>'Avoided Costs Summary'!$DQ$40:$DQ$46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Summary'!$DR$40:$DR$53</c15:sqref>
                  </c15:fullRef>
                </c:ext>
              </c:extLst>
              <c:f>'Avoided Costs Summary'!$DR$40:$DR$46</c:f>
              <c:numCache>
                <c:formatCode>"$"#,##0.00</c:formatCode>
                <c:ptCount val="7"/>
                <c:pt idx="0">
                  <c:v>-0.26229785634227643</c:v>
                </c:pt>
                <c:pt idx="1">
                  <c:v>-0.26229785634227643</c:v>
                </c:pt>
                <c:pt idx="2">
                  <c:v>-0.26229785634227643</c:v>
                </c:pt>
                <c:pt idx="3">
                  <c:v>-0.33229493887758377</c:v>
                </c:pt>
                <c:pt idx="4">
                  <c:v>-0.34014661657647549</c:v>
                </c:pt>
                <c:pt idx="5">
                  <c:v>-0.34014661657647549</c:v>
                </c:pt>
                <c:pt idx="6">
                  <c:v>-0.34014661657647549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6-42F1-AD52-C44FBC167463}"/>
            </c:ext>
          </c:extLst>
        </c:ser>
        <c:ser>
          <c:idx val="1"/>
          <c:order val="1"/>
          <c:tx>
            <c:strRef>
              <c:f>'Avoided Costs Summary'!$DS$37</c:f>
              <c:strCache>
                <c:ptCount val="1"/>
                <c:pt idx="0">
                  <c:v>Greenhouse Gas Compliance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Summary'!$DQ$40:$DQ$53</c15:sqref>
                  </c15:fullRef>
                </c:ext>
              </c:extLst>
              <c:f>'Avoided Costs Summary'!$DQ$40:$DQ$46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Summary'!$DS$40:$DS$53</c15:sqref>
                  </c15:fullRef>
                </c:ext>
              </c:extLst>
              <c:f>'Avoided Costs Summary'!$DS$40:$DS$46</c:f>
              <c:numCache>
                <c:formatCode>"$"#,##0.00</c:formatCode>
                <c:ptCount val="7"/>
                <c:pt idx="0">
                  <c:v>2.5942788917586119</c:v>
                </c:pt>
                <c:pt idx="1">
                  <c:v>2.5942788917586119</c:v>
                </c:pt>
                <c:pt idx="2">
                  <c:v>2.5942788917586119</c:v>
                </c:pt>
                <c:pt idx="3">
                  <c:v>2.5942788917586119</c:v>
                </c:pt>
                <c:pt idx="4">
                  <c:v>2.5942788917586119</c:v>
                </c:pt>
                <c:pt idx="5">
                  <c:v>2.5942788917586119</c:v>
                </c:pt>
                <c:pt idx="6">
                  <c:v>2.5942788917586119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6-42F1-AD52-C44FBC167463}"/>
            </c:ext>
          </c:extLst>
        </c:ser>
        <c:ser>
          <c:idx val="2"/>
          <c:order val="2"/>
          <c:tx>
            <c:strRef>
              <c:f>'Avoided Costs Summary'!$DT$37</c:f>
              <c:strCache>
                <c:ptCount val="1"/>
                <c:pt idx="0">
                  <c:v>Commodity Risk Reduction Cost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Summary'!$DQ$40:$DQ$53</c15:sqref>
                  </c15:fullRef>
                </c:ext>
              </c:extLst>
              <c:f>'Avoided Costs Summary'!$DQ$40:$DQ$46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Summary'!$DT$40:$DT$53</c15:sqref>
                  </c15:fullRef>
                </c:ext>
              </c:extLst>
              <c:f>'Avoided Costs Summary'!$DT$40:$DT$46</c:f>
              <c:numCache>
                <c:formatCode>"$"#,##0.00</c:formatCode>
                <c:ptCount val="7"/>
                <c:pt idx="0">
                  <c:v>-1.4799999999999924E-2</c:v>
                </c:pt>
                <c:pt idx="1">
                  <c:v>0.52020000000000011</c:v>
                </c:pt>
                <c:pt idx="2">
                  <c:v>0.52020000000000011</c:v>
                </c:pt>
                <c:pt idx="3">
                  <c:v>0.52020000000000011</c:v>
                </c:pt>
                <c:pt idx="4">
                  <c:v>0.52020000000000011</c:v>
                </c:pt>
                <c:pt idx="5">
                  <c:v>0.52020000000000011</c:v>
                </c:pt>
                <c:pt idx="6">
                  <c:v>0.52020000000000011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26-42F1-AD52-C44FBC167463}"/>
            </c:ext>
          </c:extLst>
        </c:ser>
        <c:ser>
          <c:idx val="3"/>
          <c:order val="3"/>
          <c:tx>
            <c:strRef>
              <c:f>'Avoided Costs Summary'!$DU$37</c:f>
              <c:strCache>
                <c:ptCount val="1"/>
                <c:pt idx="0">
                  <c:v>Supply Capacity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Summary'!$DQ$40:$DQ$53</c15:sqref>
                  </c15:fullRef>
                </c:ext>
              </c:extLst>
              <c:f>'Avoided Costs Summary'!$DQ$40:$DQ$46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Summary'!$DU$40:$DU$53</c15:sqref>
                  </c15:fullRef>
                </c:ext>
              </c:extLst>
              <c:f>'Avoided Costs Summary'!$DU$40:$DU$46</c:f>
              <c:numCache>
                <c:formatCode>"$"#,##0.00</c:formatCode>
                <c:ptCount val="7"/>
                <c:pt idx="0">
                  <c:v>0.26238047654084307</c:v>
                </c:pt>
                <c:pt idx="1">
                  <c:v>0.26238047654084307</c:v>
                </c:pt>
                <c:pt idx="2">
                  <c:v>0.2340553114597293</c:v>
                </c:pt>
                <c:pt idx="3">
                  <c:v>3.5595495510034603E-2</c:v>
                </c:pt>
                <c:pt idx="4">
                  <c:v>3.8417720351220458E-2</c:v>
                </c:pt>
                <c:pt idx="5">
                  <c:v>2.9552092577861858E-2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26-42F1-AD52-C44FBC167463}"/>
            </c:ext>
          </c:extLst>
        </c:ser>
        <c:ser>
          <c:idx val="4"/>
          <c:order val="4"/>
          <c:tx>
            <c:strRef>
              <c:f>'Avoided Costs Summary'!$DV$37</c:f>
              <c:strCache>
                <c:ptCount val="1"/>
                <c:pt idx="0">
                  <c:v>Distribution System Capacity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Summary'!$DQ$40:$DQ$53</c15:sqref>
                  </c15:fullRef>
                </c:ext>
              </c:extLst>
              <c:f>'Avoided Costs Summary'!$DQ$40:$DQ$46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Summary'!$DV$40:$DV$53</c15:sqref>
                  </c15:fullRef>
                </c:ext>
              </c:extLst>
              <c:f>'Avoided Costs Summary'!$DV$40:$DV$46</c:f>
              <c:numCache>
                <c:formatCode>"$"#,##0.00</c:formatCode>
                <c:ptCount val="7"/>
                <c:pt idx="0">
                  <c:v>0.39647926002809175</c:v>
                </c:pt>
                <c:pt idx="1">
                  <c:v>0.19953531387034662</c:v>
                </c:pt>
                <c:pt idx="2">
                  <c:v>0.47810734297505153</c:v>
                </c:pt>
                <c:pt idx="3">
                  <c:v>-2.918642673273486E-2</c:v>
                </c:pt>
                <c:pt idx="4">
                  <c:v>-8.0038399999996734E-2</c:v>
                </c:pt>
                <c:pt idx="5">
                  <c:v>-1.2826666666666042E-2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26-42F1-AD52-C44FBC167463}"/>
            </c:ext>
          </c:extLst>
        </c:ser>
        <c:ser>
          <c:idx val="5"/>
          <c:order val="5"/>
          <c:tx>
            <c:strRef>
              <c:f>'Avoided Costs Summary'!$DW$37</c:f>
              <c:strCache>
                <c:ptCount val="1"/>
                <c:pt idx="0">
                  <c:v>10% Conservation Credit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Summary'!$DQ$40:$DQ$53</c15:sqref>
                  </c15:fullRef>
                </c:ext>
              </c:extLst>
              <c:f>'Avoided Costs Summary'!$DQ$40:$DQ$46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Summary'!$DW$40:$DW$53</c15:sqref>
                  </c15:fullRef>
                </c:ext>
              </c:extLst>
              <c:f>'Avoided Costs Summary'!$DW$40:$DW$46</c:f>
              <c:numCache>
                <c:formatCode>"$"#,##0.00</c:formatCode>
                <c:ptCount val="7"/>
                <c:pt idx="0">
                  <c:v>3.40751739562557E-2</c:v>
                </c:pt>
                <c:pt idx="1">
                  <c:v>1.4380779340481209E-2</c:v>
                </c:pt>
                <c:pt idx="2">
                  <c:v>3.9405465742839874E-2</c:v>
                </c:pt>
                <c:pt idx="3">
                  <c:v>-3.8382648256318042E-2</c:v>
                </c:pt>
                <c:pt idx="4">
                  <c:v>-4.3915109649574124E-2</c:v>
                </c:pt>
                <c:pt idx="5">
                  <c:v>-3.8080499093577247E-2</c:v>
                </c:pt>
                <c:pt idx="6">
                  <c:v>-3.9753041684696677E-2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26-42F1-AD52-C44FBC167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49299632"/>
        <c:axId val="-1549312144"/>
      </c:barChart>
      <c:catAx>
        <c:axId val="-154929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12144"/>
        <c:crosses val="autoZero"/>
        <c:auto val="1"/>
        <c:lblAlgn val="ctr"/>
        <c:lblOffset val="100"/>
        <c:noMultiLvlLbl val="0"/>
      </c:catAx>
      <c:valAx>
        <c:axId val="-1549312144"/>
        <c:scaling>
          <c:orientation val="minMax"/>
          <c:max val="2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Change in Levelized 2020$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299632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906412094266581E-2"/>
          <c:y val="0.92717288599794589"/>
          <c:w val="0.88772186787997143"/>
          <c:h val="6.70300125527787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Washington Change in Levelized Avoided Costs: 2022</a:t>
            </a:r>
            <a:r>
              <a:rPr lang="en-US" b="1" baseline="0"/>
              <a:t> IRP</a:t>
            </a:r>
            <a:r>
              <a:rPr lang="en-US" b="1"/>
              <a:t> vs 2018 IRP Update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843961152453203E-2"/>
          <c:y val="0.1075072463768116"/>
          <c:w val="0.88917968491924781"/>
          <c:h val="0.672849024306744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'Avoided Costs Summary'!$DR$37</c:f>
              <c:strCache>
                <c:ptCount val="1"/>
                <c:pt idx="0">
                  <c:v> Commodity and Transport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Summary'!$DQ$40:$DQ$53</c15:sqref>
                  </c15:fullRef>
                </c:ext>
              </c:extLst>
              <c:f>'Avoided Costs Summary'!$DQ$47:$DQ$53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Summary'!$DR$40:$DR$53</c15:sqref>
                  </c15:fullRef>
                </c:ext>
              </c:extLst>
              <c:f>'Avoided Costs Summary'!$DR$47:$DR$53</c:f>
              <c:numCache>
                <c:formatCode>"$"#,##0.00</c:formatCode>
                <c:ptCount val="7"/>
                <c:pt idx="0">
                  <c:v>2.0189014524319759E-2</c:v>
                </c:pt>
                <c:pt idx="1">
                  <c:v>2.0189014524319759E-2</c:v>
                </c:pt>
                <c:pt idx="2">
                  <c:v>2.0189014524319759E-2</c:v>
                </c:pt>
                <c:pt idx="3">
                  <c:v>-0.10431473158446103</c:v>
                </c:pt>
                <c:pt idx="4">
                  <c:v>-0.11492736189736075</c:v>
                </c:pt>
                <c:pt idx="5">
                  <c:v>-0.11492736189735986</c:v>
                </c:pt>
                <c:pt idx="6">
                  <c:v>-0.11492736189735986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4-47F8-A8BD-7DB976C2787A}"/>
            </c:ext>
          </c:extLst>
        </c:ser>
        <c:ser>
          <c:idx val="1"/>
          <c:order val="1"/>
          <c:tx>
            <c:strRef>
              <c:f>'Avoided Costs Summary'!$DS$37</c:f>
              <c:strCache>
                <c:ptCount val="1"/>
                <c:pt idx="0">
                  <c:v>Greenhouse Gas Compliance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Summary'!$DQ$40:$DQ$53</c15:sqref>
                  </c15:fullRef>
                </c:ext>
              </c:extLst>
              <c:f>'Avoided Costs Summary'!$DQ$47:$DQ$53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Summary'!$DS$40:$DS$53</c15:sqref>
                  </c15:fullRef>
                </c:ext>
              </c:extLst>
              <c:f>'Avoided Costs Summary'!$DS$47:$DS$53</c:f>
              <c:numCache>
                <c:formatCode>"$"#,##0.00</c:formatCode>
                <c:ptCount val="7"/>
                <c:pt idx="0">
                  <c:v>0.10075059685758259</c:v>
                </c:pt>
                <c:pt idx="1">
                  <c:v>0.10075059685758259</c:v>
                </c:pt>
                <c:pt idx="2">
                  <c:v>0.10075059685758259</c:v>
                </c:pt>
                <c:pt idx="3">
                  <c:v>0.10075059685758259</c:v>
                </c:pt>
                <c:pt idx="4">
                  <c:v>0.10075059685758259</c:v>
                </c:pt>
                <c:pt idx="5">
                  <c:v>0.10075059685758259</c:v>
                </c:pt>
                <c:pt idx="6">
                  <c:v>0.10075059685758259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B4-47F8-A8BD-7DB976C2787A}"/>
            </c:ext>
          </c:extLst>
        </c:ser>
        <c:ser>
          <c:idx val="2"/>
          <c:order val="2"/>
          <c:tx>
            <c:strRef>
              <c:f>'Avoided Costs Summary'!$DT$37</c:f>
              <c:strCache>
                <c:ptCount val="1"/>
                <c:pt idx="0">
                  <c:v>Commodity Risk Reduction Cost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Summary'!$DQ$40:$DQ$53</c15:sqref>
                  </c15:fullRef>
                </c:ext>
              </c:extLst>
              <c:f>'Avoided Costs Summary'!$DQ$47:$DQ$53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Summary'!$DT$40:$DT$53</c15:sqref>
                  </c15:fullRef>
                </c:ext>
              </c:extLst>
              <c:f>'Avoided Costs Summary'!$DT$47:$DT$53</c:f>
              <c:numCache>
                <c:formatCode>"$"#,##0.00</c:formatCode>
                <c:ptCount val="7"/>
                <c:pt idx="0">
                  <c:v>-1.4799999999999924E-2</c:v>
                </c:pt>
                <c:pt idx="1">
                  <c:v>0.52020000000000011</c:v>
                </c:pt>
                <c:pt idx="2">
                  <c:v>0.52020000000000011</c:v>
                </c:pt>
                <c:pt idx="3">
                  <c:v>0.52020000000000011</c:v>
                </c:pt>
                <c:pt idx="4">
                  <c:v>0.52020000000000011</c:v>
                </c:pt>
                <c:pt idx="5">
                  <c:v>0.52020000000000011</c:v>
                </c:pt>
                <c:pt idx="6">
                  <c:v>0.52020000000000011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B4-47F8-A8BD-7DB976C2787A}"/>
            </c:ext>
          </c:extLst>
        </c:ser>
        <c:ser>
          <c:idx val="3"/>
          <c:order val="3"/>
          <c:tx>
            <c:strRef>
              <c:f>'Avoided Costs Summary'!$DU$37</c:f>
              <c:strCache>
                <c:ptCount val="1"/>
                <c:pt idx="0">
                  <c:v>Supply Capacity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Summary'!$DQ$40:$DQ$53</c15:sqref>
                  </c15:fullRef>
                </c:ext>
              </c:extLst>
              <c:f>'Avoided Costs Summary'!$DQ$47:$DQ$53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Summary'!$DU$40:$DU$53</c15:sqref>
                  </c15:fullRef>
                </c:ext>
              </c:extLst>
              <c:f>'Avoided Costs Summary'!$DU$47:$DU$53</c:f>
              <c:numCache>
                <c:formatCode>"$"#,##0.00</c:formatCode>
                <c:ptCount val="7"/>
                <c:pt idx="0">
                  <c:v>0.26238047654084307</c:v>
                </c:pt>
                <c:pt idx="1">
                  <c:v>0.26238047654084307</c:v>
                </c:pt>
                <c:pt idx="2">
                  <c:v>0.2340553114597293</c:v>
                </c:pt>
                <c:pt idx="3">
                  <c:v>3.5595495510034603E-2</c:v>
                </c:pt>
                <c:pt idx="4">
                  <c:v>3.8417720351220458E-2</c:v>
                </c:pt>
                <c:pt idx="5">
                  <c:v>2.9552092577861858E-2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B4-47F8-A8BD-7DB976C2787A}"/>
            </c:ext>
          </c:extLst>
        </c:ser>
        <c:ser>
          <c:idx val="4"/>
          <c:order val="4"/>
          <c:tx>
            <c:strRef>
              <c:f>'Avoided Costs Summary'!$DV$37</c:f>
              <c:strCache>
                <c:ptCount val="1"/>
                <c:pt idx="0">
                  <c:v>Distribution System Capacity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Summary'!$DQ$40:$DQ$53</c15:sqref>
                  </c15:fullRef>
                </c:ext>
              </c:extLst>
              <c:f>'Avoided Costs Summary'!$DQ$47:$DQ$53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Summary'!$DV$40:$DV$53</c15:sqref>
                  </c15:fullRef>
                </c:ext>
              </c:extLst>
              <c:f>'Avoided Costs Summary'!$DV$47:$DV$53</c:f>
              <c:numCache>
                <c:formatCode>"$"#,##0.00</c:formatCode>
                <c:ptCount val="7"/>
                <c:pt idx="0">
                  <c:v>0.65661271117774511</c:v>
                </c:pt>
                <c:pt idx="1">
                  <c:v>0.33045214876265394</c:v>
                </c:pt>
                <c:pt idx="2">
                  <c:v>0.79179768112610027</c:v>
                </c:pt>
                <c:pt idx="3">
                  <c:v>-4.8335892236112343E-2</c:v>
                </c:pt>
                <c:pt idx="4">
                  <c:v>-0.13255228235293703</c:v>
                </c:pt>
                <c:pt idx="5">
                  <c:v>-2.1242352941175269E-2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B4-47F8-A8BD-7DB976C2787A}"/>
            </c:ext>
          </c:extLst>
        </c:ser>
        <c:ser>
          <c:idx val="5"/>
          <c:order val="5"/>
          <c:tx>
            <c:strRef>
              <c:f>'Avoided Costs Summary'!$DW$37</c:f>
              <c:strCache>
                <c:ptCount val="1"/>
                <c:pt idx="0">
                  <c:v>10% Conservation Credit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Summary'!$DQ$40:$DQ$53</c15:sqref>
                  </c15:fullRef>
                </c:ext>
              </c:extLst>
              <c:f>'Avoided Costs Summary'!$DQ$47:$DQ$53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Summary'!$DW$40:$DW$53</c15:sqref>
                  </c15:fullRef>
                </c:ext>
              </c:extLst>
              <c:f>'Avoided Costs Summary'!$DW$47:$DW$53</c:f>
              <c:numCache>
                <c:formatCode>"$"#,##0.00</c:formatCode>
                <c:ptCount val="7"/>
                <c:pt idx="0">
                  <c:v>6.0088519071220592E-2</c:v>
                </c:pt>
                <c:pt idx="1">
                  <c:v>2.7472462829712052E-2</c:v>
                </c:pt>
                <c:pt idx="2">
                  <c:v>7.0774499557945569E-2</c:v>
                </c:pt>
                <c:pt idx="3">
                  <c:v>-4.0297594806656178E-2</c:v>
                </c:pt>
                <c:pt idx="4">
                  <c:v>-4.9166497884868487E-2</c:v>
                </c:pt>
                <c:pt idx="5">
                  <c:v>-3.8922067721027964E-2</c:v>
                </c:pt>
                <c:pt idx="6">
                  <c:v>-3.9753041684696677E-2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B4-47F8-A8BD-7DB976C27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49302352"/>
        <c:axId val="-1549308336"/>
      </c:barChart>
      <c:catAx>
        <c:axId val="-154930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08336"/>
        <c:crosses val="autoZero"/>
        <c:auto val="1"/>
        <c:lblAlgn val="ctr"/>
        <c:lblOffset val="100"/>
        <c:noMultiLvlLbl val="0"/>
      </c:catAx>
      <c:valAx>
        <c:axId val="-1549308336"/>
        <c:scaling>
          <c:orientation val="minMax"/>
          <c:max val="2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Change in</a:t>
                </a:r>
                <a:r>
                  <a:rPr lang="en-US" b="1" baseline="0"/>
                  <a:t> </a:t>
                </a:r>
                <a:r>
                  <a:rPr lang="en-US" b="1"/>
                  <a:t>Levelized 2019$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0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01997430893988E-2"/>
          <c:y val="0.92427433527330838"/>
          <c:w val="0.88063367079115129"/>
          <c:h val="6.70300125527787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70484</xdr:colOff>
      <xdr:row>51</xdr:row>
      <xdr:rowOff>106680</xdr:rowOff>
    </xdr:from>
    <xdr:to>
      <xdr:col>11</xdr:col>
      <xdr:colOff>104774</xdr:colOff>
      <xdr:row>85</xdr:row>
      <xdr:rowOff>10958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154303</xdr:colOff>
      <xdr:row>51</xdr:row>
      <xdr:rowOff>110490</xdr:rowOff>
    </xdr:from>
    <xdr:to>
      <xdr:col>22</xdr:col>
      <xdr:colOff>483870</xdr:colOff>
      <xdr:row>85</xdr:row>
      <xdr:rowOff>15240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76</xdr:col>
      <xdr:colOff>571500</xdr:colOff>
      <xdr:row>34</xdr:row>
      <xdr:rowOff>121920</xdr:rowOff>
    </xdr:from>
    <xdr:to>
      <xdr:col>84</xdr:col>
      <xdr:colOff>22860</xdr:colOff>
      <xdr:row>53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84</xdr:col>
      <xdr:colOff>7620</xdr:colOff>
      <xdr:row>34</xdr:row>
      <xdr:rowOff>114300</xdr:rowOff>
    </xdr:from>
    <xdr:to>
      <xdr:col>90</xdr:col>
      <xdr:colOff>876300</xdr:colOff>
      <xdr:row>53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93</xdr:col>
      <xdr:colOff>1524000</xdr:colOff>
      <xdr:row>53</xdr:row>
      <xdr:rowOff>83820</xdr:rowOff>
    </xdr:from>
    <xdr:to>
      <xdr:col>100</xdr:col>
      <xdr:colOff>289560</xdr:colOff>
      <xdr:row>78</xdr:row>
      <xdr:rowOff>30480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100</xdr:col>
      <xdr:colOff>579120</xdr:colOff>
      <xdr:row>53</xdr:row>
      <xdr:rowOff>76200</xdr:rowOff>
    </xdr:from>
    <xdr:to>
      <xdr:col>107</xdr:col>
      <xdr:colOff>213360</xdr:colOff>
      <xdr:row>78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114</xdr:col>
      <xdr:colOff>518160</xdr:colOff>
      <xdr:row>55</xdr:row>
      <xdr:rowOff>53340</xdr:rowOff>
    </xdr:from>
    <xdr:to>
      <xdr:col>122</xdr:col>
      <xdr:colOff>213360</xdr:colOff>
      <xdr:row>77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122</xdr:col>
      <xdr:colOff>291465</xdr:colOff>
      <xdr:row>55</xdr:row>
      <xdr:rowOff>59055</xdr:rowOff>
    </xdr:from>
    <xdr:to>
      <xdr:col>131</xdr:col>
      <xdr:colOff>636270</xdr:colOff>
      <xdr:row>80</xdr:row>
      <xdr:rowOff>59055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96024065" y="10760922"/>
          <a:ext cx="6940338" cy="4445000"/>
          <a:chOff x="100916117" y="9239673"/>
          <a:chExt cx="6659880" cy="4381500"/>
        </a:xfrm>
      </xdr:grpSpPr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aphicFramePr/>
        </xdr:nvGraphicFramePr>
        <xdr:xfrm>
          <a:off x="100916117" y="9239673"/>
          <a:ext cx="6659880" cy="4381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101483483" y="11699240"/>
            <a:ext cx="5913120" cy="0"/>
          </a:xfrm>
          <a:prstGeom prst="line">
            <a:avLst/>
          </a:prstGeom>
          <a:ln w="444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131</xdr:col>
      <xdr:colOff>662940</xdr:colOff>
      <xdr:row>55</xdr:row>
      <xdr:rowOff>57150</xdr:rowOff>
    </xdr:from>
    <xdr:to>
      <xdr:col>142</xdr:col>
      <xdr:colOff>49530</xdr:colOff>
      <xdr:row>80</xdr:row>
      <xdr:rowOff>57150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102991073" y="10759017"/>
          <a:ext cx="7209790" cy="4445000"/>
          <a:chOff x="101026460" y="8923020"/>
          <a:chExt cx="6659880" cy="4381500"/>
        </a:xfrm>
      </xdr:grpSpPr>
      <xdr:graphicFrame macro="">
        <xdr:nvGraphicFramePr>
          <xdr:cNvPr id="14" name="Chart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GraphicFramePr/>
        </xdr:nvGraphicFramePr>
        <xdr:xfrm>
          <a:off x="101026460" y="8923020"/>
          <a:ext cx="6659880" cy="4381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CxnSpPr/>
        </xdr:nvCxnSpPr>
        <xdr:spPr>
          <a:xfrm>
            <a:off x="101589017" y="11373697"/>
            <a:ext cx="5913119" cy="0"/>
          </a:xfrm>
          <a:prstGeom prst="line">
            <a:avLst/>
          </a:prstGeom>
          <a:ln w="444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142</xdr:col>
      <xdr:colOff>91440</xdr:colOff>
      <xdr:row>55</xdr:row>
      <xdr:rowOff>36195</xdr:rowOff>
    </xdr:from>
    <xdr:to>
      <xdr:col>151</xdr:col>
      <xdr:colOff>495300</xdr:colOff>
      <xdr:row>80</xdr:row>
      <xdr:rowOff>9525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152</xdr:col>
      <xdr:colOff>571500</xdr:colOff>
      <xdr:row>55</xdr:row>
      <xdr:rowOff>28575</xdr:rowOff>
    </xdr:from>
    <xdr:to>
      <xdr:col>162</xdr:col>
      <xdr:colOff>361950</xdr:colOff>
      <xdr:row>80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0.0178</cdr:x>
      <cdr:y>0.94814</cdr:y>
    </cdr:from>
    <cdr:to>
      <cdr:x>0.97249</cdr:x>
      <cdr:y>0.99508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F4532EA-A60F-480C-9D78-5EEBAE1E9D19}"/>
            </a:ext>
          </a:extLst>
        </cdr:cNvPr>
        <cdr:cNvSpPr txBox="1"/>
      </cdr:nvSpPr>
      <cdr:spPr>
        <a:xfrm xmlns:a="http://schemas.openxmlformats.org/drawingml/2006/main">
          <a:off x="104775" y="4040505"/>
          <a:ext cx="5619749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1"/>
            <a:t>*2022 IRP and 2018 IRP Update are</a:t>
          </a:r>
          <a:r>
            <a:rPr lang="en-US" sz="900" b="1" baseline="0"/>
            <a:t> 30-year levelized figures where earlier figures are 20-year levelized figures</a:t>
          </a:r>
          <a:endParaRPr lang="en-US" sz="9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0.0394</cdr:x>
      <cdr:y>0.94216</cdr:y>
    </cdr:from>
    <cdr:to>
      <cdr:x>0.99471</cdr:x>
      <cdr:y>0.98912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5AAF557-C763-43D2-AF7B-4C630470DCCE}"/>
            </a:ext>
          </a:extLst>
        </cdr:cNvPr>
        <cdr:cNvSpPr txBox="1"/>
      </cdr:nvSpPr>
      <cdr:spPr>
        <a:xfrm xmlns:a="http://schemas.openxmlformats.org/drawingml/2006/main">
          <a:off x="231775" y="4013200"/>
          <a:ext cx="5619749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/>
            <a:t>*2022 IRP and 2018 IRP Update are</a:t>
          </a:r>
          <a:r>
            <a:rPr lang="en-US" sz="900" b="1" baseline="0"/>
            <a:t> 30-year levelized figures where earlier figures are 20-year levelized figures</a:t>
          </a:r>
          <a:endParaRPr lang="en-US" sz="9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441960</xdr:colOff>
      <xdr:row>6</xdr:row>
      <xdr:rowOff>129540</xdr:rowOff>
    </xdr:from>
    <xdr:to>
      <xdr:col>27</xdr:col>
      <xdr:colOff>251460</xdr:colOff>
      <xdr:row>30</xdr:row>
      <xdr:rowOff>160020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C6105BFD-EB07-44F9-84BF-9540FA7D1B80}"/>
            </a:ext>
          </a:extLst>
        </xdr:cNvPr>
        <xdr:cNvGrpSpPr/>
      </xdr:nvGrpSpPr>
      <xdr:grpSpPr>
        <a:xfrm>
          <a:off x="9831493" y="1424940"/>
          <a:ext cx="5643034" cy="4500880"/>
          <a:chOff x="9829800" y="1409700"/>
          <a:chExt cx="5745480" cy="507492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911466B0-FA9D-46AF-9514-9F3A0F884967}"/>
              </a:ext>
            </a:extLst>
          </xdr:cNvPr>
          <xdr:cNvGraphicFramePr/>
        </xdr:nvGraphicFramePr>
        <xdr:xfrm>
          <a:off x="9829800" y="1409700"/>
          <a:ext cx="5745480" cy="23317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6668DC63-A2DC-48D4-95B1-29E4AE8B0684}"/>
              </a:ext>
            </a:extLst>
          </xdr:cNvPr>
          <xdr:cNvGraphicFramePr/>
        </xdr:nvGraphicFramePr>
        <xdr:xfrm>
          <a:off x="9829800" y="3741420"/>
          <a:ext cx="573786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91440</xdr:colOff>
      <xdr:row>1</xdr:row>
      <xdr:rowOff>53340</xdr:rowOff>
    </xdr:from>
    <xdr:to>
      <xdr:col>26</xdr:col>
      <xdr:colOff>403860</xdr:colOff>
      <xdr:row>20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D50045-6B23-494E-9D92-108E7A7AA4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83820</xdr:colOff>
      <xdr:row>20</xdr:row>
      <xdr:rowOff>76200</xdr:rowOff>
    </xdr:from>
    <xdr:to>
      <xdr:col>26</xdr:col>
      <xdr:colOff>213360</xdr:colOff>
      <xdr:row>45</xdr:row>
      <xdr:rowOff>15240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75F0CA1-EAC9-46F7-B366-23B765D2FF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-Avoided%20Cos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jb/Desktop/2018-Avoided%20Cos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IRP%20Carbon%20Pric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oided Costs"/>
      <sheetName val="Supply Side Avoided Costs"/>
      <sheetName val="Commodity Cost by End Use"/>
      <sheetName val="Summary Tables"/>
      <sheetName val="Graph Construction"/>
      <sheetName val="Customer Counts"/>
      <sheetName val="Load by Customer Segment"/>
      <sheetName val="Monthly Gas and Transport Costs"/>
      <sheetName val="Explanation"/>
    </sheetNames>
    <sheetDataSet>
      <sheetData sheetId="0">
        <row r="6">
          <cell r="DG6">
            <v>8.9162410037954842</v>
          </cell>
        </row>
        <row r="7">
          <cell r="DG7">
            <v>7.6761520437954838</v>
          </cell>
        </row>
        <row r="8">
          <cell r="DG8">
            <v>9.2818029422035</v>
          </cell>
        </row>
        <row r="9">
          <cell r="DG9">
            <v>5.7650371144008634</v>
          </cell>
        </row>
        <row r="10">
          <cell r="DG10">
            <v>6.8702146790314851</v>
          </cell>
        </row>
        <row r="11">
          <cell r="DG11">
            <v>5.3419529249181528</v>
          </cell>
        </row>
        <row r="12">
          <cell r="DG12">
            <v>4.8689569239259098</v>
          </cell>
        </row>
        <row r="13">
          <cell r="DG13">
            <v>10.994802248029</v>
          </cell>
        </row>
        <row r="14">
          <cell r="DG14">
            <v>8.7623856750568123</v>
          </cell>
        </row>
        <row r="15">
          <cell r="DG15">
            <v>11.776259313170627</v>
          </cell>
        </row>
        <row r="16">
          <cell r="DG16">
            <v>6.5626543348621187</v>
          </cell>
        </row>
        <row r="17">
          <cell r="DG17">
            <v>8.3801873700972127</v>
          </cell>
        </row>
        <row r="18">
          <cell r="DG18">
            <v>5.6823685869880283</v>
          </cell>
        </row>
        <row r="19">
          <cell r="DG19">
            <v>4.994386936054565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oided Costs"/>
      <sheetName val="Commodity Cost by End Use"/>
      <sheetName val="Monthly Gas and Transport Costs"/>
      <sheetName val="Supply Side Avoided Costs"/>
      <sheetName val="Summary Tables"/>
      <sheetName val="Graph Construction"/>
      <sheetName val="Customer Counts"/>
      <sheetName val="Load by Customer Segment"/>
      <sheetName val="Explanation"/>
    </sheetNames>
    <sheetDataSet>
      <sheetData sheetId="0">
        <row r="6">
          <cell r="DV6">
            <v>6.1640336901333477</v>
          </cell>
          <cell r="DW6">
            <v>4.6779990611033089</v>
          </cell>
        </row>
        <row r="7">
          <cell r="DV7">
            <v>6.1640336901333477</v>
          </cell>
        </row>
        <row r="8">
          <cell r="DV8">
            <v>5.9759931082361861</v>
          </cell>
        </row>
        <row r="9">
          <cell r="DV9">
            <v>4.6277702582268843</v>
          </cell>
        </row>
        <row r="10">
          <cell r="DV10">
            <v>4.6277702582268843</v>
          </cell>
        </row>
        <row r="11">
          <cell r="DV11">
            <v>4.6277702582268843</v>
          </cell>
        </row>
        <row r="12">
          <cell r="DV12">
            <v>4.3914493057357911</v>
          </cell>
        </row>
        <row r="14">
          <cell r="DV14">
            <v>7.1648415738431162</v>
          </cell>
        </row>
        <row r="15">
          <cell r="DV15">
            <v>7.1648415738431162</v>
          </cell>
        </row>
        <row r="16">
          <cell r="DV16">
            <v>6.9139976186624237</v>
          </cell>
        </row>
        <row r="17">
          <cell r="DV17">
            <v>5.115483974696593</v>
          </cell>
        </row>
        <row r="18">
          <cell r="DV18">
            <v>5.115483974696593</v>
          </cell>
        </row>
        <row r="19">
          <cell r="DV19">
            <v>5.115483974696593</v>
          </cell>
        </row>
        <row r="20">
          <cell r="DV20">
            <v>4.8002345651443834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Data"/>
      <sheetName val="2020 IRP Sensitivities"/>
      <sheetName val="In $Dth Form"/>
    </sheetNames>
    <sheetDataSet>
      <sheetData sheetId="0">
        <row r="4">
          <cell r="B4">
            <v>78.210837775286876</v>
          </cell>
        </row>
        <row r="5">
          <cell r="B5">
            <v>79.816256662930314</v>
          </cell>
        </row>
        <row r="6">
          <cell r="B6">
            <v>81.421675550573752</v>
          </cell>
        </row>
        <row r="7">
          <cell r="B7">
            <v>83.027094438217205</v>
          </cell>
        </row>
        <row r="8">
          <cell r="B8">
            <v>84.248081121132159</v>
          </cell>
        </row>
        <row r="9">
          <cell r="B9">
            <v>85.469067804047114</v>
          </cell>
        </row>
        <row r="10">
          <cell r="B10">
            <v>86.690054486962069</v>
          </cell>
        </row>
        <row r="11">
          <cell r="B11">
            <v>87.911041169877024</v>
          </cell>
        </row>
        <row r="12">
          <cell r="B12">
            <v>89.132027852792007</v>
          </cell>
        </row>
        <row r="13">
          <cell r="B13">
            <v>90.353014535706961</v>
          </cell>
        </row>
        <row r="14">
          <cell r="B14">
            <v>91.574001218621916</v>
          </cell>
        </row>
        <row r="15">
          <cell r="B15">
            <v>92.794987901536871</v>
          </cell>
        </row>
        <row r="16">
          <cell r="B16">
            <v>94.015974584451826</v>
          </cell>
        </row>
        <row r="17">
          <cell r="B17">
            <v>95.236961267366794</v>
          </cell>
        </row>
        <row r="18">
          <cell r="B18">
            <v>96.589569013893438</v>
          </cell>
        </row>
        <row r="19">
          <cell r="B19">
            <v>97.942176760420082</v>
          </cell>
        </row>
        <row r="20">
          <cell r="B20">
            <v>99.294784506946726</v>
          </cell>
        </row>
        <row r="21">
          <cell r="B21">
            <v>100.64739225347337</v>
          </cell>
        </row>
        <row r="22">
          <cell r="B22">
            <v>102</v>
          </cell>
        </row>
        <row r="23">
          <cell r="B23">
            <v>103.2</v>
          </cell>
        </row>
        <row r="24">
          <cell r="B24">
            <v>104.4</v>
          </cell>
        </row>
        <row r="25">
          <cell r="B25">
            <v>105.60000000000001</v>
          </cell>
        </row>
        <row r="26">
          <cell r="B26">
            <v>106.80000000000001</v>
          </cell>
        </row>
        <row r="27">
          <cell r="B27">
            <v>108</v>
          </cell>
        </row>
        <row r="28">
          <cell r="B28">
            <v>109.4</v>
          </cell>
        </row>
        <row r="29">
          <cell r="B29">
            <v>110.80000000000001</v>
          </cell>
        </row>
        <row r="30">
          <cell r="B30">
            <v>112.20000000000002</v>
          </cell>
        </row>
        <row r="31">
          <cell r="B31">
            <v>113.60000000000002</v>
          </cell>
        </row>
        <row r="32">
          <cell r="B32">
            <v>115</v>
          </cell>
        </row>
      </sheetData>
      <sheetData sheetId="1"/>
      <sheetData sheetId="2">
        <row r="11">
          <cell r="AO11">
            <v>4.3313105860386027E-3</v>
          </cell>
        </row>
        <row r="12">
          <cell r="AO12">
            <v>3.1274255196872733E-3</v>
          </cell>
        </row>
        <row r="13">
          <cell r="AO13">
            <v>2.1039099423049751E-3</v>
          </cell>
        </row>
        <row r="14">
          <cell r="AO14">
            <v>7.0261707093623171E-4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N141"/>
  <sheetViews>
    <sheetView zoomScale="90" zoomScaleNormal="90" workbookViewId="0">
      <selection activeCell="C5" sqref="C5"/>
    </sheetView>
  </sheetViews>
  <sheetFormatPr defaultColWidth="8.88671875" defaultRowHeight="13.8" customHeight="1" x14ac:dyDescent="0.3"/>
  <cols>
    <col min="1" max="1" width="9.88671875" style="1" customWidth="1"/>
    <col min="2" max="2" width="12" style="1" customWidth="1"/>
    <col min="3" max="4" width="13.109375" style="1" customWidth="1"/>
    <col min="5" max="5" width="13.33203125" style="1" customWidth="1"/>
    <col min="6" max="6" width="10.88671875" style="1" customWidth="1"/>
    <col min="7" max="7" width="11.33203125" style="1" customWidth="1"/>
    <col min="8" max="8" width="13.88671875" style="1" customWidth="1"/>
    <col min="9" max="10" width="13.109375" style="1" customWidth="1"/>
    <col min="11" max="11" width="11.6640625" style="1" customWidth="1"/>
    <col min="12" max="13" width="9.77734375" style="152" customWidth="1"/>
    <col min="14" max="15" width="8.88671875" style="1"/>
    <col min="16" max="17" width="11" style="1" customWidth="1"/>
    <col min="18" max="18" width="11.77734375" style="1" customWidth="1"/>
    <col min="19" max="29" width="11" style="1" customWidth="1"/>
    <col min="30" max="30" width="6.5546875" style="1" customWidth="1"/>
    <col min="31" max="31" width="8.88671875" style="1"/>
    <col min="32" max="38" width="11.5546875" style="1" customWidth="1"/>
    <col min="39" max="40" width="10.33203125" style="1" customWidth="1"/>
    <col min="41" max="41" width="11.109375" style="1" customWidth="1"/>
    <col min="42" max="45" width="10.33203125" style="1" customWidth="1"/>
    <col min="46" max="46" width="4.109375" style="1" customWidth="1"/>
    <col min="47" max="47" width="8.88671875" style="1"/>
    <col min="48" max="53" width="11.5546875" style="1" customWidth="1"/>
    <col min="54" max="59" width="10.33203125" style="1" customWidth="1"/>
    <col min="60" max="60" width="3.21875" style="1" customWidth="1"/>
    <col min="61" max="61" width="9.33203125" style="1" customWidth="1"/>
    <col min="62" max="62" width="12.5546875" style="1" customWidth="1"/>
    <col min="63" max="75" width="13.21875" style="1" customWidth="1"/>
    <col min="76" max="76" width="5.88671875" style="1" customWidth="1"/>
    <col min="77" max="77" width="9.33203125" style="1" customWidth="1"/>
    <col min="78" max="78" width="12.5546875" style="1" customWidth="1"/>
    <col min="79" max="92" width="13.21875" style="1" customWidth="1"/>
    <col min="93" max="93" width="5.109375" style="1" customWidth="1"/>
    <col min="94" max="94" width="31.21875" style="1" customWidth="1"/>
    <col min="95" max="95" width="12.109375" style="1" customWidth="1"/>
    <col min="96" max="96" width="11.21875" style="1" customWidth="1"/>
    <col min="97" max="97" width="9.88671875" style="1" customWidth="1"/>
    <col min="98" max="98" width="9.6640625" style="1" customWidth="1"/>
    <col min="99" max="99" width="11.21875" style="1" customWidth="1"/>
    <col min="100" max="100" width="12.5546875" style="1" customWidth="1"/>
    <col min="101" max="101" width="8.88671875" style="1"/>
    <col min="102" max="102" width="9.77734375" style="1" customWidth="1"/>
    <col min="103" max="103" width="4.88671875" style="1" customWidth="1"/>
    <col min="104" max="104" width="29.6640625" style="1" customWidth="1"/>
    <col min="105" max="105" width="10.33203125" style="1" customWidth="1"/>
    <col min="106" max="106" width="11.88671875" style="1" customWidth="1"/>
    <col min="107" max="107" width="10.109375" style="1" customWidth="1"/>
    <col min="108" max="108" width="7.33203125" style="1" customWidth="1"/>
    <col min="109" max="109" width="10.33203125" style="1" customWidth="1"/>
    <col min="110" max="110" width="11.5546875" style="1" customWidth="1"/>
    <col min="111" max="111" width="8" style="1" customWidth="1"/>
    <col min="112" max="119" width="8.88671875" style="1"/>
    <col min="120" max="120" width="3.88671875" style="1" customWidth="1"/>
    <col min="121" max="121" width="29.44140625" style="1" customWidth="1"/>
    <col min="122" max="122" width="13.6640625" style="1" customWidth="1"/>
    <col min="123" max="123" width="13.77734375" style="1" customWidth="1"/>
    <col min="124" max="124" width="10.33203125" style="1" customWidth="1"/>
    <col min="125" max="125" width="8.88671875" style="1"/>
    <col min="126" max="126" width="10.6640625" style="1" customWidth="1"/>
    <col min="127" max="127" width="11.5546875" style="1" customWidth="1"/>
    <col min="128" max="129" width="8.88671875" style="1"/>
    <col min="130" max="130" width="11.44140625" style="1" customWidth="1"/>
    <col min="131" max="131" width="11.5546875" style="1" customWidth="1"/>
    <col min="132" max="132" width="10.6640625" style="1" customWidth="1"/>
    <col min="133" max="133" width="8.88671875" style="1"/>
    <col min="134" max="134" width="11.44140625" style="1" customWidth="1"/>
    <col min="135" max="135" width="11.5546875" style="1" customWidth="1"/>
    <col min="136" max="137" width="8.88671875" style="1"/>
    <col min="138" max="138" width="3.109375" style="1" customWidth="1"/>
    <col min="139" max="139" width="23.88671875" style="1" customWidth="1"/>
    <col min="140" max="16384" width="8.88671875" style="1"/>
  </cols>
  <sheetData>
    <row r="1" spans="1:111" ht="13.8" customHeight="1" thickBot="1" x14ac:dyDescent="0.35">
      <c r="A1" s="257" t="s">
        <v>0</v>
      </c>
      <c r="B1" s="261" t="s">
        <v>129</v>
      </c>
      <c r="C1" s="262"/>
      <c r="D1" s="262"/>
      <c r="E1" s="262"/>
      <c r="F1" s="262"/>
      <c r="G1" s="262"/>
      <c r="H1" s="262"/>
      <c r="I1" s="262"/>
      <c r="J1" s="262"/>
      <c r="K1" s="263"/>
      <c r="L1" s="254" t="s">
        <v>74</v>
      </c>
      <c r="M1" s="196" t="s">
        <v>92</v>
      </c>
      <c r="CO1" s="180" t="s">
        <v>115</v>
      </c>
      <c r="CP1" s="181"/>
      <c r="CQ1" s="181"/>
      <c r="CR1" s="181"/>
      <c r="CS1" s="181"/>
      <c r="CT1" s="182"/>
      <c r="CU1" s="182"/>
      <c r="CV1" s="181"/>
      <c r="CW1" s="183"/>
      <c r="CX1" s="3"/>
      <c r="CY1" s="219" t="str">
        <f>CO1</f>
        <v>30 Year Levelized Avoided Costs</v>
      </c>
      <c r="CZ1" s="182"/>
      <c r="DA1" s="182"/>
      <c r="DB1" s="182"/>
      <c r="DC1" s="182"/>
      <c r="DD1" s="182"/>
      <c r="DE1" s="182"/>
      <c r="DF1" s="182"/>
      <c r="DG1" s="220"/>
    </row>
    <row r="2" spans="1:111" ht="18.600000000000001" customHeight="1" thickBot="1" x14ac:dyDescent="0.35">
      <c r="A2" s="258"/>
      <c r="B2" s="266" t="s">
        <v>1</v>
      </c>
      <c r="C2" s="267"/>
      <c r="D2" s="267"/>
      <c r="E2" s="268"/>
      <c r="F2" s="269" t="s">
        <v>2</v>
      </c>
      <c r="G2" s="270"/>
      <c r="H2" s="200" t="s">
        <v>3</v>
      </c>
      <c r="I2" s="201"/>
      <c r="J2" s="201"/>
      <c r="K2" s="202"/>
      <c r="L2" s="255"/>
      <c r="M2" s="196"/>
      <c r="P2" s="197" t="s">
        <v>83</v>
      </c>
      <c r="Q2" s="198"/>
      <c r="R2" s="198"/>
      <c r="S2" s="198"/>
      <c r="T2" s="198"/>
      <c r="U2" s="198"/>
      <c r="V2" s="199"/>
      <c r="W2" s="197" t="s">
        <v>82</v>
      </c>
      <c r="X2" s="198"/>
      <c r="Y2" s="198"/>
      <c r="Z2" s="198"/>
      <c r="AA2" s="198"/>
      <c r="AB2" s="198"/>
      <c r="AC2" s="199"/>
      <c r="AD2" s="2"/>
      <c r="AF2" s="197" t="s">
        <v>42</v>
      </c>
      <c r="AG2" s="198"/>
      <c r="AH2" s="198"/>
      <c r="AI2" s="198"/>
      <c r="AJ2" s="198"/>
      <c r="AK2" s="198"/>
      <c r="AL2" s="199"/>
      <c r="AM2" s="185" t="s">
        <v>80</v>
      </c>
      <c r="AN2" s="185"/>
      <c r="AO2" s="185"/>
      <c r="AP2" s="185"/>
      <c r="AQ2" s="185"/>
      <c r="AR2" s="185"/>
      <c r="AS2" s="185"/>
      <c r="AV2" s="185" t="s">
        <v>79</v>
      </c>
      <c r="AW2" s="185"/>
      <c r="AX2" s="185"/>
      <c r="AY2" s="185"/>
      <c r="AZ2" s="185"/>
      <c r="BA2" s="185"/>
      <c r="BB2" s="185" t="s">
        <v>81</v>
      </c>
      <c r="BC2" s="185"/>
      <c r="BD2" s="185"/>
      <c r="BE2" s="185"/>
      <c r="BF2" s="185"/>
      <c r="BG2" s="185"/>
      <c r="BH2" s="2"/>
      <c r="BJ2" s="197" t="s">
        <v>84</v>
      </c>
      <c r="BK2" s="198"/>
      <c r="BL2" s="198"/>
      <c r="BM2" s="198"/>
      <c r="BN2" s="198"/>
      <c r="BO2" s="198"/>
      <c r="BP2" s="199"/>
      <c r="BQ2" s="185" t="s">
        <v>85</v>
      </c>
      <c r="BR2" s="185"/>
      <c r="BS2" s="185"/>
      <c r="BT2" s="185"/>
      <c r="BU2" s="185"/>
      <c r="BV2" s="185"/>
      <c r="BW2" s="185"/>
      <c r="BX2" s="2"/>
      <c r="BZ2" s="191" t="s">
        <v>86</v>
      </c>
      <c r="CA2" s="192"/>
      <c r="CB2" s="192"/>
      <c r="CC2" s="192"/>
      <c r="CD2" s="192"/>
      <c r="CE2" s="192"/>
      <c r="CF2" s="193"/>
      <c r="CG2" s="184" t="s">
        <v>87</v>
      </c>
      <c r="CH2" s="184"/>
      <c r="CI2" s="184"/>
      <c r="CJ2" s="184"/>
      <c r="CK2" s="184"/>
      <c r="CL2" s="184"/>
      <c r="CM2" s="184"/>
      <c r="CO2" s="186"/>
      <c r="CP2" s="187"/>
      <c r="CQ2" s="180" t="s">
        <v>2</v>
      </c>
      <c r="CR2" s="181"/>
      <c r="CS2" s="183"/>
      <c r="CT2" s="223" t="s">
        <v>89</v>
      </c>
      <c r="CU2" s="224"/>
      <c r="CV2" s="215" t="s">
        <v>20</v>
      </c>
      <c r="CW2" s="229" t="s">
        <v>21</v>
      </c>
      <c r="CX2" s="5"/>
      <c r="CY2" s="188"/>
      <c r="CZ2" s="221"/>
      <c r="DA2" s="221"/>
      <c r="DB2" s="221"/>
      <c r="DC2" s="221"/>
      <c r="DD2" s="221"/>
      <c r="DE2" s="221"/>
      <c r="DF2" s="221"/>
      <c r="DG2" s="222"/>
    </row>
    <row r="3" spans="1:111" ht="27.6" customHeight="1" thickBot="1" x14ac:dyDescent="0.35">
      <c r="A3" s="259"/>
      <c r="B3" s="252" t="s">
        <v>4</v>
      </c>
      <c r="C3" s="271" t="s">
        <v>5</v>
      </c>
      <c r="D3" s="273" t="s">
        <v>6</v>
      </c>
      <c r="E3" s="264" t="s">
        <v>91</v>
      </c>
      <c r="F3" s="233" t="s">
        <v>7</v>
      </c>
      <c r="G3" s="235" t="s">
        <v>90</v>
      </c>
      <c r="H3" s="245" t="s">
        <v>40</v>
      </c>
      <c r="I3" s="246"/>
      <c r="J3" s="247"/>
      <c r="K3" s="252" t="s">
        <v>88</v>
      </c>
      <c r="L3" s="255"/>
      <c r="M3" s="196"/>
      <c r="P3" s="189" t="s">
        <v>8</v>
      </c>
      <c r="Q3" s="189" t="s">
        <v>9</v>
      </c>
      <c r="R3" s="189" t="s">
        <v>10</v>
      </c>
      <c r="S3" s="189" t="s">
        <v>11</v>
      </c>
      <c r="T3" s="189" t="s">
        <v>12</v>
      </c>
      <c r="U3" s="189" t="s">
        <v>13</v>
      </c>
      <c r="V3" s="194" t="s">
        <v>14</v>
      </c>
      <c r="W3" s="189" t="s">
        <v>8</v>
      </c>
      <c r="X3" s="189" t="s">
        <v>9</v>
      </c>
      <c r="Y3" s="189" t="s">
        <v>10</v>
      </c>
      <c r="Z3" s="189" t="s">
        <v>11</v>
      </c>
      <c r="AA3" s="189" t="s">
        <v>12</v>
      </c>
      <c r="AB3" s="189" t="s">
        <v>13</v>
      </c>
      <c r="AC3" s="194" t="s">
        <v>14</v>
      </c>
      <c r="AD3" s="5"/>
      <c r="AF3" s="189" t="s">
        <v>8</v>
      </c>
      <c r="AG3" s="189" t="s">
        <v>9</v>
      </c>
      <c r="AH3" s="189" t="s">
        <v>10</v>
      </c>
      <c r="AI3" s="189" t="s">
        <v>11</v>
      </c>
      <c r="AJ3" s="189" t="s">
        <v>12</v>
      </c>
      <c r="AK3" s="189" t="s">
        <v>13</v>
      </c>
      <c r="AL3" s="194" t="s">
        <v>14</v>
      </c>
      <c r="AM3" s="189" t="s">
        <v>8</v>
      </c>
      <c r="AN3" s="189" t="s">
        <v>9</v>
      </c>
      <c r="AO3" s="189" t="s">
        <v>10</v>
      </c>
      <c r="AP3" s="189" t="s">
        <v>11</v>
      </c>
      <c r="AQ3" s="189" t="s">
        <v>12</v>
      </c>
      <c r="AR3" s="189" t="s">
        <v>13</v>
      </c>
      <c r="AS3" s="189" t="s">
        <v>15</v>
      </c>
      <c r="AV3" s="189" t="s">
        <v>8</v>
      </c>
      <c r="AW3" s="189" t="s">
        <v>9</v>
      </c>
      <c r="AX3" s="189" t="s">
        <v>10</v>
      </c>
      <c r="AY3" s="189" t="s">
        <v>11</v>
      </c>
      <c r="AZ3" s="189" t="s">
        <v>12</v>
      </c>
      <c r="BA3" s="189" t="s">
        <v>13</v>
      </c>
      <c r="BB3" s="189" t="s">
        <v>8</v>
      </c>
      <c r="BC3" s="189" t="s">
        <v>9</v>
      </c>
      <c r="BD3" s="189" t="s">
        <v>10</v>
      </c>
      <c r="BE3" s="189" t="s">
        <v>11</v>
      </c>
      <c r="BF3" s="189" t="s">
        <v>12</v>
      </c>
      <c r="BG3" s="189" t="s">
        <v>13</v>
      </c>
      <c r="BH3" s="5"/>
      <c r="BJ3" s="189" t="s">
        <v>8</v>
      </c>
      <c r="BK3" s="189" t="s">
        <v>9</v>
      </c>
      <c r="BL3" s="189" t="s">
        <v>10</v>
      </c>
      <c r="BM3" s="189" t="s">
        <v>11</v>
      </c>
      <c r="BN3" s="189" t="s">
        <v>12</v>
      </c>
      <c r="BO3" s="189" t="s">
        <v>13</v>
      </c>
      <c r="BP3" s="194" t="s">
        <v>26</v>
      </c>
      <c r="BQ3" s="190" t="s">
        <v>8</v>
      </c>
      <c r="BR3" s="190" t="s">
        <v>9</v>
      </c>
      <c r="BS3" s="190" t="s">
        <v>10</v>
      </c>
      <c r="BT3" s="190" t="s">
        <v>11</v>
      </c>
      <c r="BU3" s="190" t="s">
        <v>12</v>
      </c>
      <c r="BV3" s="190" t="s">
        <v>13</v>
      </c>
      <c r="BW3" s="189" t="s">
        <v>26</v>
      </c>
      <c r="BX3" s="5"/>
      <c r="BZ3" s="189" t="s">
        <v>8</v>
      </c>
      <c r="CA3" s="189" t="s">
        <v>9</v>
      </c>
      <c r="CB3" s="189" t="s">
        <v>10</v>
      </c>
      <c r="CC3" s="189" t="s">
        <v>11</v>
      </c>
      <c r="CD3" s="189" t="s">
        <v>12</v>
      </c>
      <c r="CE3" s="189" t="s">
        <v>13</v>
      </c>
      <c r="CF3" s="194" t="s">
        <v>77</v>
      </c>
      <c r="CG3" s="190" t="s">
        <v>8</v>
      </c>
      <c r="CH3" s="190" t="s">
        <v>9</v>
      </c>
      <c r="CI3" s="190" t="s">
        <v>10</v>
      </c>
      <c r="CJ3" s="190" t="s">
        <v>11</v>
      </c>
      <c r="CK3" s="190" t="s">
        <v>12</v>
      </c>
      <c r="CL3" s="190" t="s">
        <v>13</v>
      </c>
      <c r="CM3" s="189" t="s">
        <v>77</v>
      </c>
      <c r="CO3" s="186"/>
      <c r="CP3" s="187"/>
      <c r="CQ3" s="213" t="s">
        <v>16</v>
      </c>
      <c r="CR3" s="213" t="s">
        <v>17</v>
      </c>
      <c r="CS3" s="213" t="s">
        <v>78</v>
      </c>
      <c r="CT3" s="215" t="s">
        <v>18</v>
      </c>
      <c r="CU3" s="217" t="s">
        <v>19</v>
      </c>
      <c r="CV3" s="216"/>
      <c r="CW3" s="230"/>
      <c r="CX3" s="4"/>
      <c r="CY3" s="225"/>
      <c r="CZ3" s="226"/>
      <c r="DA3" s="285" t="s">
        <v>22</v>
      </c>
      <c r="DB3" s="190" t="str">
        <f>CR3</f>
        <v>Greenhouse Gas Compliance Costs</v>
      </c>
      <c r="DC3" s="190" t="s">
        <v>78</v>
      </c>
      <c r="DD3" s="190" t="s">
        <v>23</v>
      </c>
      <c r="DE3" s="190" t="s">
        <v>24</v>
      </c>
      <c r="DF3" s="281" t="str">
        <f>CV2</f>
        <v>10% Conservation Credit</v>
      </c>
      <c r="DG3" s="283" t="str">
        <f>CW2</f>
        <v xml:space="preserve">Total Avoided Costs </v>
      </c>
    </row>
    <row r="4" spans="1:111" s="6" customFormat="1" ht="26.4" customHeight="1" thickBot="1" x14ac:dyDescent="0.35">
      <c r="A4" s="260"/>
      <c r="B4" s="253"/>
      <c r="C4" s="272"/>
      <c r="D4" s="274"/>
      <c r="E4" s="265"/>
      <c r="F4" s="234"/>
      <c r="G4" s="236"/>
      <c r="H4" s="137" t="s">
        <v>41</v>
      </c>
      <c r="I4" s="142" t="s">
        <v>119</v>
      </c>
      <c r="J4" s="143" t="s">
        <v>118</v>
      </c>
      <c r="K4" s="253"/>
      <c r="L4" s="256"/>
      <c r="M4" s="196"/>
      <c r="N4" s="1"/>
      <c r="O4" s="1"/>
      <c r="P4" s="189"/>
      <c r="Q4" s="189"/>
      <c r="R4" s="189"/>
      <c r="S4" s="189"/>
      <c r="T4" s="189"/>
      <c r="U4" s="189"/>
      <c r="V4" s="190"/>
      <c r="W4" s="189"/>
      <c r="X4" s="189"/>
      <c r="Y4" s="189"/>
      <c r="Z4" s="189"/>
      <c r="AA4" s="189"/>
      <c r="AB4" s="189"/>
      <c r="AC4" s="190"/>
      <c r="AD4" s="5"/>
      <c r="AE4" s="1"/>
      <c r="AF4" s="189"/>
      <c r="AG4" s="189"/>
      <c r="AH4" s="189"/>
      <c r="AI4" s="189"/>
      <c r="AJ4" s="189"/>
      <c r="AK4" s="189"/>
      <c r="AL4" s="190"/>
      <c r="AM4" s="189"/>
      <c r="AN4" s="189"/>
      <c r="AO4" s="189"/>
      <c r="AP4" s="189"/>
      <c r="AQ4" s="189"/>
      <c r="AR4" s="189"/>
      <c r="AS4" s="189"/>
      <c r="AT4" s="1"/>
      <c r="AU4" s="1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5"/>
      <c r="BI4" s="1"/>
      <c r="BJ4" s="189"/>
      <c r="BK4" s="189"/>
      <c r="BL4" s="189"/>
      <c r="BM4" s="189"/>
      <c r="BN4" s="189"/>
      <c r="BO4" s="189"/>
      <c r="BP4" s="190"/>
      <c r="BQ4" s="189"/>
      <c r="BR4" s="189"/>
      <c r="BS4" s="189"/>
      <c r="BT4" s="189"/>
      <c r="BU4" s="189"/>
      <c r="BV4" s="189"/>
      <c r="BW4" s="189"/>
      <c r="BX4" s="5"/>
      <c r="BY4" s="1"/>
      <c r="BZ4" s="189"/>
      <c r="CA4" s="189"/>
      <c r="CB4" s="189"/>
      <c r="CC4" s="189"/>
      <c r="CD4" s="189"/>
      <c r="CE4" s="189"/>
      <c r="CF4" s="190"/>
      <c r="CG4" s="189"/>
      <c r="CH4" s="189"/>
      <c r="CI4" s="189"/>
      <c r="CJ4" s="189"/>
      <c r="CK4" s="189"/>
      <c r="CL4" s="189"/>
      <c r="CM4" s="189"/>
      <c r="CN4" s="1"/>
      <c r="CO4" s="188"/>
      <c r="CP4" s="187"/>
      <c r="CQ4" s="214"/>
      <c r="CR4" s="214"/>
      <c r="CS4" s="214"/>
      <c r="CT4" s="216"/>
      <c r="CU4" s="218"/>
      <c r="CV4" s="232"/>
      <c r="CW4" s="231"/>
      <c r="CX4" s="4"/>
      <c r="CY4" s="227"/>
      <c r="CZ4" s="228"/>
      <c r="DA4" s="286"/>
      <c r="DB4" s="194"/>
      <c r="DC4" s="194"/>
      <c r="DD4" s="194"/>
      <c r="DE4" s="194"/>
      <c r="DF4" s="282"/>
      <c r="DG4" s="284"/>
    </row>
    <row r="5" spans="1:111" ht="13.8" customHeight="1" x14ac:dyDescent="0.3">
      <c r="A5" s="88">
        <f>2022</f>
        <v>2022</v>
      </c>
      <c r="B5" s="91">
        <v>8.8999999999999996E-2</v>
      </c>
      <c r="C5" s="167">
        <v>0.74663999999999997</v>
      </c>
      <c r="D5" s="168">
        <v>0.45084000000000002</v>
      </c>
      <c r="E5" s="169">
        <v>0.48499999999999999</v>
      </c>
      <c r="F5" s="87">
        <f>'Commodity Costs Avoided Detail'!N3</f>
        <v>5.3769773742603055</v>
      </c>
      <c r="G5" s="156">
        <v>0.5202</v>
      </c>
      <c r="H5" s="136">
        <v>5.7331799999999999</v>
      </c>
      <c r="I5" s="144">
        <f>'Greenhouse Gas Costs Avoided De'!J2</f>
        <v>4.2348587697671256</v>
      </c>
      <c r="J5" s="145">
        <v>8.6981821464711455</v>
      </c>
      <c r="K5" s="171">
        <f>'Greenhouse Gas Costs Avoided De'!O2</f>
        <v>5.0537706948556602</v>
      </c>
      <c r="L5" s="149">
        <v>1.06</v>
      </c>
      <c r="M5" s="154">
        <f>(L5-1.04)/1.04</f>
        <v>1.9230769230769246E-2</v>
      </c>
      <c r="N5" s="141">
        <v>0</v>
      </c>
      <c r="O5" s="7">
        <v>2022</v>
      </c>
      <c r="P5" s="8">
        <f t="shared" ref="P5:Q23" si="0">($B5*$H$39*365)</f>
        <v>0.6442738338206585</v>
      </c>
      <c r="Q5" s="8">
        <f t="shared" si="0"/>
        <v>0.6442738338206585</v>
      </c>
      <c r="R5" s="8">
        <f t="shared" ref="R5:R23" si="1">($B5*$H$40*365)</f>
        <v>0.57472154494229177</v>
      </c>
      <c r="S5" s="8">
        <f t="shared" ref="S5:S23" si="2">($B5*$H$41*365)</f>
        <v>0.10720049999999999</v>
      </c>
      <c r="T5" s="8">
        <f t="shared" ref="T5:T23" si="3">($B5*$H$42*365)</f>
        <v>0.11570000000000001</v>
      </c>
      <c r="U5" s="8">
        <f t="shared" ref="U5:U23" si="4">($B5*$H$43*365)</f>
        <v>8.8999999999999996E-2</v>
      </c>
      <c r="V5" s="8">
        <f t="shared" ref="V5:V23" si="5">U5</f>
        <v>8.8999999999999996E-2</v>
      </c>
      <c r="W5" s="8">
        <f t="shared" ref="W5:X23" si="6">($B5*$H$39*365)</f>
        <v>0.6442738338206585</v>
      </c>
      <c r="X5" s="8">
        <f t="shared" si="6"/>
        <v>0.6442738338206585</v>
      </c>
      <c r="Y5" s="8">
        <f t="shared" ref="Y5:Y23" si="7">($B5*$H$40*365)</f>
        <v>0.57472154494229177</v>
      </c>
      <c r="Z5" s="8">
        <f t="shared" ref="Z5:Z23" si="8">($B5*$H$41*365)</f>
        <v>0.10720049999999999</v>
      </c>
      <c r="AA5" s="8">
        <f t="shared" ref="AA5:AA23" si="9">($B5*$H$42*365)</f>
        <v>0.11570000000000001</v>
      </c>
      <c r="AB5" s="8">
        <f t="shared" ref="AB5:AB23" si="10">($B5*$H$43*365)</f>
        <v>8.8999999999999996E-2</v>
      </c>
      <c r="AC5" s="8">
        <f t="shared" ref="AC5:AC23" si="11">AB5</f>
        <v>8.8999999999999996E-2</v>
      </c>
      <c r="AD5" s="50"/>
      <c r="AE5" s="7">
        <v>2022</v>
      </c>
      <c r="AF5" s="8">
        <f t="shared" ref="AF5:AF23" si="12">($D5*$H$46*8760)</f>
        <v>4.5394336600280862</v>
      </c>
      <c r="AG5" s="8">
        <f t="shared" ref="AG5:AG23" si="13">($D5*$H$47*8760)</f>
        <v>2.2845515805370105</v>
      </c>
      <c r="AH5" s="8">
        <f t="shared" ref="AH5:AH23" si="14">($D5*$H$48*8760)</f>
        <v>5.4740229429750444</v>
      </c>
      <c r="AI5" s="8">
        <f t="shared" ref="AI5:AI23" si="15">($D5*$H$49*8760)</f>
        <v>1.0258634585384641</v>
      </c>
      <c r="AJ5" s="8">
        <f t="shared" ref="AJ5:AJ23" si="16">($D5*$H$50*8760)</f>
        <v>2.8132416000000005</v>
      </c>
      <c r="AK5" s="8">
        <f t="shared" ref="AK5:AK23" si="17">($D5*$H$51*8760)</f>
        <v>0.45084000000000002</v>
      </c>
      <c r="AL5" s="8">
        <f t="shared" ref="AL5:AL23" si="18">AK5</f>
        <v>0.45084000000000002</v>
      </c>
      <c r="AM5" s="8">
        <f t="shared" ref="AM5:AM23" si="19">($C5*$H$46*8760)</f>
        <v>7.5177951111777359</v>
      </c>
      <c r="AN5" s="8">
        <f t="shared" ref="AN5:AN23" si="20">($C5*$H$47*8760)</f>
        <v>3.7834655134685327</v>
      </c>
      <c r="AO5" s="8">
        <f t="shared" ref="AO5:AO23" si="21">($C5*$H$48*8760)</f>
        <v>9.0655764575966806</v>
      </c>
      <c r="AP5" s="8">
        <f t="shared" ref="AP5:AP23" si="22">($C5*$H$49*8760)</f>
        <v>1.6989412933261441</v>
      </c>
      <c r="AQ5" s="8">
        <f t="shared" ref="AQ5:AQ23" si="23">($C5*$H$50*8760)</f>
        <v>4.6590335999999999</v>
      </c>
      <c r="AR5" s="8">
        <f t="shared" ref="AR5:AR23" si="24">($C5*$H$51*8760)</f>
        <v>0.74663999999999997</v>
      </c>
      <c r="AS5" s="8">
        <f t="shared" ref="AS5:AS23" si="25">AR5</f>
        <v>0.74663999999999997</v>
      </c>
      <c r="AU5" s="7">
        <v>2022</v>
      </c>
      <c r="AV5" s="8">
        <f t="shared" ref="AV5:AV23" si="26">AF5+P5</f>
        <v>5.1837074938487451</v>
      </c>
      <c r="AW5" s="8">
        <f t="shared" ref="AW5:AW23" si="27">AG5+Q5</f>
        <v>2.9288254143576689</v>
      </c>
      <c r="AX5" s="8">
        <f t="shared" ref="AX5:AX23" si="28">AH5+R5</f>
        <v>6.048744487917336</v>
      </c>
      <c r="AY5" s="8">
        <f t="shared" ref="AY5:AY23" si="29">AI5+S5</f>
        <v>1.1330639585384641</v>
      </c>
      <c r="AZ5" s="8">
        <f t="shared" ref="AZ5:AZ23" si="30">AJ5+T5</f>
        <v>2.9289416000000004</v>
      </c>
      <c r="BA5" s="8">
        <f t="shared" ref="BA5:BA23" si="31">AK5+U5</f>
        <v>0.53983999999999999</v>
      </c>
      <c r="BB5" s="8">
        <f t="shared" ref="BB5:BB23" si="32">AM5+W5</f>
        <v>8.1620689449983939</v>
      </c>
      <c r="BC5" s="8">
        <f t="shared" ref="BC5:BC23" si="33">AN5+X5</f>
        <v>4.4277393472891911</v>
      </c>
      <c r="BD5" s="8">
        <f t="shared" ref="BD5:BD23" si="34">AO5+Y5</f>
        <v>9.6402980025389731</v>
      </c>
      <c r="BE5" s="8">
        <f t="shared" ref="BE5:BE23" si="35">AP5+Z5</f>
        <v>1.8061417933261441</v>
      </c>
      <c r="BF5" s="8">
        <f t="shared" ref="BF5:BF23" si="36">AQ5+AA5</f>
        <v>4.7747336000000002</v>
      </c>
      <c r="BG5" s="8">
        <f t="shared" ref="BG5:BG23" si="37">AR5+AB5</f>
        <v>0.83563999999999994</v>
      </c>
      <c r="BH5" s="50"/>
      <c r="BI5" s="7">
        <v>2022</v>
      </c>
      <c r="BJ5" s="8">
        <f>(('Commodity Costs Avoided Detail'!$AE3+AV5)*0.1)</f>
        <v>1.0696111888485511</v>
      </c>
      <c r="BK5" s="8">
        <f>(('Commodity Costs Avoided Detail'!$AE3+AW5)*0.1)</f>
        <v>0.84412298089944349</v>
      </c>
      <c r="BL5" s="8">
        <f>(('Commodity Costs Avoided Detail'!AE3+AX5)*0.1)</f>
        <v>1.15611488825541</v>
      </c>
      <c r="BM5" s="8">
        <f>(('Commodity Costs Avoided Detail'!AF3+AY5)*0.1)</f>
        <v>0.65169344836077026</v>
      </c>
      <c r="BN5" s="8">
        <f>(('Commodity Costs Avoided Detail'!AG3+AZ5)*0.1)</f>
        <v>0.83059189742603068</v>
      </c>
      <c r="BO5" s="8">
        <f>(('Commodity Costs Avoided Detail'!AH3+BA5)*0.1)</f>
        <v>0.5916817374260307</v>
      </c>
      <c r="BP5" s="8">
        <f>(('Commodity Costs Avoided Detail'!AH3)*0.1)</f>
        <v>0.53769773742603066</v>
      </c>
      <c r="BQ5" s="8">
        <f>(('Commodity Costs Avoided Detail'!AE3+BB5)*0.1)</f>
        <v>1.367447333963516</v>
      </c>
      <c r="BR5" s="8">
        <f>(('Commodity Costs Avoided Detail'!AE3+BC5)*0.1)</f>
        <v>0.99401437419259564</v>
      </c>
      <c r="BS5" s="8">
        <f>(('Commodity Costs Avoided Detail'!AE3+BD5)*0.1)</f>
        <v>1.5152702397175739</v>
      </c>
      <c r="BT5" s="8">
        <f>(('Commodity Costs Avoided Detail'!AF3+BE5)*0.1)</f>
        <v>0.71900123183953824</v>
      </c>
      <c r="BU5" s="8">
        <f>(('Commodity Costs Avoided Detail'!AG3+BF5)*0.1)</f>
        <v>1.0151710974260308</v>
      </c>
      <c r="BV5" s="8">
        <f>(('Commodity Costs Avoided Detail'!AH3+BG5)*0.1)</f>
        <v>0.62126173742603064</v>
      </c>
      <c r="BW5" s="8">
        <f>(('Commodity Costs Avoided Detail'!AH3)*0.1)</f>
        <v>0.53769773742603066</v>
      </c>
      <c r="BX5" s="50"/>
      <c r="BY5" s="7">
        <v>2022</v>
      </c>
      <c r="BZ5" s="8">
        <f>'Commodity Costs Avoided Detail'!$AE3+AV5+$H5+BJ5+$G5</f>
        <v>18.019103077334062</v>
      </c>
      <c r="CA5" s="8">
        <f>'Commodity Costs Avoided Detail'!$AE3+AW5+$H5+BK5+$G5</f>
        <v>15.538732789893878</v>
      </c>
      <c r="CB5" s="8">
        <f>'Commodity Costs Avoided Detail'!AE3+AX5+$H5+BL5+G5</f>
        <v>18.970643770809509</v>
      </c>
      <c r="CC5" s="8">
        <f>'Commodity Costs Avoided Detail'!AF3+AY5+$H5+BM5+$G5</f>
        <v>13.422007931968473</v>
      </c>
      <c r="CD5" s="8">
        <f>'Commodity Costs Avoided Detail'!AG3+AZ5+$H5+BN5+$G5</f>
        <v>15.389890871686337</v>
      </c>
      <c r="CE5" s="8">
        <f>'Commodity Costs Avoided Detail'!AH3+BA5+$H5+BO5+$G5</f>
        <v>12.761879111686337</v>
      </c>
      <c r="CF5" s="8">
        <f>'Commodity Costs Avoided Detail'!AH3+$H5+BP5+$G5</f>
        <v>12.168055111686339</v>
      </c>
      <c r="CG5" s="8">
        <f>'Commodity Costs Avoided Detail'!$AE3+BB5+$K5+BQ5+$G5</f>
        <v>20.615891368454335</v>
      </c>
      <c r="CH5" s="8">
        <f>'Commodity Costs Avoided Detail'!$AE3+BC5+$K5+BR5+$G5</f>
        <v>16.50812881097421</v>
      </c>
      <c r="CI5" s="8">
        <f>'Commodity Costs Avoided Detail'!AE3+BD5+$K5+BS5+$G5</f>
        <v>22.241943331748971</v>
      </c>
      <c r="CJ5" s="8">
        <f>'Commodity Costs Avoided Detail'!AF3+BE5+$K5+BT5+$G5</f>
        <v>13.482984245090581</v>
      </c>
      <c r="CK5" s="8">
        <f>'Commodity Costs Avoided Detail'!AG3+BF5+$K5+BU5+$G5</f>
        <v>16.740852766541998</v>
      </c>
      <c r="CL5" s="8">
        <f>'Commodity Costs Avoided Detail'!AH3+BG5+$K5+BV5+$G5</f>
        <v>12.407849806541996</v>
      </c>
      <c r="CM5" s="8">
        <f>'Commodity Costs Avoided Detail'!AH3+$K5+BW5+$G5</f>
        <v>11.488645806541999</v>
      </c>
      <c r="CO5" s="203" t="s">
        <v>25</v>
      </c>
      <c r="CP5" s="66" t="s">
        <v>8</v>
      </c>
      <c r="CQ5" s="10">
        <f>'Commodity Costs Avoided Detail'!AE32</f>
        <v>3.5968875798474569</v>
      </c>
      <c r="CR5" s="206">
        <f>H34</f>
        <v>7.5694291911940814</v>
      </c>
      <c r="CS5" s="206">
        <f>IF(G34&lt;0,0,G34)</f>
        <v>0.52020000000000011</v>
      </c>
      <c r="CT5" s="10">
        <f>P34</f>
        <v>0.64427383382065839</v>
      </c>
      <c r="CU5" s="62">
        <f>AF34</f>
        <v>4.5394336600280862</v>
      </c>
      <c r="CV5" s="58">
        <f>BJ34</f>
        <v>0.87805950736962013</v>
      </c>
      <c r="CW5" s="11">
        <f t="shared" ref="CW5:CW10" si="38">CQ5+CR$5+CS$5+CT5+CU5+CV5</f>
        <v>17.748283772259903</v>
      </c>
      <c r="CX5" s="54"/>
      <c r="CY5" s="209" t="str">
        <f t="shared" ref="CY5:DF5" si="39">CO5</f>
        <v>Oregon</v>
      </c>
      <c r="CZ5" s="73" t="str">
        <f t="shared" si="39"/>
        <v xml:space="preserve">Residential Space Heating </v>
      </c>
      <c r="DA5" s="76">
        <f t="shared" si="39"/>
        <v>3.5968875798474569</v>
      </c>
      <c r="DB5" s="76">
        <f>CR5</f>
        <v>7.5694291911940814</v>
      </c>
      <c r="DC5" s="76">
        <f>$CS$5</f>
        <v>0.52020000000000011</v>
      </c>
      <c r="DD5" s="76">
        <f t="shared" si="39"/>
        <v>0.64427383382065839</v>
      </c>
      <c r="DE5" s="76">
        <f t="shared" si="39"/>
        <v>4.5394336600280862</v>
      </c>
      <c r="DF5" s="77">
        <f t="shared" si="39"/>
        <v>0.87805950736962013</v>
      </c>
      <c r="DG5" s="78">
        <f>SUM(DA5:DF5)</f>
        <v>17.748283772259903</v>
      </c>
    </row>
    <row r="6" spans="1:111" ht="13.8" customHeight="1" x14ac:dyDescent="0.3">
      <c r="A6" s="88">
        <f t="shared" ref="A6:A33" si="40">A5+1</f>
        <v>2023</v>
      </c>
      <c r="B6" s="91">
        <v>8.8999999999999996E-2</v>
      </c>
      <c r="C6" s="167">
        <v>0.74663999999999997</v>
      </c>
      <c r="D6" s="168">
        <v>0.45084000000000002</v>
      </c>
      <c r="E6" s="169">
        <v>0.48499999999999999</v>
      </c>
      <c r="F6" s="87">
        <f>'Commodity Costs Avoided Detail'!N4</f>
        <v>4.2713392976594973</v>
      </c>
      <c r="G6" s="156">
        <v>0.5202</v>
      </c>
      <c r="H6" s="136">
        <v>5.7862650000000002</v>
      </c>
      <c r="I6" s="144">
        <f>'Greenhouse Gas Costs Avoided De'!J3</f>
        <v>4.3217869046506889</v>
      </c>
      <c r="J6" s="146">
        <v>8.9004654522030329</v>
      </c>
      <c r="K6" s="172">
        <f>'Greenhouse Gas Costs Avoided De'!O3</f>
        <v>5.1575084779829981</v>
      </c>
      <c r="L6" s="149">
        <v>1.0900000000000001</v>
      </c>
      <c r="M6" s="154">
        <f t="shared" ref="M6:M33" si="41">(L6-L5)/L5</f>
        <v>2.8301886792452855E-2</v>
      </c>
      <c r="N6" s="141">
        <v>107</v>
      </c>
      <c r="O6" s="7">
        <f t="shared" ref="O6:O33" si="42">O5+1</f>
        <v>2023</v>
      </c>
      <c r="P6" s="8">
        <f t="shared" si="0"/>
        <v>0.6442738338206585</v>
      </c>
      <c r="Q6" s="8">
        <f t="shared" si="0"/>
        <v>0.6442738338206585</v>
      </c>
      <c r="R6" s="8">
        <f t="shared" si="1"/>
        <v>0.57472154494229177</v>
      </c>
      <c r="S6" s="8">
        <f t="shared" si="2"/>
        <v>0.10720049999999999</v>
      </c>
      <c r="T6" s="8">
        <f t="shared" si="3"/>
        <v>0.11570000000000001</v>
      </c>
      <c r="U6" s="8">
        <f t="shared" si="4"/>
        <v>8.8999999999999996E-2</v>
      </c>
      <c r="V6" s="8">
        <f t="shared" si="5"/>
        <v>8.8999999999999996E-2</v>
      </c>
      <c r="W6" s="8">
        <f t="shared" si="6"/>
        <v>0.6442738338206585</v>
      </c>
      <c r="X6" s="8">
        <f t="shared" si="6"/>
        <v>0.6442738338206585</v>
      </c>
      <c r="Y6" s="8">
        <f t="shared" si="7"/>
        <v>0.57472154494229177</v>
      </c>
      <c r="Z6" s="8">
        <f t="shared" si="8"/>
        <v>0.10720049999999999</v>
      </c>
      <c r="AA6" s="8">
        <f t="shared" si="9"/>
        <v>0.11570000000000001</v>
      </c>
      <c r="AB6" s="8">
        <f t="shared" si="10"/>
        <v>8.8999999999999996E-2</v>
      </c>
      <c r="AC6" s="8">
        <f t="shared" si="11"/>
        <v>8.8999999999999996E-2</v>
      </c>
      <c r="AD6" s="50"/>
      <c r="AE6" s="7">
        <f t="shared" ref="AE6:AE33" si="43">AE5+1</f>
        <v>2023</v>
      </c>
      <c r="AF6" s="8">
        <f t="shared" si="12"/>
        <v>4.5394336600280862</v>
      </c>
      <c r="AG6" s="8">
        <f t="shared" si="13"/>
        <v>2.2845515805370105</v>
      </c>
      <c r="AH6" s="8">
        <f t="shared" si="14"/>
        <v>5.4740229429750444</v>
      </c>
      <c r="AI6" s="8">
        <f t="shared" si="15"/>
        <v>1.0258634585384641</v>
      </c>
      <c r="AJ6" s="8">
        <f t="shared" si="16"/>
        <v>2.8132416000000005</v>
      </c>
      <c r="AK6" s="8">
        <f t="shared" si="17"/>
        <v>0.45084000000000002</v>
      </c>
      <c r="AL6" s="8">
        <f t="shared" si="18"/>
        <v>0.45084000000000002</v>
      </c>
      <c r="AM6" s="8">
        <f t="shared" si="19"/>
        <v>7.5177951111777359</v>
      </c>
      <c r="AN6" s="8">
        <f t="shared" si="20"/>
        <v>3.7834655134685327</v>
      </c>
      <c r="AO6" s="8">
        <f t="shared" si="21"/>
        <v>9.0655764575966806</v>
      </c>
      <c r="AP6" s="8">
        <f t="shared" si="22"/>
        <v>1.6989412933261441</v>
      </c>
      <c r="AQ6" s="8">
        <f t="shared" si="23"/>
        <v>4.6590335999999999</v>
      </c>
      <c r="AR6" s="8">
        <f t="shared" si="24"/>
        <v>0.74663999999999997</v>
      </c>
      <c r="AS6" s="8">
        <f t="shared" si="25"/>
        <v>0.74663999999999997</v>
      </c>
      <c r="AU6" s="7">
        <f t="shared" ref="AU6:AU33" si="44">AU5+1</f>
        <v>2023</v>
      </c>
      <c r="AV6" s="8">
        <f t="shared" si="26"/>
        <v>5.1837074938487451</v>
      </c>
      <c r="AW6" s="8">
        <f t="shared" si="27"/>
        <v>2.9288254143576689</v>
      </c>
      <c r="AX6" s="8">
        <f t="shared" si="28"/>
        <v>6.048744487917336</v>
      </c>
      <c r="AY6" s="8">
        <f t="shared" si="29"/>
        <v>1.1330639585384641</v>
      </c>
      <c r="AZ6" s="8">
        <f t="shared" si="30"/>
        <v>2.9289416000000004</v>
      </c>
      <c r="BA6" s="8">
        <f t="shared" si="31"/>
        <v>0.53983999999999999</v>
      </c>
      <c r="BB6" s="8">
        <f t="shared" si="32"/>
        <v>8.1620689449983939</v>
      </c>
      <c r="BC6" s="8">
        <f t="shared" si="33"/>
        <v>4.4277393472891911</v>
      </c>
      <c r="BD6" s="8">
        <f t="shared" si="34"/>
        <v>9.6402980025389731</v>
      </c>
      <c r="BE6" s="8">
        <f t="shared" si="35"/>
        <v>1.8061417933261441</v>
      </c>
      <c r="BF6" s="8">
        <f t="shared" si="36"/>
        <v>4.7747336000000002</v>
      </c>
      <c r="BG6" s="8">
        <f t="shared" si="37"/>
        <v>0.83563999999999994</v>
      </c>
      <c r="BH6" s="50"/>
      <c r="BI6" s="7">
        <f t="shared" ref="BI6:BI33" si="45">BI5+1</f>
        <v>2023</v>
      </c>
      <c r="BJ6" s="8">
        <f>(('Commodity Costs Avoided Detail'!$AE4+AV6)*0.1)</f>
        <v>1.0083441749947959</v>
      </c>
      <c r="BK6" s="8">
        <f>(('Commodity Costs Avoided Detail'!$AE4+AW6)*0.1)</f>
        <v>0.78285596704568816</v>
      </c>
      <c r="BL6" s="8">
        <f>(('Commodity Costs Avoided Detail'!AE4+AX6)*0.1)</f>
        <v>1.0948478744016548</v>
      </c>
      <c r="BM6" s="8">
        <f>(('Commodity Costs Avoided Detail'!AF4+AY6)*0.1)</f>
        <v>0.55007960213210072</v>
      </c>
      <c r="BN6" s="8">
        <f>(('Commodity Costs Avoided Detail'!AG4+AZ6)*0.1)</f>
        <v>0.7200280897659499</v>
      </c>
      <c r="BO6" s="8">
        <f>(('Commodity Costs Avoided Detail'!AH4+BA6)*0.1)</f>
        <v>0.4811179297659498</v>
      </c>
      <c r="BP6" s="8">
        <f>(('Commodity Costs Avoided Detail'!AH4)*0.1)</f>
        <v>0.42713392976594983</v>
      </c>
      <c r="BQ6" s="8">
        <f>(('Commodity Costs Avoided Detail'!AE4+BB6)*0.1)</f>
        <v>1.3061803201097608</v>
      </c>
      <c r="BR6" s="8">
        <f>(('Commodity Costs Avoided Detail'!AE4+BC6)*0.1)</f>
        <v>0.93274736033884043</v>
      </c>
      <c r="BS6" s="8">
        <f>(('Commodity Costs Avoided Detail'!AE4+BD6)*0.1)</f>
        <v>1.4540032258638185</v>
      </c>
      <c r="BT6" s="8">
        <f>(('Commodity Costs Avoided Detail'!AF4+BE6)*0.1)</f>
        <v>0.6173873856108687</v>
      </c>
      <c r="BU6" s="8">
        <f>(('Commodity Costs Avoided Detail'!AG4+BF6)*0.1)</f>
        <v>0.90460728976594995</v>
      </c>
      <c r="BV6" s="8">
        <f>(('Commodity Costs Avoided Detail'!AH4+BG6)*0.1)</f>
        <v>0.51069792976594985</v>
      </c>
      <c r="BW6" s="8">
        <f>(('Commodity Costs Avoided Detail'!AH4)*0.1)</f>
        <v>0.42713392976594983</v>
      </c>
      <c r="BX6" s="50"/>
      <c r="BY6" s="7">
        <f t="shared" ref="BY6:BY33" si="46">BY5+1</f>
        <v>2023</v>
      </c>
      <c r="BZ6" s="8">
        <f>'Commodity Costs Avoided Detail'!$AE4+AV6+$H6+BJ6+$G6</f>
        <v>17.398250924942754</v>
      </c>
      <c r="CA6" s="8">
        <f>'Commodity Costs Avoided Detail'!$AE4+AW6+$H6+BK6+$G6</f>
        <v>14.91788063750257</v>
      </c>
      <c r="CB6" s="8">
        <f>'Commodity Costs Avoided Detail'!AE4+AX6+$H6+BL6+G6</f>
        <v>18.349791618418202</v>
      </c>
      <c r="CC6" s="8">
        <f>'Commodity Costs Avoided Detail'!AF4+AY6+$H6+BM6+$G6</f>
        <v>12.357340623453108</v>
      </c>
      <c r="CD6" s="8">
        <f>'Commodity Costs Avoided Detail'!AG4+AZ6+$H6+BN6+$G6</f>
        <v>14.22677398742545</v>
      </c>
      <c r="CE6" s="8">
        <f>'Commodity Costs Avoided Detail'!AH4+BA6+$H6+BO6+$G6</f>
        <v>11.598762227425446</v>
      </c>
      <c r="CF6" s="8">
        <f>'Commodity Costs Avoided Detail'!AH4+$H6+BP6+$G6</f>
        <v>11.004938227425448</v>
      </c>
      <c r="CG6" s="8">
        <f>'Commodity Costs Avoided Detail'!$AE4+BB6+$K6+BQ6+$G6</f>
        <v>20.045691999190364</v>
      </c>
      <c r="CH6" s="8">
        <f>'Commodity Costs Avoided Detail'!$AE4+BC6+$K6+BR6+$G6</f>
        <v>15.937929441710242</v>
      </c>
      <c r="CI6" s="8">
        <f>'Commodity Costs Avoided Detail'!AE4+BD6+$K6+BS6+$G6</f>
        <v>21.671743962484999</v>
      </c>
      <c r="CJ6" s="8">
        <f>'Commodity Costs Avoided Detail'!AF4+BE6+$K6+BT6+$G6</f>
        <v>12.468969719702553</v>
      </c>
      <c r="CK6" s="8">
        <f>'Commodity Costs Avoided Detail'!AG4+BF6+$K6+BU6+$G6</f>
        <v>15.628388665408448</v>
      </c>
      <c r="CL6" s="8">
        <f>'Commodity Costs Avoided Detail'!AH4+BG6+$K6+BV6+$G6</f>
        <v>11.295385705408446</v>
      </c>
      <c r="CM6" s="8">
        <f>'Commodity Costs Avoided Detail'!AH4+$K6+BW6+$G6</f>
        <v>10.376181705408445</v>
      </c>
      <c r="CO6" s="204"/>
      <c r="CP6" s="67" t="s">
        <v>9</v>
      </c>
      <c r="CQ6" s="12">
        <f>'Commodity Costs Avoided Detail'!AE32</f>
        <v>3.5968875798474569</v>
      </c>
      <c r="CR6" s="207"/>
      <c r="CS6" s="207"/>
      <c r="CT6" s="12">
        <f>Q34</f>
        <v>0.64427383382065839</v>
      </c>
      <c r="CU6" s="63">
        <f>AG34</f>
        <v>2.2845515805370105</v>
      </c>
      <c r="CV6" s="59">
        <f>BK34</f>
        <v>0.65257129942051273</v>
      </c>
      <c r="CW6" s="13">
        <f t="shared" si="38"/>
        <v>15.267913484819722</v>
      </c>
      <c r="CX6" s="54"/>
      <c r="CY6" s="210"/>
      <c r="CZ6" s="72" t="str">
        <f t="shared" ref="CZ6:DA10" si="47">CP6</f>
        <v>Residential Hearths and Fireplaces</v>
      </c>
      <c r="DA6" s="79">
        <f t="shared" si="47"/>
        <v>3.5968875798474569</v>
      </c>
      <c r="DB6" s="79">
        <f t="shared" ref="DB6:DB11" si="48">DB5</f>
        <v>7.5694291911940814</v>
      </c>
      <c r="DC6" s="79">
        <f t="shared" ref="DC6:DC11" si="49">DC$5</f>
        <v>0.52020000000000011</v>
      </c>
      <c r="DD6" s="79">
        <f t="shared" ref="DD6:DF10" si="50">CT6</f>
        <v>0.64427383382065839</v>
      </c>
      <c r="DE6" s="79">
        <f t="shared" si="50"/>
        <v>2.2845515805370105</v>
      </c>
      <c r="DF6" s="80">
        <f t="shared" si="50"/>
        <v>0.65257129942051273</v>
      </c>
      <c r="DG6" s="81">
        <f t="shared" ref="DG6:DG18" si="51">SUM(DA6:DF6)</f>
        <v>15.267913484819722</v>
      </c>
    </row>
    <row r="7" spans="1:111" ht="13.8" customHeight="1" x14ac:dyDescent="0.3">
      <c r="A7" s="88">
        <f t="shared" si="40"/>
        <v>2024</v>
      </c>
      <c r="B7" s="91">
        <v>8.8999999999999996E-2</v>
      </c>
      <c r="C7" s="167">
        <v>0.74663999999999997</v>
      </c>
      <c r="D7" s="168">
        <v>0.45084000000000002</v>
      </c>
      <c r="E7" s="169">
        <v>0.48499999999999999</v>
      </c>
      <c r="F7" s="87">
        <f>'Commodity Costs Avoided Detail'!N5</f>
        <v>2.9937274896433692</v>
      </c>
      <c r="G7" s="156">
        <v>0.5202</v>
      </c>
      <c r="H7" s="136">
        <v>5.8393499999999996</v>
      </c>
      <c r="I7" s="144">
        <f>'Greenhouse Gas Costs Avoided De'!J4</f>
        <v>4.4087150395342523</v>
      </c>
      <c r="J7" s="146">
        <v>9.1027487579349202</v>
      </c>
      <c r="K7" s="172">
        <f>'Greenhouse Gas Costs Avoided De'!O4</f>
        <v>5.2612462611103377</v>
      </c>
      <c r="L7" s="149">
        <v>1.1200000000000001</v>
      </c>
      <c r="M7" s="154">
        <f t="shared" si="41"/>
        <v>2.7522935779816536E-2</v>
      </c>
      <c r="N7" s="141">
        <v>108</v>
      </c>
      <c r="O7" s="7">
        <f t="shared" si="42"/>
        <v>2024</v>
      </c>
      <c r="P7" s="8">
        <f t="shared" si="0"/>
        <v>0.6442738338206585</v>
      </c>
      <c r="Q7" s="8">
        <f t="shared" si="0"/>
        <v>0.6442738338206585</v>
      </c>
      <c r="R7" s="8">
        <f t="shared" si="1"/>
        <v>0.57472154494229177</v>
      </c>
      <c r="S7" s="8">
        <f t="shared" si="2"/>
        <v>0.10720049999999999</v>
      </c>
      <c r="T7" s="8">
        <f t="shared" si="3"/>
        <v>0.11570000000000001</v>
      </c>
      <c r="U7" s="8">
        <f t="shared" si="4"/>
        <v>8.8999999999999996E-2</v>
      </c>
      <c r="V7" s="8">
        <f t="shared" si="5"/>
        <v>8.8999999999999996E-2</v>
      </c>
      <c r="W7" s="8">
        <f t="shared" si="6"/>
        <v>0.6442738338206585</v>
      </c>
      <c r="X7" s="8">
        <f t="shared" si="6"/>
        <v>0.6442738338206585</v>
      </c>
      <c r="Y7" s="8">
        <f t="shared" si="7"/>
        <v>0.57472154494229177</v>
      </c>
      <c r="Z7" s="8">
        <f t="shared" si="8"/>
        <v>0.10720049999999999</v>
      </c>
      <c r="AA7" s="8">
        <f t="shared" si="9"/>
        <v>0.11570000000000001</v>
      </c>
      <c r="AB7" s="8">
        <f t="shared" si="10"/>
        <v>8.8999999999999996E-2</v>
      </c>
      <c r="AC7" s="8">
        <f t="shared" si="11"/>
        <v>8.8999999999999996E-2</v>
      </c>
      <c r="AD7" s="50"/>
      <c r="AE7" s="7">
        <f t="shared" si="43"/>
        <v>2024</v>
      </c>
      <c r="AF7" s="8">
        <f t="shared" si="12"/>
        <v>4.5394336600280862</v>
      </c>
      <c r="AG7" s="8">
        <f t="shared" si="13"/>
        <v>2.2845515805370105</v>
      </c>
      <c r="AH7" s="8">
        <f t="shared" si="14"/>
        <v>5.4740229429750444</v>
      </c>
      <c r="AI7" s="8">
        <f t="shared" si="15"/>
        <v>1.0258634585384641</v>
      </c>
      <c r="AJ7" s="8">
        <f t="shared" si="16"/>
        <v>2.8132416000000005</v>
      </c>
      <c r="AK7" s="8">
        <f t="shared" si="17"/>
        <v>0.45084000000000002</v>
      </c>
      <c r="AL7" s="8">
        <f t="shared" si="18"/>
        <v>0.45084000000000002</v>
      </c>
      <c r="AM7" s="8">
        <f t="shared" si="19"/>
        <v>7.5177951111777359</v>
      </c>
      <c r="AN7" s="8">
        <f t="shared" si="20"/>
        <v>3.7834655134685327</v>
      </c>
      <c r="AO7" s="8">
        <f t="shared" si="21"/>
        <v>9.0655764575966806</v>
      </c>
      <c r="AP7" s="8">
        <f t="shared" si="22"/>
        <v>1.6989412933261441</v>
      </c>
      <c r="AQ7" s="8">
        <f t="shared" si="23"/>
        <v>4.6590335999999999</v>
      </c>
      <c r="AR7" s="8">
        <f t="shared" si="24"/>
        <v>0.74663999999999997</v>
      </c>
      <c r="AS7" s="8">
        <f t="shared" si="25"/>
        <v>0.74663999999999997</v>
      </c>
      <c r="AU7" s="7">
        <f t="shared" si="44"/>
        <v>2024</v>
      </c>
      <c r="AV7" s="8">
        <f t="shared" si="26"/>
        <v>5.1837074938487451</v>
      </c>
      <c r="AW7" s="8">
        <f t="shared" si="27"/>
        <v>2.9288254143576689</v>
      </c>
      <c r="AX7" s="8">
        <f t="shared" si="28"/>
        <v>6.048744487917336</v>
      </c>
      <c r="AY7" s="8">
        <f t="shared" si="29"/>
        <v>1.1330639585384641</v>
      </c>
      <c r="AZ7" s="8">
        <f t="shared" si="30"/>
        <v>2.9289416000000004</v>
      </c>
      <c r="BA7" s="8">
        <f t="shared" si="31"/>
        <v>0.53983999999999999</v>
      </c>
      <c r="BB7" s="8">
        <f t="shared" si="32"/>
        <v>8.1620689449983939</v>
      </c>
      <c r="BC7" s="8">
        <f t="shared" si="33"/>
        <v>4.4277393472891911</v>
      </c>
      <c r="BD7" s="8">
        <f t="shared" si="34"/>
        <v>9.6402980025389731</v>
      </c>
      <c r="BE7" s="8">
        <f t="shared" si="35"/>
        <v>1.8061417933261441</v>
      </c>
      <c r="BF7" s="8">
        <f t="shared" si="36"/>
        <v>4.7747336000000002</v>
      </c>
      <c r="BG7" s="8">
        <f t="shared" si="37"/>
        <v>0.83563999999999994</v>
      </c>
      <c r="BH7" s="50"/>
      <c r="BI7" s="7">
        <f t="shared" si="45"/>
        <v>2024</v>
      </c>
      <c r="BJ7" s="8">
        <f>(('Commodity Costs Avoided Detail'!$AE5+AV7)*0.1)</f>
        <v>0.86603365073981764</v>
      </c>
      <c r="BK7" s="8">
        <f>(('Commodity Costs Avoided Detail'!$AE5+AW7)*0.1)</f>
        <v>0.64054544279071013</v>
      </c>
      <c r="BL7" s="8">
        <f>(('Commodity Costs Avoided Detail'!AE5+AX7)*0.1)</f>
        <v>0.95253735014667673</v>
      </c>
      <c r="BM7" s="8">
        <f>(('Commodity Costs Avoided Detail'!AF5+AY7)*0.1)</f>
        <v>0.41949799014883365</v>
      </c>
      <c r="BN7" s="8">
        <f>(('Commodity Costs Avoided Detail'!AG5+AZ7)*0.1)</f>
        <v>0.59226690896433709</v>
      </c>
      <c r="BO7" s="8">
        <f>(('Commodity Costs Avoided Detail'!AH5+BA7)*0.1)</f>
        <v>0.353356748964337</v>
      </c>
      <c r="BP7" s="8">
        <f>(('Commodity Costs Avoided Detail'!AH5)*0.1)</f>
        <v>0.29937274896433702</v>
      </c>
      <c r="BQ7" s="8">
        <f>(('Commodity Costs Avoided Detail'!AE5+BB7)*0.1)</f>
        <v>1.1638697958547826</v>
      </c>
      <c r="BR7" s="8">
        <f>(('Commodity Costs Avoided Detail'!AE5+BC7)*0.1)</f>
        <v>0.79043683608386228</v>
      </c>
      <c r="BS7" s="8">
        <f>(('Commodity Costs Avoided Detail'!AE5+BD7)*0.1)</f>
        <v>1.3116927016088404</v>
      </c>
      <c r="BT7" s="8">
        <f>(('Commodity Costs Avoided Detail'!AF5+BE7)*0.1)</f>
        <v>0.48680577362760169</v>
      </c>
      <c r="BU7" s="8">
        <f>(('Commodity Costs Avoided Detail'!AG5+BF7)*0.1)</f>
        <v>0.77684610896433703</v>
      </c>
      <c r="BV7" s="8">
        <f>(('Commodity Costs Avoided Detail'!AH5+BG7)*0.1)</f>
        <v>0.38293674896433699</v>
      </c>
      <c r="BW7" s="8">
        <f>(('Commodity Costs Avoided Detail'!AH5)*0.1)</f>
        <v>0.29937274896433702</v>
      </c>
      <c r="BX7" s="50"/>
      <c r="BY7" s="7">
        <f t="shared" si="46"/>
        <v>2024</v>
      </c>
      <c r="BZ7" s="8">
        <f>'Commodity Costs Avoided Detail'!$AE5+AV7+$H7+BJ7+$G7</f>
        <v>15.885920158137992</v>
      </c>
      <c r="CA7" s="8">
        <f>'Commodity Costs Avoided Detail'!$AE5+AW7+$H7+BK7+$G7</f>
        <v>13.405549870697811</v>
      </c>
      <c r="CB7" s="8">
        <f>'Commodity Costs Avoided Detail'!AE5+AX7+$H7+BL7+G7</f>
        <v>16.837460851613443</v>
      </c>
      <c r="CC7" s="8">
        <f>'Commodity Costs Avoided Detail'!AF5+AY7+$H7+BM7+$G7</f>
        <v>10.974027891637171</v>
      </c>
      <c r="CD7" s="8">
        <f>'Commodity Costs Avoided Detail'!AG5+AZ7+$H7+BN7+$G7</f>
        <v>12.874485998607707</v>
      </c>
      <c r="CE7" s="8">
        <f>'Commodity Costs Avoided Detail'!AH5+BA7+$H7+BO7+$G7</f>
        <v>10.246474238607707</v>
      </c>
      <c r="CF7" s="8">
        <f>'Commodity Costs Avoided Detail'!AH5+$H7+BP7+$G7</f>
        <v>9.6526502386077055</v>
      </c>
      <c r="CG7" s="8">
        <f>'Commodity Costs Avoided Detail'!$AE5+BB7+$K7+BQ7+$G7</f>
        <v>18.584014015512945</v>
      </c>
      <c r="CH7" s="8">
        <f>'Commodity Costs Avoided Detail'!$AE5+BC7+$K7+BR7+$G7</f>
        <v>14.476251458032824</v>
      </c>
      <c r="CI7" s="8">
        <f>'Commodity Costs Avoided Detail'!AE5+BD7+$K7+BS7+$G7</f>
        <v>20.210065978807581</v>
      </c>
      <c r="CJ7" s="8">
        <f>'Commodity Costs Avoided Detail'!AF5+BE7+$K7+BT7+$G7</f>
        <v>11.136309771013956</v>
      </c>
      <c r="CK7" s="8">
        <f>'Commodity Costs Avoided Detail'!AG5+BF7+$K7+BU7+$G7</f>
        <v>14.326753459718045</v>
      </c>
      <c r="CL7" s="8">
        <f>'Commodity Costs Avoided Detail'!AH5+BG7+$K7+BV7+$G7</f>
        <v>9.9937504997180433</v>
      </c>
      <c r="CM7" s="8">
        <f>'Commodity Costs Avoided Detail'!AH5+$K7+BW7+$G7</f>
        <v>9.0745464997180463</v>
      </c>
      <c r="CO7" s="204"/>
      <c r="CP7" s="67" t="s">
        <v>10</v>
      </c>
      <c r="CQ7" s="12">
        <f>'Commodity Costs Avoided Detail'!AE32</f>
        <v>3.5968875798474569</v>
      </c>
      <c r="CR7" s="207"/>
      <c r="CS7" s="207"/>
      <c r="CT7" s="12">
        <f>R34</f>
        <v>0.57472154494229166</v>
      </c>
      <c r="CU7" s="63">
        <f>AH34</f>
        <v>5.4740229429750444</v>
      </c>
      <c r="CV7" s="59">
        <f>BL34</f>
        <v>0.964563206776479</v>
      </c>
      <c r="CW7" s="13">
        <f t="shared" si="38"/>
        <v>18.699824465735354</v>
      </c>
      <c r="CX7" s="54"/>
      <c r="CY7" s="210"/>
      <c r="CZ7" s="72" t="str">
        <f t="shared" si="47"/>
        <v>Commercial Space Heating</v>
      </c>
      <c r="DA7" s="79">
        <f t="shared" si="47"/>
        <v>3.5968875798474569</v>
      </c>
      <c r="DB7" s="79">
        <f t="shared" si="48"/>
        <v>7.5694291911940814</v>
      </c>
      <c r="DC7" s="79">
        <f t="shared" si="49"/>
        <v>0.52020000000000011</v>
      </c>
      <c r="DD7" s="79">
        <f t="shared" si="50"/>
        <v>0.57472154494229166</v>
      </c>
      <c r="DE7" s="79">
        <f t="shared" si="50"/>
        <v>5.4740229429750444</v>
      </c>
      <c r="DF7" s="80">
        <f t="shared" si="50"/>
        <v>0.964563206776479</v>
      </c>
      <c r="DG7" s="81">
        <f t="shared" si="51"/>
        <v>18.699824465735354</v>
      </c>
    </row>
    <row r="8" spans="1:111" ht="13.8" customHeight="1" x14ac:dyDescent="0.3">
      <c r="A8" s="88">
        <f t="shared" si="40"/>
        <v>2025</v>
      </c>
      <c r="B8" s="91">
        <v>8.8999999999999996E-2</v>
      </c>
      <c r="C8" s="167">
        <v>0.74663999999999997</v>
      </c>
      <c r="D8" s="168">
        <v>0.45084000000000002</v>
      </c>
      <c r="E8" s="169">
        <v>0.48499999999999999</v>
      </c>
      <c r="F8" s="87">
        <f>'Commodity Costs Avoided Detail'!N6</f>
        <v>3.3447101012826419</v>
      </c>
      <c r="G8" s="156">
        <v>0.5202</v>
      </c>
      <c r="H8" s="136">
        <v>5.8924349999999999</v>
      </c>
      <c r="I8" s="144">
        <f>'Greenhouse Gas Costs Avoided De'!J5</f>
        <v>4.4956431744178156</v>
      </c>
      <c r="J8" s="146">
        <v>9.3050320636668058</v>
      </c>
      <c r="K8" s="172">
        <f>'Greenhouse Gas Costs Avoided De'!O5</f>
        <v>5.3649840442376764</v>
      </c>
      <c r="L8" s="149">
        <v>1.1399999999999999</v>
      </c>
      <c r="M8" s="154">
        <f t="shared" si="41"/>
        <v>1.7857142857142672E-2</v>
      </c>
      <c r="N8" s="141">
        <v>109</v>
      </c>
      <c r="O8" s="7">
        <f t="shared" si="42"/>
        <v>2025</v>
      </c>
      <c r="P8" s="8">
        <f t="shared" si="0"/>
        <v>0.6442738338206585</v>
      </c>
      <c r="Q8" s="8">
        <f t="shared" si="0"/>
        <v>0.6442738338206585</v>
      </c>
      <c r="R8" s="8">
        <f t="shared" si="1"/>
        <v>0.57472154494229177</v>
      </c>
      <c r="S8" s="8">
        <f t="shared" si="2"/>
        <v>0.10720049999999999</v>
      </c>
      <c r="T8" s="8">
        <f t="shared" si="3"/>
        <v>0.11570000000000001</v>
      </c>
      <c r="U8" s="8">
        <f t="shared" si="4"/>
        <v>8.8999999999999996E-2</v>
      </c>
      <c r="V8" s="8">
        <f t="shared" si="5"/>
        <v>8.8999999999999996E-2</v>
      </c>
      <c r="W8" s="8">
        <f t="shared" si="6"/>
        <v>0.6442738338206585</v>
      </c>
      <c r="X8" s="8">
        <f t="shared" si="6"/>
        <v>0.6442738338206585</v>
      </c>
      <c r="Y8" s="8">
        <f t="shared" si="7"/>
        <v>0.57472154494229177</v>
      </c>
      <c r="Z8" s="8">
        <f t="shared" si="8"/>
        <v>0.10720049999999999</v>
      </c>
      <c r="AA8" s="8">
        <f t="shared" si="9"/>
        <v>0.11570000000000001</v>
      </c>
      <c r="AB8" s="8">
        <f t="shared" si="10"/>
        <v>8.8999999999999996E-2</v>
      </c>
      <c r="AC8" s="8">
        <f t="shared" si="11"/>
        <v>8.8999999999999996E-2</v>
      </c>
      <c r="AD8" s="50"/>
      <c r="AE8" s="7">
        <f t="shared" si="43"/>
        <v>2025</v>
      </c>
      <c r="AF8" s="8">
        <f t="shared" si="12"/>
        <v>4.5394336600280862</v>
      </c>
      <c r="AG8" s="8">
        <f t="shared" si="13"/>
        <v>2.2845515805370105</v>
      </c>
      <c r="AH8" s="8">
        <f t="shared" si="14"/>
        <v>5.4740229429750444</v>
      </c>
      <c r="AI8" s="8">
        <f t="shared" si="15"/>
        <v>1.0258634585384641</v>
      </c>
      <c r="AJ8" s="8">
        <f t="shared" si="16"/>
        <v>2.8132416000000005</v>
      </c>
      <c r="AK8" s="8">
        <f t="shared" si="17"/>
        <v>0.45084000000000002</v>
      </c>
      <c r="AL8" s="8">
        <f t="shared" si="18"/>
        <v>0.45084000000000002</v>
      </c>
      <c r="AM8" s="8">
        <f t="shared" si="19"/>
        <v>7.5177951111777359</v>
      </c>
      <c r="AN8" s="8">
        <f t="shared" si="20"/>
        <v>3.7834655134685327</v>
      </c>
      <c r="AO8" s="8">
        <f t="shared" si="21"/>
        <v>9.0655764575966806</v>
      </c>
      <c r="AP8" s="8">
        <f t="shared" si="22"/>
        <v>1.6989412933261441</v>
      </c>
      <c r="AQ8" s="8">
        <f t="shared" si="23"/>
        <v>4.6590335999999999</v>
      </c>
      <c r="AR8" s="8">
        <f t="shared" si="24"/>
        <v>0.74663999999999997</v>
      </c>
      <c r="AS8" s="8">
        <f t="shared" si="25"/>
        <v>0.74663999999999997</v>
      </c>
      <c r="AU8" s="7">
        <f t="shared" si="44"/>
        <v>2025</v>
      </c>
      <c r="AV8" s="8">
        <f t="shared" si="26"/>
        <v>5.1837074938487451</v>
      </c>
      <c r="AW8" s="8">
        <f t="shared" si="27"/>
        <v>2.9288254143576689</v>
      </c>
      <c r="AX8" s="8">
        <f t="shared" si="28"/>
        <v>6.048744487917336</v>
      </c>
      <c r="AY8" s="8">
        <f t="shared" si="29"/>
        <v>1.1330639585384641</v>
      </c>
      <c r="AZ8" s="8">
        <f t="shared" si="30"/>
        <v>2.9289416000000004</v>
      </c>
      <c r="BA8" s="8">
        <f t="shared" si="31"/>
        <v>0.53983999999999999</v>
      </c>
      <c r="BB8" s="8">
        <f t="shared" si="32"/>
        <v>8.1620689449983939</v>
      </c>
      <c r="BC8" s="8">
        <f t="shared" si="33"/>
        <v>4.4277393472891911</v>
      </c>
      <c r="BD8" s="8">
        <f t="shared" si="34"/>
        <v>9.6402980025389731</v>
      </c>
      <c r="BE8" s="8">
        <f t="shared" si="35"/>
        <v>1.8061417933261441</v>
      </c>
      <c r="BF8" s="8">
        <f t="shared" si="36"/>
        <v>4.7747336000000002</v>
      </c>
      <c r="BG8" s="8">
        <f t="shared" si="37"/>
        <v>0.83563999999999994</v>
      </c>
      <c r="BH8" s="50"/>
      <c r="BI8" s="7">
        <f t="shared" si="45"/>
        <v>2025</v>
      </c>
      <c r="BJ8" s="8">
        <f>(('Commodity Costs Avoided Detail'!$AE6+AV8)*0.1)</f>
        <v>0.8664975217792894</v>
      </c>
      <c r="BK8" s="8">
        <f>(('Commodity Costs Avoided Detail'!$AE6+AW8)*0.1)</f>
        <v>0.64100931383018178</v>
      </c>
      <c r="BL8" s="8">
        <f>(('Commodity Costs Avoided Detail'!AE6+AX8)*0.1)</f>
        <v>0.95300122118614849</v>
      </c>
      <c r="BM8" s="8">
        <f>(('Commodity Costs Avoided Detail'!AF6+AY8)*0.1)</f>
        <v>0.44938127743885892</v>
      </c>
      <c r="BN8" s="8">
        <f>(('Commodity Costs Avoided Detail'!AG6+AZ8)*0.1)</f>
        <v>0.62736517012826432</v>
      </c>
      <c r="BO8" s="8">
        <f>(('Commodity Costs Avoided Detail'!AH6+BA8)*0.1)</f>
        <v>0.38845501012826422</v>
      </c>
      <c r="BP8" s="8">
        <f>(('Commodity Costs Avoided Detail'!AH6)*0.1)</f>
        <v>0.33447101012826425</v>
      </c>
      <c r="BQ8" s="8">
        <f>(('Commodity Costs Avoided Detail'!AE6+BB8)*0.1)</f>
        <v>1.1643336668942543</v>
      </c>
      <c r="BR8" s="8">
        <f>(('Commodity Costs Avoided Detail'!AE6+BC8)*0.1)</f>
        <v>0.79090070712333405</v>
      </c>
      <c r="BS8" s="8">
        <f>(('Commodity Costs Avoided Detail'!AE6+BD8)*0.1)</f>
        <v>1.3121565726483122</v>
      </c>
      <c r="BT8" s="8">
        <f>(('Commodity Costs Avoided Detail'!AF6+BE8)*0.1)</f>
        <v>0.5166890609176269</v>
      </c>
      <c r="BU8" s="8">
        <f>(('Commodity Costs Avoided Detail'!AG6+BF8)*0.1)</f>
        <v>0.81194437012826437</v>
      </c>
      <c r="BV8" s="8">
        <f>(('Commodity Costs Avoided Detail'!AH6+BG8)*0.1)</f>
        <v>0.41803501012826427</v>
      </c>
      <c r="BW8" s="8">
        <f>(('Commodity Costs Avoided Detail'!AH6)*0.1)</f>
        <v>0.33447101012826425</v>
      </c>
      <c r="BX8" s="50"/>
      <c r="BY8" s="7">
        <f t="shared" si="46"/>
        <v>2025</v>
      </c>
      <c r="BZ8" s="8">
        <f>'Commodity Costs Avoided Detail'!$AE6+AV8+$H8+BJ8+$G8</f>
        <v>15.944107739572182</v>
      </c>
      <c r="CA8" s="8">
        <f>'Commodity Costs Avoided Detail'!$AE6+AW8+$H8+BK8+$G8</f>
        <v>13.463737452131998</v>
      </c>
      <c r="CB8" s="8">
        <f>'Commodity Costs Avoided Detail'!AE6+AX8+$H8+BL8+G8</f>
        <v>16.895648433047633</v>
      </c>
      <c r="CC8" s="8">
        <f>'Commodity Costs Avoided Detail'!AF6+AY8+$H8+BM8+$G8</f>
        <v>11.355829051827449</v>
      </c>
      <c r="CD8" s="8">
        <f>'Commodity Costs Avoided Detail'!AG6+AZ8+$H8+BN8+$G8</f>
        <v>13.313651871410908</v>
      </c>
      <c r="CE8" s="8">
        <f>'Commodity Costs Avoided Detail'!AH6+BA8+$H8+BO8+$G8</f>
        <v>10.685640111410908</v>
      </c>
      <c r="CF8" s="8">
        <f>'Commodity Costs Avoided Detail'!AH6+$H8+BP8+$G8</f>
        <v>10.091816111410907</v>
      </c>
      <c r="CG8" s="8">
        <f>'Commodity Costs Avoided Detail'!$AE6+BB8+$K8+BQ8+$G8</f>
        <v>18.692854380074472</v>
      </c>
      <c r="CH8" s="8">
        <f>'Commodity Costs Avoided Detail'!$AE6+BC8+$K8+BR8+$G8</f>
        <v>14.58509182259435</v>
      </c>
      <c r="CI8" s="8">
        <f>'Commodity Costs Avoided Detail'!AE6+BD8+$K8+BS8+$G8</f>
        <v>20.318906343369111</v>
      </c>
      <c r="CJ8" s="8">
        <f>'Commodity Costs Avoided Detail'!AF6+BE8+$K8+BT8+$G8</f>
        <v>11.56876371433157</v>
      </c>
      <c r="CK8" s="8">
        <f>'Commodity Costs Avoided Detail'!AG6+BF8+$K8+BU8+$G8</f>
        <v>14.816572115648583</v>
      </c>
      <c r="CL8" s="8">
        <f>'Commodity Costs Avoided Detail'!AH6+BG8+$K8+BV8+$G8</f>
        <v>10.483569155648581</v>
      </c>
      <c r="CM8" s="8">
        <f>'Commodity Costs Avoided Detail'!AH6+$K8+BW8+$G8</f>
        <v>9.5643651556485842</v>
      </c>
      <c r="CO8" s="204"/>
      <c r="CP8" s="67" t="s">
        <v>11</v>
      </c>
      <c r="CQ8" s="12">
        <f>'Commodity Costs Avoided Detail'!AF32</f>
        <v>3.346779978374316</v>
      </c>
      <c r="CR8" s="207"/>
      <c r="CS8" s="207"/>
      <c r="CT8" s="12">
        <f>S34</f>
        <v>0.10720049999999996</v>
      </c>
      <c r="CU8" s="63">
        <f>AI34</f>
        <v>1.0258634585384641</v>
      </c>
      <c r="CV8" s="59">
        <f>BM34</f>
        <v>0.44798439369127807</v>
      </c>
      <c r="CW8" s="13">
        <f t="shared" si="38"/>
        <v>13.017457521798139</v>
      </c>
      <c r="CX8" s="54"/>
      <c r="CY8" s="210"/>
      <c r="CZ8" s="72" t="str">
        <f t="shared" si="47"/>
        <v>Water Heating</v>
      </c>
      <c r="DA8" s="79">
        <f t="shared" si="47"/>
        <v>3.346779978374316</v>
      </c>
      <c r="DB8" s="79">
        <f t="shared" si="48"/>
        <v>7.5694291911940814</v>
      </c>
      <c r="DC8" s="79">
        <f t="shared" si="49"/>
        <v>0.52020000000000011</v>
      </c>
      <c r="DD8" s="79">
        <f t="shared" si="50"/>
        <v>0.10720049999999996</v>
      </c>
      <c r="DE8" s="79">
        <f t="shared" si="50"/>
        <v>1.0258634585384641</v>
      </c>
      <c r="DF8" s="80">
        <f t="shared" si="50"/>
        <v>0.44798439369127807</v>
      </c>
      <c r="DG8" s="81">
        <f t="shared" si="51"/>
        <v>13.017457521798139</v>
      </c>
    </row>
    <row r="9" spans="1:111" ht="13.8" customHeight="1" x14ac:dyDescent="0.3">
      <c r="A9" s="88">
        <f t="shared" si="40"/>
        <v>2026</v>
      </c>
      <c r="B9" s="91">
        <v>8.8999999999999996E-2</v>
      </c>
      <c r="C9" s="167">
        <v>0.74663999999999997</v>
      </c>
      <c r="D9" s="168">
        <v>0.45084000000000002</v>
      </c>
      <c r="E9" s="169">
        <v>0.48499999999999999</v>
      </c>
      <c r="F9" s="87">
        <f>'Commodity Costs Avoided Detail'!N7</f>
        <v>2.87585454568638</v>
      </c>
      <c r="G9" s="156">
        <v>0.5202</v>
      </c>
      <c r="H9" s="136">
        <v>5.9455200000000001</v>
      </c>
      <c r="I9" s="144">
        <f>'Greenhouse Gas Costs Avoided De'!J6</f>
        <v>4.5617555740416069</v>
      </c>
      <c r="J9" s="146">
        <v>9.4938298156832328</v>
      </c>
      <c r="K9" s="172">
        <f>'Greenhouse Gas Costs Avoided De'!O6</f>
        <v>5.4438808684176427</v>
      </c>
      <c r="L9" s="149">
        <v>1.17</v>
      </c>
      <c r="M9" s="154">
        <f t="shared" si="41"/>
        <v>2.6315789473684237E-2</v>
      </c>
      <c r="N9" s="141">
        <v>110</v>
      </c>
      <c r="O9" s="7">
        <f t="shared" si="42"/>
        <v>2026</v>
      </c>
      <c r="P9" s="8">
        <f t="shared" si="0"/>
        <v>0.6442738338206585</v>
      </c>
      <c r="Q9" s="8">
        <f t="shared" si="0"/>
        <v>0.6442738338206585</v>
      </c>
      <c r="R9" s="8">
        <f t="shared" si="1"/>
        <v>0.57472154494229177</v>
      </c>
      <c r="S9" s="8">
        <f t="shared" si="2"/>
        <v>0.10720049999999999</v>
      </c>
      <c r="T9" s="8">
        <f t="shared" si="3"/>
        <v>0.11570000000000001</v>
      </c>
      <c r="U9" s="8">
        <f t="shared" si="4"/>
        <v>8.8999999999999996E-2</v>
      </c>
      <c r="V9" s="8">
        <f t="shared" si="5"/>
        <v>8.8999999999999996E-2</v>
      </c>
      <c r="W9" s="8">
        <f t="shared" si="6"/>
        <v>0.6442738338206585</v>
      </c>
      <c r="X9" s="8">
        <f t="shared" si="6"/>
        <v>0.6442738338206585</v>
      </c>
      <c r="Y9" s="8">
        <f t="shared" si="7"/>
        <v>0.57472154494229177</v>
      </c>
      <c r="Z9" s="8">
        <f t="shared" si="8"/>
        <v>0.10720049999999999</v>
      </c>
      <c r="AA9" s="8">
        <f t="shared" si="9"/>
        <v>0.11570000000000001</v>
      </c>
      <c r="AB9" s="8">
        <f t="shared" si="10"/>
        <v>8.8999999999999996E-2</v>
      </c>
      <c r="AC9" s="8">
        <f t="shared" si="11"/>
        <v>8.8999999999999996E-2</v>
      </c>
      <c r="AD9" s="50"/>
      <c r="AE9" s="7">
        <f t="shared" si="43"/>
        <v>2026</v>
      </c>
      <c r="AF9" s="8">
        <f t="shared" si="12"/>
        <v>4.5394336600280862</v>
      </c>
      <c r="AG9" s="8">
        <f t="shared" si="13"/>
        <v>2.2845515805370105</v>
      </c>
      <c r="AH9" s="8">
        <f t="shared" si="14"/>
        <v>5.4740229429750444</v>
      </c>
      <c r="AI9" s="8">
        <f t="shared" si="15"/>
        <v>1.0258634585384641</v>
      </c>
      <c r="AJ9" s="8">
        <f t="shared" si="16"/>
        <v>2.8132416000000005</v>
      </c>
      <c r="AK9" s="8">
        <f t="shared" si="17"/>
        <v>0.45084000000000002</v>
      </c>
      <c r="AL9" s="8">
        <f t="shared" si="18"/>
        <v>0.45084000000000002</v>
      </c>
      <c r="AM9" s="8">
        <f t="shared" si="19"/>
        <v>7.5177951111777359</v>
      </c>
      <c r="AN9" s="8">
        <f t="shared" si="20"/>
        <v>3.7834655134685327</v>
      </c>
      <c r="AO9" s="8">
        <f t="shared" si="21"/>
        <v>9.0655764575966806</v>
      </c>
      <c r="AP9" s="8">
        <f t="shared" si="22"/>
        <v>1.6989412933261441</v>
      </c>
      <c r="AQ9" s="8">
        <f t="shared" si="23"/>
        <v>4.6590335999999999</v>
      </c>
      <c r="AR9" s="8">
        <f t="shared" si="24"/>
        <v>0.74663999999999997</v>
      </c>
      <c r="AS9" s="8">
        <f t="shared" si="25"/>
        <v>0.74663999999999997</v>
      </c>
      <c r="AU9" s="7">
        <f t="shared" si="44"/>
        <v>2026</v>
      </c>
      <c r="AV9" s="8">
        <f t="shared" si="26"/>
        <v>5.1837074938487451</v>
      </c>
      <c r="AW9" s="8">
        <f t="shared" si="27"/>
        <v>2.9288254143576689</v>
      </c>
      <c r="AX9" s="8">
        <f t="shared" si="28"/>
        <v>6.048744487917336</v>
      </c>
      <c r="AY9" s="8">
        <f t="shared" si="29"/>
        <v>1.1330639585384641</v>
      </c>
      <c r="AZ9" s="8">
        <f t="shared" si="30"/>
        <v>2.9289416000000004</v>
      </c>
      <c r="BA9" s="8">
        <f t="shared" si="31"/>
        <v>0.53983999999999999</v>
      </c>
      <c r="BB9" s="8">
        <f t="shared" si="32"/>
        <v>8.1620689449983939</v>
      </c>
      <c r="BC9" s="8">
        <f t="shared" si="33"/>
        <v>4.4277393472891911</v>
      </c>
      <c r="BD9" s="8">
        <f t="shared" si="34"/>
        <v>9.6402980025389731</v>
      </c>
      <c r="BE9" s="8">
        <f t="shared" si="35"/>
        <v>1.8061417933261441</v>
      </c>
      <c r="BF9" s="8">
        <f t="shared" si="36"/>
        <v>4.7747336000000002</v>
      </c>
      <c r="BG9" s="8">
        <f t="shared" si="37"/>
        <v>0.83563999999999994</v>
      </c>
      <c r="BH9" s="50"/>
      <c r="BI9" s="7">
        <f t="shared" si="45"/>
        <v>2026</v>
      </c>
      <c r="BJ9" s="8">
        <f>(('Commodity Costs Avoided Detail'!$AE7+AV9)*0.1)</f>
        <v>0.83220865475639738</v>
      </c>
      <c r="BK9" s="8">
        <f>(('Commodity Costs Avoided Detail'!$AE7+AW9)*0.1)</f>
        <v>0.60672044680728976</v>
      </c>
      <c r="BL9" s="8">
        <f>(('Commodity Costs Avoided Detail'!AE7+AX9)*0.1)</f>
        <v>0.91871235416325647</v>
      </c>
      <c r="BM9" s="8">
        <f>(('Commodity Costs Avoided Detail'!AF7+AY9)*0.1)</f>
        <v>0.40408793692787726</v>
      </c>
      <c r="BN9" s="8">
        <f>(('Commodity Costs Avoided Detail'!AG7+AZ9)*0.1)</f>
        <v>0.58047961456863806</v>
      </c>
      <c r="BO9" s="8">
        <f>(('Commodity Costs Avoided Detail'!AH7+BA9)*0.1)</f>
        <v>0.34156945456863802</v>
      </c>
      <c r="BP9" s="8">
        <f>(('Commodity Costs Avoided Detail'!AH7)*0.1)</f>
        <v>0.28758545456863799</v>
      </c>
      <c r="BQ9" s="8">
        <f>(('Commodity Costs Avoided Detail'!AE7+BB9)*0.1)</f>
        <v>1.1300447998713623</v>
      </c>
      <c r="BR9" s="8">
        <f>(('Commodity Costs Avoided Detail'!AE7+BC9)*0.1)</f>
        <v>0.75661184010044202</v>
      </c>
      <c r="BS9" s="8">
        <f>(('Commodity Costs Avoided Detail'!AE7+BD9)*0.1)</f>
        <v>1.2778677056254202</v>
      </c>
      <c r="BT9" s="8">
        <f>(('Commodity Costs Avoided Detail'!AF7+BE9)*0.1)</f>
        <v>0.47139572040664524</v>
      </c>
      <c r="BU9" s="8">
        <f>(('Commodity Costs Avoided Detail'!AG7+BF9)*0.1)</f>
        <v>0.76505881456863811</v>
      </c>
      <c r="BV9" s="8">
        <f>(('Commodity Costs Avoided Detail'!AH7+BG9)*0.1)</f>
        <v>0.37114945456863802</v>
      </c>
      <c r="BW9" s="8">
        <f>(('Commodity Costs Avoided Detail'!AH7)*0.1)</f>
        <v>0.28758545456863799</v>
      </c>
      <c r="BX9" s="50"/>
      <c r="BY9" s="7">
        <f t="shared" si="46"/>
        <v>2026</v>
      </c>
      <c r="BZ9" s="8">
        <f>'Commodity Costs Avoided Detail'!$AE7+AV9+$H9+BJ9+$G9</f>
        <v>15.620015202320371</v>
      </c>
      <c r="CA9" s="8">
        <f>'Commodity Costs Avoided Detail'!$AE7+AW9+$H9+BK9+$G9</f>
        <v>13.139644914880186</v>
      </c>
      <c r="CB9" s="8">
        <f>'Commodity Costs Avoided Detail'!AE7+AX9+$H9+BL9+G9</f>
        <v>16.571555895795822</v>
      </c>
      <c r="CC9" s="8">
        <f>'Commodity Costs Avoided Detail'!AF7+AY9+$H9+BM9+$G9</f>
        <v>10.910687306206651</v>
      </c>
      <c r="CD9" s="8">
        <f>'Commodity Costs Avoided Detail'!AG7+AZ9+$H9+BN9+$G9</f>
        <v>12.850995760255017</v>
      </c>
      <c r="CE9" s="8">
        <f>'Commodity Costs Avoided Detail'!AH7+BA9+$H9+BO9+$G9</f>
        <v>10.222984000255018</v>
      </c>
      <c r="CF9" s="8">
        <f>'Commodity Costs Avoided Detail'!AH7+$H9+BP9+$G9</f>
        <v>9.6291600002550197</v>
      </c>
      <c r="CG9" s="8">
        <f>'Commodity Costs Avoided Detail'!$AE7+BB9+$K9+BQ9+$G9</f>
        <v>18.394573667002629</v>
      </c>
      <c r="CH9" s="8">
        <f>'Commodity Costs Avoided Detail'!$AE7+BC9+$K9+BR9+$G9</f>
        <v>14.286811109522503</v>
      </c>
      <c r="CI9" s="8">
        <f>'Commodity Costs Avoided Detail'!AE7+BD9+$K9+BS9+$G9</f>
        <v>20.020625630297264</v>
      </c>
      <c r="CJ9" s="8">
        <f>'Commodity Costs Avoided Detail'!AF7+BE9+$K9+BT9+$G9</f>
        <v>11.14943379289074</v>
      </c>
      <c r="CK9" s="8">
        <f>'Commodity Costs Avoided Detail'!AG7+BF9+$K9+BU9+$G9</f>
        <v>14.37972782867266</v>
      </c>
      <c r="CL9" s="8">
        <f>'Commodity Costs Avoided Detail'!AH7+BG9+$K9+BV9+$G9</f>
        <v>10.046724868672658</v>
      </c>
      <c r="CM9" s="8">
        <f>'Commodity Costs Avoided Detail'!AH7+$K9+BW9+$G9</f>
        <v>9.1275208686726614</v>
      </c>
      <c r="CO9" s="204"/>
      <c r="CP9" s="67" t="s">
        <v>12</v>
      </c>
      <c r="CQ9" s="12">
        <f>'Commodity Costs Avoided Detail'!AG32</f>
        <v>3.3140146939569006</v>
      </c>
      <c r="CR9" s="207"/>
      <c r="CS9" s="207"/>
      <c r="CT9" s="12">
        <f>T34</f>
        <v>0.11570000000000003</v>
      </c>
      <c r="CU9" s="63">
        <f>AJ34</f>
        <v>2.8132415999999996</v>
      </c>
      <c r="CV9" s="59">
        <f>BN34</f>
        <v>0.62429562939568994</v>
      </c>
      <c r="CW9" s="13">
        <f t="shared" si="38"/>
        <v>14.956881114546672</v>
      </c>
      <c r="CX9" s="54"/>
      <c r="CY9" s="210"/>
      <c r="CZ9" s="72" t="str">
        <f t="shared" si="47"/>
        <v>Cooking</v>
      </c>
      <c r="DA9" s="79">
        <f t="shared" si="47"/>
        <v>3.3140146939569006</v>
      </c>
      <c r="DB9" s="79">
        <f t="shared" si="48"/>
        <v>7.5694291911940814</v>
      </c>
      <c r="DC9" s="79">
        <f t="shared" si="49"/>
        <v>0.52020000000000011</v>
      </c>
      <c r="DD9" s="79">
        <f t="shared" si="50"/>
        <v>0.11570000000000003</v>
      </c>
      <c r="DE9" s="79">
        <f t="shared" si="50"/>
        <v>2.8132415999999996</v>
      </c>
      <c r="DF9" s="80">
        <f t="shared" si="50"/>
        <v>0.62429562939568994</v>
      </c>
      <c r="DG9" s="81">
        <f t="shared" si="51"/>
        <v>14.956881114546672</v>
      </c>
    </row>
    <row r="10" spans="1:111" ht="13.8" customHeight="1" x14ac:dyDescent="0.3">
      <c r="A10" s="88">
        <f t="shared" si="40"/>
        <v>2027</v>
      </c>
      <c r="B10" s="91">
        <v>8.8999999999999996E-2</v>
      </c>
      <c r="C10" s="167">
        <v>0.74663999999999997</v>
      </c>
      <c r="D10" s="168">
        <v>0.45084000000000002</v>
      </c>
      <c r="E10" s="169">
        <v>0.48499999999999999</v>
      </c>
      <c r="F10" s="87">
        <f>'Commodity Costs Avoided Detail'!N8</f>
        <v>2.8410945767786742</v>
      </c>
      <c r="G10" s="156">
        <v>0.5202</v>
      </c>
      <c r="H10" s="136">
        <v>5.9986050000000004</v>
      </c>
      <c r="I10" s="144">
        <f>'Greenhouse Gas Costs Avoided De'!J7</f>
        <v>4.6278679736653974</v>
      </c>
      <c r="J10" s="146">
        <v>9.6826275676996616</v>
      </c>
      <c r="K10" s="172">
        <f>'Greenhouse Gas Costs Avoided De'!O7</f>
        <v>5.5227776925976073</v>
      </c>
      <c r="L10" s="149">
        <v>1.19</v>
      </c>
      <c r="M10" s="154">
        <f t="shared" si="41"/>
        <v>1.709401709401711E-2</v>
      </c>
      <c r="N10" s="141">
        <v>111</v>
      </c>
      <c r="O10" s="7">
        <f t="shared" si="42"/>
        <v>2027</v>
      </c>
      <c r="P10" s="8">
        <f t="shared" si="0"/>
        <v>0.6442738338206585</v>
      </c>
      <c r="Q10" s="8">
        <f t="shared" si="0"/>
        <v>0.6442738338206585</v>
      </c>
      <c r="R10" s="8">
        <f t="shared" si="1"/>
        <v>0.57472154494229177</v>
      </c>
      <c r="S10" s="8">
        <f t="shared" si="2"/>
        <v>0.10720049999999999</v>
      </c>
      <c r="T10" s="8">
        <f t="shared" si="3"/>
        <v>0.11570000000000001</v>
      </c>
      <c r="U10" s="8">
        <f t="shared" si="4"/>
        <v>8.8999999999999996E-2</v>
      </c>
      <c r="V10" s="8">
        <f t="shared" si="5"/>
        <v>8.8999999999999996E-2</v>
      </c>
      <c r="W10" s="8">
        <f t="shared" si="6"/>
        <v>0.6442738338206585</v>
      </c>
      <c r="X10" s="8">
        <f t="shared" si="6"/>
        <v>0.6442738338206585</v>
      </c>
      <c r="Y10" s="8">
        <f t="shared" si="7"/>
        <v>0.57472154494229177</v>
      </c>
      <c r="Z10" s="8">
        <f t="shared" si="8"/>
        <v>0.10720049999999999</v>
      </c>
      <c r="AA10" s="8">
        <f t="shared" si="9"/>
        <v>0.11570000000000001</v>
      </c>
      <c r="AB10" s="8">
        <f t="shared" si="10"/>
        <v>8.8999999999999996E-2</v>
      </c>
      <c r="AC10" s="8">
        <f t="shared" si="11"/>
        <v>8.8999999999999996E-2</v>
      </c>
      <c r="AD10" s="50"/>
      <c r="AE10" s="7">
        <f t="shared" si="43"/>
        <v>2027</v>
      </c>
      <c r="AF10" s="8">
        <f t="shared" si="12"/>
        <v>4.5394336600280862</v>
      </c>
      <c r="AG10" s="8">
        <f t="shared" si="13"/>
        <v>2.2845515805370105</v>
      </c>
      <c r="AH10" s="8">
        <f t="shared" si="14"/>
        <v>5.4740229429750444</v>
      </c>
      <c r="AI10" s="8">
        <f t="shared" si="15"/>
        <v>1.0258634585384641</v>
      </c>
      <c r="AJ10" s="8">
        <f t="shared" si="16"/>
        <v>2.8132416000000005</v>
      </c>
      <c r="AK10" s="8">
        <f t="shared" si="17"/>
        <v>0.45084000000000002</v>
      </c>
      <c r="AL10" s="8">
        <f t="shared" si="18"/>
        <v>0.45084000000000002</v>
      </c>
      <c r="AM10" s="8">
        <f t="shared" si="19"/>
        <v>7.5177951111777359</v>
      </c>
      <c r="AN10" s="8">
        <f t="shared" si="20"/>
        <v>3.7834655134685327</v>
      </c>
      <c r="AO10" s="8">
        <f t="shared" si="21"/>
        <v>9.0655764575966806</v>
      </c>
      <c r="AP10" s="8">
        <f t="shared" si="22"/>
        <v>1.6989412933261441</v>
      </c>
      <c r="AQ10" s="8">
        <f t="shared" si="23"/>
        <v>4.6590335999999999</v>
      </c>
      <c r="AR10" s="8">
        <f t="shared" si="24"/>
        <v>0.74663999999999997</v>
      </c>
      <c r="AS10" s="8">
        <f t="shared" si="25"/>
        <v>0.74663999999999997</v>
      </c>
      <c r="AU10" s="7">
        <f t="shared" si="44"/>
        <v>2027</v>
      </c>
      <c r="AV10" s="8">
        <f t="shared" si="26"/>
        <v>5.1837074938487451</v>
      </c>
      <c r="AW10" s="8">
        <f t="shared" si="27"/>
        <v>2.9288254143576689</v>
      </c>
      <c r="AX10" s="8">
        <f t="shared" si="28"/>
        <v>6.048744487917336</v>
      </c>
      <c r="AY10" s="8">
        <f t="shared" si="29"/>
        <v>1.1330639585384641</v>
      </c>
      <c r="AZ10" s="8">
        <f t="shared" si="30"/>
        <v>2.9289416000000004</v>
      </c>
      <c r="BA10" s="8">
        <f t="shared" si="31"/>
        <v>0.53983999999999999</v>
      </c>
      <c r="BB10" s="8">
        <f t="shared" si="32"/>
        <v>8.1620689449983939</v>
      </c>
      <c r="BC10" s="8">
        <f t="shared" si="33"/>
        <v>4.4277393472891911</v>
      </c>
      <c r="BD10" s="8">
        <f t="shared" si="34"/>
        <v>9.6402980025389731</v>
      </c>
      <c r="BE10" s="8">
        <f t="shared" si="35"/>
        <v>1.8061417933261441</v>
      </c>
      <c r="BF10" s="8">
        <f t="shared" si="36"/>
        <v>4.7747336000000002</v>
      </c>
      <c r="BG10" s="8">
        <f t="shared" si="37"/>
        <v>0.83563999999999994</v>
      </c>
      <c r="BH10" s="50"/>
      <c r="BI10" s="7">
        <f t="shared" si="45"/>
        <v>2027</v>
      </c>
      <c r="BJ10" s="8">
        <f>(('Commodity Costs Avoided Detail'!$AE8+AV10)*0.1)</f>
        <v>0.82358711175945032</v>
      </c>
      <c r="BK10" s="8">
        <f>(('Commodity Costs Avoided Detail'!$AE8+AW10)*0.1)</f>
        <v>0.5980989038103427</v>
      </c>
      <c r="BL10" s="8">
        <f>(('Commodity Costs Avoided Detail'!AE8+AX10)*0.1)</f>
        <v>0.91009081116630941</v>
      </c>
      <c r="BM10" s="8">
        <f>(('Commodity Costs Avoided Detail'!AF8+AY10)*0.1)</f>
        <v>0.39956179633339889</v>
      </c>
      <c r="BN10" s="8">
        <f>(('Commodity Costs Avoided Detail'!AG8+AZ10)*0.1)</f>
        <v>0.57700361767786756</v>
      </c>
      <c r="BO10" s="8">
        <f>(('Commodity Costs Avoided Detail'!AH8+BA10)*0.1)</f>
        <v>0.33809345767786753</v>
      </c>
      <c r="BP10" s="8">
        <f>(('Commodity Costs Avoided Detail'!AH8)*0.1)</f>
        <v>0.28410945767786749</v>
      </c>
      <c r="BQ10" s="8">
        <f>(('Commodity Costs Avoided Detail'!AE8+BB10)*0.1)</f>
        <v>1.1214232568744151</v>
      </c>
      <c r="BR10" s="8">
        <f>(('Commodity Costs Avoided Detail'!AE8+BC10)*0.1)</f>
        <v>0.74799029710349485</v>
      </c>
      <c r="BS10" s="8">
        <f>(('Commodity Costs Avoided Detail'!AE8+BD10)*0.1)</f>
        <v>1.2692461626284732</v>
      </c>
      <c r="BT10" s="8">
        <f>(('Commodity Costs Avoided Detail'!AF8+BE10)*0.1)</f>
        <v>0.46686957981216692</v>
      </c>
      <c r="BU10" s="8">
        <f>(('Commodity Costs Avoided Detail'!AG8+BF10)*0.1)</f>
        <v>0.76158281767786762</v>
      </c>
      <c r="BV10" s="8">
        <f>(('Commodity Costs Avoided Detail'!AH8+BG10)*0.1)</f>
        <v>0.36767345767786752</v>
      </c>
      <c r="BW10" s="8">
        <f>(('Commodity Costs Avoided Detail'!AH8)*0.1)</f>
        <v>0.28410945767786749</v>
      </c>
      <c r="BX10" s="50"/>
      <c r="BY10" s="7">
        <f t="shared" si="46"/>
        <v>2027</v>
      </c>
      <c r="BZ10" s="8">
        <f>'Commodity Costs Avoided Detail'!$AE8+AV10+$H10+BJ10+$G10</f>
        <v>15.578263229353954</v>
      </c>
      <c r="CA10" s="8">
        <f>'Commodity Costs Avoided Detail'!$AE8+AW10+$H10+BK10+$G10</f>
        <v>13.09789294191377</v>
      </c>
      <c r="CB10" s="8">
        <f>'Commodity Costs Avoided Detail'!AE8+AX10+$H10+BL10+G10</f>
        <v>16.529803922829402</v>
      </c>
      <c r="CC10" s="8">
        <f>'Commodity Costs Avoided Detail'!AF8+AY10+$H10+BM10+$G10</f>
        <v>10.91398475966739</v>
      </c>
      <c r="CD10" s="8">
        <f>'Commodity Costs Avoided Detail'!AG8+AZ10+$H10+BN10+$G10</f>
        <v>12.865844794456542</v>
      </c>
      <c r="CE10" s="8">
        <f>'Commodity Costs Avoided Detail'!AH8+BA10+$H10+BO10+$G10</f>
        <v>10.237833034456543</v>
      </c>
      <c r="CF10" s="8">
        <f>'Commodity Costs Avoided Detail'!AH8+$H10+BP10+$G10</f>
        <v>9.6440090344565448</v>
      </c>
      <c r="CG10" s="8">
        <f>'Commodity Costs Avoided Detail'!$AE8+BB10+$K10+BQ10+$G10</f>
        <v>18.378633518216173</v>
      </c>
      <c r="CH10" s="8">
        <f>'Commodity Costs Avoided Detail'!$AE8+BC10+$K10+BR10+$G10</f>
        <v>14.270870960736051</v>
      </c>
      <c r="CI10" s="8">
        <f>'Commodity Costs Avoided Detail'!AE8+BD10+$K10+BS10+$G10</f>
        <v>20.004685481510812</v>
      </c>
      <c r="CJ10" s="8">
        <f>'Commodity Costs Avoided Detail'!AF8+BE10+$K10+BT10+$G10</f>
        <v>11.178543070531443</v>
      </c>
      <c r="CK10" s="8">
        <f>'Commodity Costs Avoided Detail'!AG8+BF10+$K10+BU10+$G10</f>
        <v>14.42038868705415</v>
      </c>
      <c r="CL10" s="8">
        <f>'Commodity Costs Avoided Detail'!AH8+BG10+$K10+BV10+$G10</f>
        <v>10.087385727054148</v>
      </c>
      <c r="CM10" s="8">
        <f>'Commodity Costs Avoided Detail'!AH8+$K10+BW10+$G10</f>
        <v>9.1681817270541508</v>
      </c>
      <c r="CO10" s="204"/>
      <c r="CP10" s="67" t="s">
        <v>13</v>
      </c>
      <c r="CQ10" s="12">
        <f>'Commodity Costs Avoided Detail'!AH32</f>
        <v>3.3140146939569006</v>
      </c>
      <c r="CR10" s="207"/>
      <c r="CS10" s="207"/>
      <c r="CT10" s="12">
        <f>U34</f>
        <v>8.8999999999999982E-2</v>
      </c>
      <c r="CU10" s="63">
        <f>AK34</f>
        <v>0.45084000000000002</v>
      </c>
      <c r="CV10" s="59">
        <f>BO34</f>
        <v>0.38538546939568985</v>
      </c>
      <c r="CW10" s="13">
        <f t="shared" si="38"/>
        <v>12.328869354546672</v>
      </c>
      <c r="CX10" s="54"/>
      <c r="CY10" s="210"/>
      <c r="CZ10" s="72" t="str">
        <f t="shared" si="47"/>
        <v>Process Load</v>
      </c>
      <c r="DA10" s="79">
        <f t="shared" si="47"/>
        <v>3.3140146939569006</v>
      </c>
      <c r="DB10" s="79">
        <f t="shared" si="48"/>
        <v>7.5694291911940814</v>
      </c>
      <c r="DC10" s="79">
        <f t="shared" si="49"/>
        <v>0.52020000000000011</v>
      </c>
      <c r="DD10" s="79">
        <f t="shared" si="50"/>
        <v>8.8999999999999982E-2</v>
      </c>
      <c r="DE10" s="79">
        <f t="shared" si="50"/>
        <v>0.45084000000000002</v>
      </c>
      <c r="DF10" s="80">
        <f t="shared" si="50"/>
        <v>0.38538546939568985</v>
      </c>
      <c r="DG10" s="81">
        <f t="shared" si="51"/>
        <v>12.328869354546672</v>
      </c>
    </row>
    <row r="11" spans="1:111" ht="13.8" customHeight="1" thickBot="1" x14ac:dyDescent="0.35">
      <c r="A11" s="88">
        <f t="shared" si="40"/>
        <v>2028</v>
      </c>
      <c r="B11" s="91">
        <v>8.8999999999999996E-2</v>
      </c>
      <c r="C11" s="167">
        <v>0.74663999999999997</v>
      </c>
      <c r="D11" s="168">
        <v>0.45084000000000002</v>
      </c>
      <c r="E11" s="169">
        <v>0.48499999999999999</v>
      </c>
      <c r="F11" s="87">
        <f>'Commodity Costs Avoided Detail'!N9</f>
        <v>2.9307750573960578</v>
      </c>
      <c r="G11" s="156">
        <v>0.5202</v>
      </c>
      <c r="H11" s="136">
        <v>6.0516899999999998</v>
      </c>
      <c r="I11" s="144">
        <f>'Greenhouse Gas Costs Avoided De'!J8</f>
        <v>4.6939803732891896</v>
      </c>
      <c r="J11" s="146">
        <v>9.8714253197160886</v>
      </c>
      <c r="K11" s="172">
        <f>'Greenhouse Gas Costs Avoided De'!O8</f>
        <v>5.6016745167775737</v>
      </c>
      <c r="L11" s="149">
        <v>1.22</v>
      </c>
      <c r="M11" s="154">
        <f t="shared" si="41"/>
        <v>2.521008403361347E-2</v>
      </c>
      <c r="N11" s="141">
        <v>112</v>
      </c>
      <c r="O11" s="7">
        <f t="shared" si="42"/>
        <v>2028</v>
      </c>
      <c r="P11" s="8">
        <f t="shared" si="0"/>
        <v>0.6442738338206585</v>
      </c>
      <c r="Q11" s="8">
        <f t="shared" si="0"/>
        <v>0.6442738338206585</v>
      </c>
      <c r="R11" s="8">
        <f t="shared" si="1"/>
        <v>0.57472154494229177</v>
      </c>
      <c r="S11" s="8">
        <f t="shared" si="2"/>
        <v>0.10720049999999999</v>
      </c>
      <c r="T11" s="8">
        <f t="shared" si="3"/>
        <v>0.11570000000000001</v>
      </c>
      <c r="U11" s="8">
        <f t="shared" si="4"/>
        <v>8.8999999999999996E-2</v>
      </c>
      <c r="V11" s="8">
        <f t="shared" si="5"/>
        <v>8.8999999999999996E-2</v>
      </c>
      <c r="W11" s="8">
        <f t="shared" si="6"/>
        <v>0.6442738338206585</v>
      </c>
      <c r="X11" s="8">
        <f t="shared" si="6"/>
        <v>0.6442738338206585</v>
      </c>
      <c r="Y11" s="8">
        <f t="shared" si="7"/>
        <v>0.57472154494229177</v>
      </c>
      <c r="Z11" s="8">
        <f t="shared" si="8"/>
        <v>0.10720049999999999</v>
      </c>
      <c r="AA11" s="8">
        <f t="shared" si="9"/>
        <v>0.11570000000000001</v>
      </c>
      <c r="AB11" s="8">
        <f t="shared" si="10"/>
        <v>8.8999999999999996E-2</v>
      </c>
      <c r="AC11" s="8">
        <f t="shared" si="11"/>
        <v>8.8999999999999996E-2</v>
      </c>
      <c r="AD11" s="50"/>
      <c r="AE11" s="7">
        <f t="shared" si="43"/>
        <v>2028</v>
      </c>
      <c r="AF11" s="8">
        <f t="shared" si="12"/>
        <v>4.5394336600280862</v>
      </c>
      <c r="AG11" s="8">
        <f t="shared" si="13"/>
        <v>2.2845515805370105</v>
      </c>
      <c r="AH11" s="8">
        <f t="shared" si="14"/>
        <v>5.4740229429750444</v>
      </c>
      <c r="AI11" s="8">
        <f t="shared" si="15"/>
        <v>1.0258634585384641</v>
      </c>
      <c r="AJ11" s="8">
        <f t="shared" si="16"/>
        <v>2.8132416000000005</v>
      </c>
      <c r="AK11" s="8">
        <f t="shared" si="17"/>
        <v>0.45084000000000002</v>
      </c>
      <c r="AL11" s="8">
        <f t="shared" si="18"/>
        <v>0.45084000000000002</v>
      </c>
      <c r="AM11" s="8">
        <f t="shared" si="19"/>
        <v>7.5177951111777359</v>
      </c>
      <c r="AN11" s="8">
        <f t="shared" si="20"/>
        <v>3.7834655134685327</v>
      </c>
      <c r="AO11" s="8">
        <f t="shared" si="21"/>
        <v>9.0655764575966806</v>
      </c>
      <c r="AP11" s="8">
        <f t="shared" si="22"/>
        <v>1.6989412933261441</v>
      </c>
      <c r="AQ11" s="8">
        <f t="shared" si="23"/>
        <v>4.6590335999999999</v>
      </c>
      <c r="AR11" s="8">
        <f t="shared" si="24"/>
        <v>0.74663999999999997</v>
      </c>
      <c r="AS11" s="8">
        <f t="shared" si="25"/>
        <v>0.74663999999999997</v>
      </c>
      <c r="AU11" s="7">
        <f t="shared" si="44"/>
        <v>2028</v>
      </c>
      <c r="AV11" s="8">
        <f t="shared" si="26"/>
        <v>5.1837074938487451</v>
      </c>
      <c r="AW11" s="8">
        <f t="shared" si="27"/>
        <v>2.9288254143576689</v>
      </c>
      <c r="AX11" s="8">
        <f t="shared" si="28"/>
        <v>6.048744487917336</v>
      </c>
      <c r="AY11" s="8">
        <f t="shared" si="29"/>
        <v>1.1330639585384641</v>
      </c>
      <c r="AZ11" s="8">
        <f t="shared" si="30"/>
        <v>2.9289416000000004</v>
      </c>
      <c r="BA11" s="8">
        <f t="shared" si="31"/>
        <v>0.53983999999999999</v>
      </c>
      <c r="BB11" s="8">
        <f t="shared" si="32"/>
        <v>8.1620689449983939</v>
      </c>
      <c r="BC11" s="8">
        <f t="shared" si="33"/>
        <v>4.4277393472891911</v>
      </c>
      <c r="BD11" s="8">
        <f t="shared" si="34"/>
        <v>9.6402980025389731</v>
      </c>
      <c r="BE11" s="8">
        <f t="shared" si="35"/>
        <v>1.8061417933261441</v>
      </c>
      <c r="BF11" s="8">
        <f t="shared" si="36"/>
        <v>4.7747336000000002</v>
      </c>
      <c r="BG11" s="8">
        <f t="shared" si="37"/>
        <v>0.83563999999999994</v>
      </c>
      <c r="BH11" s="50"/>
      <c r="BI11" s="7">
        <f t="shared" si="45"/>
        <v>2028</v>
      </c>
      <c r="BJ11" s="8">
        <f>(('Commodity Costs Avoided Detail'!$AE9+AV11)*0.1)</f>
        <v>0.836095247855835</v>
      </c>
      <c r="BK11" s="8">
        <f>(('Commodity Costs Avoided Detail'!$AE9+AW11)*0.1)</f>
        <v>0.61060703990672749</v>
      </c>
      <c r="BL11" s="8">
        <f>(('Commodity Costs Avoided Detail'!AE9+AX11)*0.1)</f>
        <v>0.92259894726269409</v>
      </c>
      <c r="BM11" s="8">
        <f>(('Commodity Costs Avoided Detail'!AF9+AY11)*0.1)</f>
        <v>0.40915269012035815</v>
      </c>
      <c r="BN11" s="8">
        <f>(('Commodity Costs Avoided Detail'!AG9+AZ11)*0.1)</f>
        <v>0.5859716657396058</v>
      </c>
      <c r="BO11" s="8">
        <f>(('Commodity Costs Avoided Detail'!AH9+BA11)*0.1)</f>
        <v>0.34706150573960581</v>
      </c>
      <c r="BP11" s="8">
        <f>(('Commodity Costs Avoided Detail'!AH9)*0.1)</f>
        <v>0.29307750573960578</v>
      </c>
      <c r="BQ11" s="8">
        <f>(('Commodity Costs Avoided Detail'!AE9+BB11)*0.1)</f>
        <v>1.1339313929707999</v>
      </c>
      <c r="BR11" s="8">
        <f>(('Commodity Costs Avoided Detail'!AE9+BC11)*0.1)</f>
        <v>0.76049843319987964</v>
      </c>
      <c r="BS11" s="8">
        <f>(('Commodity Costs Avoided Detail'!AE9+BD11)*0.1)</f>
        <v>1.2817542987248578</v>
      </c>
      <c r="BT11" s="8">
        <f>(('Commodity Costs Avoided Detail'!AF9+BE11)*0.1)</f>
        <v>0.47646047359912613</v>
      </c>
      <c r="BU11" s="8">
        <f>(('Commodity Costs Avoided Detail'!AG9+BF11)*0.1)</f>
        <v>0.77055086573960585</v>
      </c>
      <c r="BV11" s="8">
        <f>(('Commodity Costs Avoided Detail'!AH9+BG11)*0.1)</f>
        <v>0.37664150573960581</v>
      </c>
      <c r="BW11" s="8">
        <f>(('Commodity Costs Avoided Detail'!AH9)*0.1)</f>
        <v>0.29307750573960578</v>
      </c>
      <c r="BX11" s="50"/>
      <c r="BY11" s="7">
        <f t="shared" si="46"/>
        <v>2028</v>
      </c>
      <c r="BZ11" s="8">
        <f>'Commodity Costs Avoided Detail'!$AE9+AV11+$H11+BJ11+$G11</f>
        <v>15.768937726414187</v>
      </c>
      <c r="CA11" s="8">
        <f>'Commodity Costs Avoided Detail'!$AE9+AW11+$H11+BK11+$G11</f>
        <v>13.288567438974002</v>
      </c>
      <c r="CB11" s="8">
        <f>'Commodity Costs Avoided Detail'!AE9+AX11+$H11+BL11+G11</f>
        <v>16.720478419889634</v>
      </c>
      <c r="CC11" s="8">
        <f>'Commodity Costs Avoided Detail'!AF9+AY11+$H11+BM11+$G11</f>
        <v>11.072569591323937</v>
      </c>
      <c r="CD11" s="8">
        <f>'Commodity Costs Avoided Detail'!AG9+AZ11+$H11+BN11+$G11</f>
        <v>13.017578323135663</v>
      </c>
      <c r="CE11" s="8">
        <f>'Commodity Costs Avoided Detail'!AH9+BA11+$H11+BO11+$G11</f>
        <v>10.389566563135663</v>
      </c>
      <c r="CF11" s="8">
        <f>'Commodity Costs Avoided Detail'!AH9+$H11+BP11+$G11</f>
        <v>9.7957425631356614</v>
      </c>
      <c r="CG11" s="8">
        <f>'Commodity Costs Avoided Detail'!$AE9+BB11+$K11+BQ11+$G11</f>
        <v>18.595119839456373</v>
      </c>
      <c r="CH11" s="8">
        <f>'Commodity Costs Avoided Detail'!$AE9+BC11+$K11+BR11+$G11</f>
        <v>14.487357281976251</v>
      </c>
      <c r="CI11" s="8">
        <f>'Commodity Costs Avoided Detail'!AE9+BD11+$K11+BS11+$G11</f>
        <v>20.221171802751009</v>
      </c>
      <c r="CJ11" s="8">
        <f>'Commodity Costs Avoided Detail'!AF9+BE11+$K11+BT11+$G11</f>
        <v>11.362939726367959</v>
      </c>
      <c r="CK11" s="8">
        <f>'Commodity Costs Avoided Detail'!AG9+BF11+$K11+BU11+$G11</f>
        <v>14.597934039913238</v>
      </c>
      <c r="CL11" s="8">
        <f>'Commodity Costs Avoided Detail'!AH9+BG11+$K11+BV11+$G11</f>
        <v>10.264931079913236</v>
      </c>
      <c r="CM11" s="8">
        <f>'Commodity Costs Avoided Detail'!AH9+$K11+BW11+$G11</f>
        <v>9.3457270799132353</v>
      </c>
      <c r="CO11" s="205"/>
      <c r="CP11" s="68" t="s">
        <v>26</v>
      </c>
      <c r="CQ11" s="14">
        <f>'Commodity Costs Avoided Detail'!AH32</f>
        <v>3.3140146939569006</v>
      </c>
      <c r="CR11" s="208"/>
      <c r="CS11" s="208"/>
      <c r="CT11" s="14" t="s">
        <v>27</v>
      </c>
      <c r="CU11" s="64" t="s">
        <v>27</v>
      </c>
      <c r="CV11" s="60">
        <f>BP34</f>
        <v>0.33140146939568998</v>
      </c>
      <c r="CW11" s="15">
        <f>CQ11+CR5+CS5+CV11</f>
        <v>11.735045354546672</v>
      </c>
      <c r="CX11" s="54"/>
      <c r="CY11" s="211"/>
      <c r="CZ11" s="74" t="s">
        <v>26</v>
      </c>
      <c r="DA11" s="82">
        <f t="shared" ref="DA11:DA18" si="52">CQ11</f>
        <v>3.3140146939569006</v>
      </c>
      <c r="DB11" s="82">
        <f t="shared" si="48"/>
        <v>7.5694291911940814</v>
      </c>
      <c r="DC11" s="82">
        <f t="shared" si="49"/>
        <v>0.52020000000000011</v>
      </c>
      <c r="DD11" s="82">
        <v>0</v>
      </c>
      <c r="DE11" s="82">
        <v>0</v>
      </c>
      <c r="DF11" s="18">
        <f t="shared" ref="DF11:DF18" si="53">CV11</f>
        <v>0.33140146939568998</v>
      </c>
      <c r="DG11" s="19">
        <f t="shared" si="51"/>
        <v>11.735045354546672</v>
      </c>
    </row>
    <row r="12" spans="1:111" ht="13.8" customHeight="1" x14ac:dyDescent="0.3">
      <c r="A12" s="88">
        <f t="shared" si="40"/>
        <v>2029</v>
      </c>
      <c r="B12" s="91">
        <v>8.8999999999999996E-2</v>
      </c>
      <c r="C12" s="167">
        <v>0.74663999999999997</v>
      </c>
      <c r="D12" s="168">
        <v>0.45084000000000002</v>
      </c>
      <c r="E12" s="169">
        <v>0.48499999999999999</v>
      </c>
      <c r="F12" s="87">
        <f>'Commodity Costs Avoided Detail'!N10</f>
        <v>2.9316650048118285</v>
      </c>
      <c r="G12" s="156">
        <v>0.5202</v>
      </c>
      <c r="H12" s="136">
        <v>6.1047750000000001</v>
      </c>
      <c r="I12" s="144">
        <f>'Greenhouse Gas Costs Avoided De'!J9</f>
        <v>4.7600927729129801</v>
      </c>
      <c r="J12" s="146">
        <v>10.060223071732516</v>
      </c>
      <c r="K12" s="172">
        <f>'Greenhouse Gas Costs Avoided De'!O9</f>
        <v>5.6805713409575391</v>
      </c>
      <c r="L12" s="149">
        <v>1.25</v>
      </c>
      <c r="M12" s="154">
        <f t="shared" si="41"/>
        <v>2.4590163934426253E-2</v>
      </c>
      <c r="N12" s="141">
        <v>113</v>
      </c>
      <c r="O12" s="7">
        <f t="shared" si="42"/>
        <v>2029</v>
      </c>
      <c r="P12" s="8">
        <f t="shared" si="0"/>
        <v>0.6442738338206585</v>
      </c>
      <c r="Q12" s="8">
        <f t="shared" si="0"/>
        <v>0.6442738338206585</v>
      </c>
      <c r="R12" s="8">
        <f t="shared" si="1"/>
        <v>0.57472154494229177</v>
      </c>
      <c r="S12" s="8">
        <f t="shared" si="2"/>
        <v>0.10720049999999999</v>
      </c>
      <c r="T12" s="8">
        <f t="shared" si="3"/>
        <v>0.11570000000000001</v>
      </c>
      <c r="U12" s="8">
        <f t="shared" si="4"/>
        <v>8.8999999999999996E-2</v>
      </c>
      <c r="V12" s="8">
        <f t="shared" si="5"/>
        <v>8.8999999999999996E-2</v>
      </c>
      <c r="W12" s="8">
        <f t="shared" si="6"/>
        <v>0.6442738338206585</v>
      </c>
      <c r="X12" s="8">
        <f t="shared" si="6"/>
        <v>0.6442738338206585</v>
      </c>
      <c r="Y12" s="8">
        <f t="shared" si="7"/>
        <v>0.57472154494229177</v>
      </c>
      <c r="Z12" s="8">
        <f t="shared" si="8"/>
        <v>0.10720049999999999</v>
      </c>
      <c r="AA12" s="8">
        <f t="shared" si="9"/>
        <v>0.11570000000000001</v>
      </c>
      <c r="AB12" s="8">
        <f t="shared" si="10"/>
        <v>8.8999999999999996E-2</v>
      </c>
      <c r="AC12" s="8">
        <f t="shared" si="11"/>
        <v>8.8999999999999996E-2</v>
      </c>
      <c r="AD12" s="50"/>
      <c r="AE12" s="7">
        <f t="shared" si="43"/>
        <v>2029</v>
      </c>
      <c r="AF12" s="8">
        <f t="shared" si="12"/>
        <v>4.5394336600280862</v>
      </c>
      <c r="AG12" s="8">
        <f t="shared" si="13"/>
        <v>2.2845515805370105</v>
      </c>
      <c r="AH12" s="8">
        <f t="shared" si="14"/>
        <v>5.4740229429750444</v>
      </c>
      <c r="AI12" s="8">
        <f t="shared" si="15"/>
        <v>1.0258634585384641</v>
      </c>
      <c r="AJ12" s="8">
        <f t="shared" si="16"/>
        <v>2.8132416000000005</v>
      </c>
      <c r="AK12" s="8">
        <f t="shared" si="17"/>
        <v>0.45084000000000002</v>
      </c>
      <c r="AL12" s="8">
        <f t="shared" si="18"/>
        <v>0.45084000000000002</v>
      </c>
      <c r="AM12" s="8">
        <f t="shared" si="19"/>
        <v>7.5177951111777359</v>
      </c>
      <c r="AN12" s="8">
        <f t="shared" si="20"/>
        <v>3.7834655134685327</v>
      </c>
      <c r="AO12" s="8">
        <f t="shared" si="21"/>
        <v>9.0655764575966806</v>
      </c>
      <c r="AP12" s="8">
        <f t="shared" si="22"/>
        <v>1.6989412933261441</v>
      </c>
      <c r="AQ12" s="8">
        <f t="shared" si="23"/>
        <v>4.6590335999999999</v>
      </c>
      <c r="AR12" s="8">
        <f t="shared" si="24"/>
        <v>0.74663999999999997</v>
      </c>
      <c r="AS12" s="8">
        <f t="shared" si="25"/>
        <v>0.74663999999999997</v>
      </c>
      <c r="AU12" s="7">
        <f t="shared" si="44"/>
        <v>2029</v>
      </c>
      <c r="AV12" s="8">
        <f t="shared" si="26"/>
        <v>5.1837074938487451</v>
      </c>
      <c r="AW12" s="8">
        <f t="shared" si="27"/>
        <v>2.9288254143576689</v>
      </c>
      <c r="AX12" s="8">
        <f t="shared" si="28"/>
        <v>6.048744487917336</v>
      </c>
      <c r="AY12" s="8">
        <f t="shared" si="29"/>
        <v>1.1330639585384641</v>
      </c>
      <c r="AZ12" s="8">
        <f t="shared" si="30"/>
        <v>2.9289416000000004</v>
      </c>
      <c r="BA12" s="8">
        <f t="shared" si="31"/>
        <v>0.53983999999999999</v>
      </c>
      <c r="BB12" s="8">
        <f t="shared" si="32"/>
        <v>8.1620689449983939</v>
      </c>
      <c r="BC12" s="8">
        <f t="shared" si="33"/>
        <v>4.4277393472891911</v>
      </c>
      <c r="BD12" s="8">
        <f t="shared" si="34"/>
        <v>9.6402980025389731</v>
      </c>
      <c r="BE12" s="8">
        <f t="shared" si="35"/>
        <v>1.8061417933261441</v>
      </c>
      <c r="BF12" s="8">
        <f t="shared" si="36"/>
        <v>4.7747336000000002</v>
      </c>
      <c r="BG12" s="8">
        <f t="shared" si="37"/>
        <v>0.83563999999999994</v>
      </c>
      <c r="BH12" s="50"/>
      <c r="BI12" s="7">
        <f t="shared" si="45"/>
        <v>2029</v>
      </c>
      <c r="BJ12" s="8">
        <f>(('Commodity Costs Avoided Detail'!$AE10+AV12)*0.1)</f>
        <v>0.84024595145358105</v>
      </c>
      <c r="BK12" s="8">
        <f>(('Commodity Costs Avoided Detail'!$AE10+AW12)*0.1)</f>
        <v>0.61475774350447332</v>
      </c>
      <c r="BL12" s="8">
        <f>(('Commodity Costs Avoided Detail'!AE10+AX12)*0.1)</f>
        <v>0.92674965086044014</v>
      </c>
      <c r="BM12" s="8">
        <f>(('Commodity Costs Avoided Detail'!AF10+AY12)*0.1)</f>
        <v>0.40971288649413129</v>
      </c>
      <c r="BN12" s="8">
        <f>(('Commodity Costs Avoided Detail'!AG10+AZ12)*0.1)</f>
        <v>0.58606066048118288</v>
      </c>
      <c r="BO12" s="8">
        <f>(('Commodity Costs Avoided Detail'!AH10+BA12)*0.1)</f>
        <v>0.34715050048118284</v>
      </c>
      <c r="BP12" s="8">
        <f>(('Commodity Costs Avoided Detail'!AH10)*0.1)</f>
        <v>0.29316650048118287</v>
      </c>
      <c r="BQ12" s="8">
        <f>(('Commodity Costs Avoided Detail'!AE10+BB12)*0.1)</f>
        <v>1.1380820965685459</v>
      </c>
      <c r="BR12" s="8">
        <f>(('Commodity Costs Avoided Detail'!AE10+BC12)*0.1)</f>
        <v>0.76464913679762558</v>
      </c>
      <c r="BS12" s="8">
        <f>(('Commodity Costs Avoided Detail'!AE10+BD12)*0.1)</f>
        <v>1.285905002322604</v>
      </c>
      <c r="BT12" s="8">
        <f>(('Commodity Costs Avoided Detail'!AF10+BE12)*0.1)</f>
        <v>0.47702066997289932</v>
      </c>
      <c r="BU12" s="8">
        <f>(('Commodity Costs Avoided Detail'!AG10+BF12)*0.1)</f>
        <v>0.77063986048118294</v>
      </c>
      <c r="BV12" s="8">
        <f>(('Commodity Costs Avoided Detail'!AH10+BG12)*0.1)</f>
        <v>0.3767305004811829</v>
      </c>
      <c r="BW12" s="8">
        <f>(('Commodity Costs Avoided Detail'!AH10)*0.1)</f>
        <v>0.29316650048118287</v>
      </c>
      <c r="BX12" s="50"/>
      <c r="BY12" s="7">
        <f t="shared" si="46"/>
        <v>2029</v>
      </c>
      <c r="BZ12" s="8">
        <f>'Commodity Costs Avoided Detail'!$AE10+AV12+$H12+BJ12+$G12</f>
        <v>15.867680465989391</v>
      </c>
      <c r="CA12" s="8">
        <f>'Commodity Costs Avoided Detail'!$AE10+AW12+$H12+BK12+$G12</f>
        <v>13.387310178549207</v>
      </c>
      <c r="CB12" s="8">
        <f>'Commodity Costs Avoided Detail'!AE10+AX12+$H12+BL12+G12</f>
        <v>16.819221159464838</v>
      </c>
      <c r="CC12" s="8">
        <f>'Commodity Costs Avoided Detail'!AF10+AY12+$H12+BM12+$G12</f>
        <v>11.131816751435444</v>
      </c>
      <c r="CD12" s="8">
        <f>'Commodity Costs Avoided Detail'!AG10+AZ12+$H12+BN12+$G12</f>
        <v>13.071642265293011</v>
      </c>
      <c r="CE12" s="8">
        <f>'Commodity Costs Avoided Detail'!AH10+BA12+$H12+BO12+$G12</f>
        <v>10.443630505293012</v>
      </c>
      <c r="CF12" s="8">
        <f>'Commodity Costs Avoided Detail'!AH10+$H12+BP12+$G12</f>
        <v>9.8498065052930102</v>
      </c>
      <c r="CG12" s="8">
        <f>'Commodity Costs Avoided Detail'!$AE10+BB12+$K12+BQ12+$G12</f>
        <v>18.719674403211542</v>
      </c>
      <c r="CH12" s="8">
        <f>'Commodity Costs Avoided Detail'!$AE10+BC12+$K12+BR12+$G12</f>
        <v>14.61191184573142</v>
      </c>
      <c r="CI12" s="8">
        <f>'Commodity Costs Avoided Detail'!AE10+BD12+$K12+BS12+$G12</f>
        <v>20.345726366506181</v>
      </c>
      <c r="CJ12" s="8">
        <f>'Commodity Costs Avoided Detail'!AF10+BE12+$K12+BT12+$G12</f>
        <v>11.447998710659434</v>
      </c>
      <c r="CK12" s="8">
        <f>'Commodity Costs Avoided Detail'!AG10+BF12+$K12+BU12+$G12</f>
        <v>14.677809806250551</v>
      </c>
      <c r="CL12" s="8">
        <f>'Commodity Costs Avoided Detail'!AH10+BG12+$K12+BV12+$G12</f>
        <v>10.344806846250549</v>
      </c>
      <c r="CM12" s="8">
        <f>'Commodity Costs Avoided Detail'!AH10+$K12+BW12+$G12</f>
        <v>9.4256028462505519</v>
      </c>
      <c r="CO12" s="209" t="s">
        <v>28</v>
      </c>
      <c r="CP12" s="69" t="s">
        <v>8</v>
      </c>
      <c r="CQ12" s="10">
        <f>'Commodity Costs Avoided Detail'!AE33</f>
        <v>3.5967945484978729</v>
      </c>
      <c r="CR12" s="206">
        <f>K34</f>
        <v>6.0371505968575834</v>
      </c>
      <c r="CS12" s="206">
        <f>IF(G34&lt;0,0,G34)</f>
        <v>0.52020000000000011</v>
      </c>
      <c r="CT12" s="10">
        <f>W34</f>
        <v>0.64427383382065839</v>
      </c>
      <c r="CU12" s="62">
        <f>AM34</f>
        <v>7.5177951111777368</v>
      </c>
      <c r="CV12" s="58">
        <f>BQ34</f>
        <v>1.1758956524845847</v>
      </c>
      <c r="CW12" s="11">
        <f t="shared" ref="CW12:CW17" si="54">CQ12+CR$12+CS$12+CT12+CU12+CV12</f>
        <v>19.492109742838437</v>
      </c>
      <c r="CX12" s="54"/>
      <c r="CY12" s="212" t="str">
        <f>CO12</f>
        <v>Washington</v>
      </c>
      <c r="CZ12" s="75" t="str">
        <f>CP12</f>
        <v xml:space="preserve">Residential Space Heating </v>
      </c>
      <c r="DA12" s="83">
        <f t="shared" si="52"/>
        <v>3.5967945484978729</v>
      </c>
      <c r="DB12" s="83">
        <f>CR12</f>
        <v>6.0371505968575834</v>
      </c>
      <c r="DC12" s="83">
        <f>CS12</f>
        <v>0.52020000000000011</v>
      </c>
      <c r="DD12" s="83">
        <f t="shared" ref="DD12:DE17" si="55">CT12</f>
        <v>0.64427383382065839</v>
      </c>
      <c r="DE12" s="83">
        <f t="shared" si="55"/>
        <v>7.5177951111777368</v>
      </c>
      <c r="DF12" s="84">
        <f t="shared" si="53"/>
        <v>1.1758956524845847</v>
      </c>
      <c r="DG12" s="85">
        <f t="shared" si="51"/>
        <v>19.492109742838437</v>
      </c>
    </row>
    <row r="13" spans="1:111" ht="13.8" customHeight="1" x14ac:dyDescent="0.3">
      <c r="A13" s="88">
        <f t="shared" si="40"/>
        <v>2030</v>
      </c>
      <c r="B13" s="91">
        <v>8.8999999999999996E-2</v>
      </c>
      <c r="C13" s="167">
        <v>0.74663999999999997</v>
      </c>
      <c r="D13" s="168">
        <v>0.45084000000000002</v>
      </c>
      <c r="E13" s="169">
        <v>0.48499999999999999</v>
      </c>
      <c r="F13" s="87">
        <f>'Commodity Costs Avoided Detail'!N11</f>
        <v>2.9304428331917562</v>
      </c>
      <c r="G13" s="156">
        <v>0.5202</v>
      </c>
      <c r="H13" s="136">
        <v>6.1578600000000003</v>
      </c>
      <c r="I13" s="144">
        <f>'Greenhouse Gas Costs Avoided De'!J10</f>
        <v>4.8262051725367732</v>
      </c>
      <c r="J13" s="146">
        <v>10.249020823748946</v>
      </c>
      <c r="K13" s="172">
        <f>'Greenhouse Gas Costs Avoided De'!O10</f>
        <v>5.7594681651375064</v>
      </c>
      <c r="L13" s="149">
        <v>1.28</v>
      </c>
      <c r="M13" s="154">
        <f t="shared" si="41"/>
        <v>2.4000000000000021E-2</v>
      </c>
      <c r="N13" s="141">
        <v>114</v>
      </c>
      <c r="O13" s="7">
        <f t="shared" si="42"/>
        <v>2030</v>
      </c>
      <c r="P13" s="8">
        <f t="shared" si="0"/>
        <v>0.6442738338206585</v>
      </c>
      <c r="Q13" s="8">
        <f t="shared" si="0"/>
        <v>0.6442738338206585</v>
      </c>
      <c r="R13" s="8">
        <f t="shared" si="1"/>
        <v>0.57472154494229177</v>
      </c>
      <c r="S13" s="8">
        <f t="shared" si="2"/>
        <v>0.10720049999999999</v>
      </c>
      <c r="T13" s="8">
        <f t="shared" si="3"/>
        <v>0.11570000000000001</v>
      </c>
      <c r="U13" s="8">
        <f t="shared" si="4"/>
        <v>8.8999999999999996E-2</v>
      </c>
      <c r="V13" s="8">
        <f t="shared" si="5"/>
        <v>8.8999999999999996E-2</v>
      </c>
      <c r="W13" s="8">
        <f t="shared" si="6"/>
        <v>0.6442738338206585</v>
      </c>
      <c r="X13" s="8">
        <f t="shared" si="6"/>
        <v>0.6442738338206585</v>
      </c>
      <c r="Y13" s="8">
        <f t="shared" si="7"/>
        <v>0.57472154494229177</v>
      </c>
      <c r="Z13" s="8">
        <f t="shared" si="8"/>
        <v>0.10720049999999999</v>
      </c>
      <c r="AA13" s="8">
        <f t="shared" si="9"/>
        <v>0.11570000000000001</v>
      </c>
      <c r="AB13" s="8">
        <f t="shared" si="10"/>
        <v>8.8999999999999996E-2</v>
      </c>
      <c r="AC13" s="8">
        <f t="shared" si="11"/>
        <v>8.8999999999999996E-2</v>
      </c>
      <c r="AD13" s="50"/>
      <c r="AE13" s="7">
        <f t="shared" si="43"/>
        <v>2030</v>
      </c>
      <c r="AF13" s="8">
        <f t="shared" si="12"/>
        <v>4.5394336600280862</v>
      </c>
      <c r="AG13" s="8">
        <f t="shared" si="13"/>
        <v>2.2845515805370105</v>
      </c>
      <c r="AH13" s="8">
        <f t="shared" si="14"/>
        <v>5.4740229429750444</v>
      </c>
      <c r="AI13" s="8">
        <f t="shared" si="15"/>
        <v>1.0258634585384641</v>
      </c>
      <c r="AJ13" s="8">
        <f t="shared" si="16"/>
        <v>2.8132416000000005</v>
      </c>
      <c r="AK13" s="8">
        <f t="shared" si="17"/>
        <v>0.45084000000000002</v>
      </c>
      <c r="AL13" s="8">
        <f t="shared" si="18"/>
        <v>0.45084000000000002</v>
      </c>
      <c r="AM13" s="8">
        <f t="shared" si="19"/>
        <v>7.5177951111777359</v>
      </c>
      <c r="AN13" s="8">
        <f t="shared" si="20"/>
        <v>3.7834655134685327</v>
      </c>
      <c r="AO13" s="8">
        <f t="shared" si="21"/>
        <v>9.0655764575966806</v>
      </c>
      <c r="AP13" s="8">
        <f t="shared" si="22"/>
        <v>1.6989412933261441</v>
      </c>
      <c r="AQ13" s="8">
        <f t="shared" si="23"/>
        <v>4.6590335999999999</v>
      </c>
      <c r="AR13" s="8">
        <f t="shared" si="24"/>
        <v>0.74663999999999997</v>
      </c>
      <c r="AS13" s="8">
        <f t="shared" si="25"/>
        <v>0.74663999999999997</v>
      </c>
      <c r="AU13" s="7">
        <f t="shared" si="44"/>
        <v>2030</v>
      </c>
      <c r="AV13" s="8">
        <f t="shared" si="26"/>
        <v>5.1837074938487451</v>
      </c>
      <c r="AW13" s="8">
        <f t="shared" si="27"/>
        <v>2.9288254143576689</v>
      </c>
      <c r="AX13" s="8">
        <f t="shared" si="28"/>
        <v>6.048744487917336</v>
      </c>
      <c r="AY13" s="8">
        <f t="shared" si="29"/>
        <v>1.1330639585384641</v>
      </c>
      <c r="AZ13" s="8">
        <f t="shared" si="30"/>
        <v>2.9289416000000004</v>
      </c>
      <c r="BA13" s="8">
        <f t="shared" si="31"/>
        <v>0.53983999999999999</v>
      </c>
      <c r="BB13" s="8">
        <f t="shared" si="32"/>
        <v>8.1620689449983939</v>
      </c>
      <c r="BC13" s="8">
        <f t="shared" si="33"/>
        <v>4.4277393472891911</v>
      </c>
      <c r="BD13" s="8">
        <f t="shared" si="34"/>
        <v>9.6402980025389731</v>
      </c>
      <c r="BE13" s="8">
        <f t="shared" si="35"/>
        <v>1.8061417933261441</v>
      </c>
      <c r="BF13" s="8">
        <f t="shared" si="36"/>
        <v>4.7747336000000002</v>
      </c>
      <c r="BG13" s="8">
        <f t="shared" si="37"/>
        <v>0.83563999999999994</v>
      </c>
      <c r="BH13" s="50"/>
      <c r="BI13" s="7">
        <f t="shared" si="45"/>
        <v>2030</v>
      </c>
      <c r="BJ13" s="8">
        <f>(('Commodity Costs Avoided Detail'!$AE11+AV13)*0.1)</f>
        <v>0.84317768351146793</v>
      </c>
      <c r="BK13" s="8">
        <f>(('Commodity Costs Avoided Detail'!$AE11+AW13)*0.1)</f>
        <v>0.6176894755623602</v>
      </c>
      <c r="BL13" s="8">
        <f>(('Commodity Costs Avoided Detail'!AE11+AX13)*0.1)</f>
        <v>0.92968138291832703</v>
      </c>
      <c r="BM13" s="8">
        <f>(('Commodity Costs Avoided Detail'!AF11+AY13)*0.1)</f>
        <v>0.40997387086109272</v>
      </c>
      <c r="BN13" s="8">
        <f>(('Commodity Costs Avoided Detail'!AG11+AZ13)*0.1)</f>
        <v>0.58593844331917566</v>
      </c>
      <c r="BO13" s="8">
        <f>(('Commodity Costs Avoided Detail'!AH11+BA13)*0.1)</f>
        <v>0.34702828331917562</v>
      </c>
      <c r="BP13" s="8">
        <f>(('Commodity Costs Avoided Detail'!AH11)*0.1)</f>
        <v>0.29304428331917565</v>
      </c>
      <c r="BQ13" s="8">
        <f>(('Commodity Costs Avoided Detail'!AE11+BB13)*0.1)</f>
        <v>1.1410138286264329</v>
      </c>
      <c r="BR13" s="8">
        <f>(('Commodity Costs Avoided Detail'!AE11+BC13)*0.1)</f>
        <v>0.76758086885551247</v>
      </c>
      <c r="BS13" s="8">
        <f>(('Commodity Costs Avoided Detail'!AE11+BD13)*0.1)</f>
        <v>1.2888367343804907</v>
      </c>
      <c r="BT13" s="8">
        <f>(('Commodity Costs Avoided Detail'!AF11+BE13)*0.1)</f>
        <v>0.47728165433986069</v>
      </c>
      <c r="BU13" s="8">
        <f>(('Commodity Costs Avoided Detail'!AG11+BF13)*0.1)</f>
        <v>0.77051764331917572</v>
      </c>
      <c r="BV13" s="8">
        <f>(('Commodity Costs Avoided Detail'!AH11+BG13)*0.1)</f>
        <v>0.37660828331917567</v>
      </c>
      <c r="BW13" s="8">
        <f>(('Commodity Costs Avoided Detail'!AH11)*0.1)</f>
        <v>0.29304428331917565</v>
      </c>
      <c r="BX13" s="50"/>
      <c r="BY13" s="7">
        <f t="shared" si="46"/>
        <v>2030</v>
      </c>
      <c r="BZ13" s="8">
        <f>'Commodity Costs Avoided Detail'!$AE11+AV13+$H13+BJ13+$G13</f>
        <v>15.953014518626148</v>
      </c>
      <c r="CA13" s="8">
        <f>'Commodity Costs Avoided Detail'!$AE11+AW13+$H13+BK13+$G13</f>
        <v>13.472644231185964</v>
      </c>
      <c r="CB13" s="8">
        <f>'Commodity Costs Avoided Detail'!AE11+AX13+$H13+BL13+G13</f>
        <v>16.904555212101599</v>
      </c>
      <c r="CC13" s="8">
        <f>'Commodity Costs Avoided Detail'!AF11+AY13+$H13+BM13+$G13</f>
        <v>11.187772579472021</v>
      </c>
      <c r="CD13" s="8">
        <f>'Commodity Costs Avoided Detail'!AG11+AZ13+$H13+BN13+$G13</f>
        <v>13.123382876510931</v>
      </c>
      <c r="CE13" s="8">
        <f>'Commodity Costs Avoided Detail'!AH11+BA13+$H13+BO13+$G13</f>
        <v>10.495371116510931</v>
      </c>
      <c r="CF13" s="8">
        <f>'Commodity Costs Avoided Detail'!AH11+$H13+BP13+$G13</f>
        <v>9.9015471165109332</v>
      </c>
      <c r="CG13" s="8">
        <f>'Commodity Costs Avoided Detail'!$AE11+BB13+$K13+BQ13+$G13</f>
        <v>18.830820280028266</v>
      </c>
      <c r="CH13" s="8">
        <f>'Commodity Costs Avoided Detail'!$AE11+BC13+$K13+BR13+$G13</f>
        <v>14.723057722548145</v>
      </c>
      <c r="CI13" s="8">
        <f>'Commodity Costs Avoided Detail'!AE11+BD13+$K13+BS13+$G13</f>
        <v>20.456872243322906</v>
      </c>
      <c r="CJ13" s="8">
        <f>'Commodity Costs Avoided Detail'!AF11+BE13+$K13+BT13+$G13</f>
        <v>11.529766362875975</v>
      </c>
      <c r="CK13" s="8">
        <f>'Commodity Costs Avoided Detail'!AG11+BF13+$K13+BU13+$G13</f>
        <v>14.755362241648438</v>
      </c>
      <c r="CL13" s="8">
        <f>'Commodity Costs Avoided Detail'!AH11+BG13+$K13+BV13+$G13</f>
        <v>10.422359281648436</v>
      </c>
      <c r="CM13" s="8">
        <f>'Commodity Costs Avoided Detail'!AH11+$K13+BW13+$G13</f>
        <v>9.5031552816484393</v>
      </c>
      <c r="CO13" s="210"/>
      <c r="CP13" s="70" t="s">
        <v>9</v>
      </c>
      <c r="CQ13" s="12">
        <f>'Commodity Costs Avoided Detail'!AE33</f>
        <v>3.5967945484978729</v>
      </c>
      <c r="CR13" s="207"/>
      <c r="CS13" s="207"/>
      <c r="CT13" s="12">
        <f>X34</f>
        <v>0.64427383382065839</v>
      </c>
      <c r="CU13" s="63">
        <f>AN34</f>
        <v>3.7834655134685313</v>
      </c>
      <c r="CV13" s="59">
        <f>BR34</f>
        <v>0.80246269271366455</v>
      </c>
      <c r="CW13" s="13">
        <f t="shared" si="54"/>
        <v>15.384347185358312</v>
      </c>
      <c r="CX13" s="54"/>
      <c r="CY13" s="210"/>
      <c r="CZ13" s="72" t="str">
        <f>CP13</f>
        <v>Residential Hearths and Fireplaces</v>
      </c>
      <c r="DA13" s="79">
        <f t="shared" si="52"/>
        <v>3.5967945484978729</v>
      </c>
      <c r="DB13" s="79">
        <f t="shared" ref="DB13:DB18" si="56">DB12</f>
        <v>6.0371505968575834</v>
      </c>
      <c r="DC13" s="79">
        <f t="shared" ref="DC13:DC18" si="57">DC$12</f>
        <v>0.52020000000000011</v>
      </c>
      <c r="DD13" s="79">
        <f t="shared" si="55"/>
        <v>0.64427383382065839</v>
      </c>
      <c r="DE13" s="79">
        <f t="shared" si="55"/>
        <v>3.7834655134685313</v>
      </c>
      <c r="DF13" s="80">
        <f t="shared" si="53"/>
        <v>0.80246269271366455</v>
      </c>
      <c r="DG13" s="81">
        <f t="shared" si="51"/>
        <v>15.384347185358312</v>
      </c>
    </row>
    <row r="14" spans="1:111" ht="13.8" customHeight="1" x14ac:dyDescent="0.3">
      <c r="A14" s="88">
        <f t="shared" si="40"/>
        <v>2031</v>
      </c>
      <c r="B14" s="91">
        <v>8.8999999999999996E-2</v>
      </c>
      <c r="C14" s="167">
        <v>0.74663999999999997</v>
      </c>
      <c r="D14" s="168">
        <v>0.45084000000000002</v>
      </c>
      <c r="E14" s="169">
        <v>0.48499999999999999</v>
      </c>
      <c r="F14" s="87">
        <f>'Commodity Costs Avoided Detail'!N12</f>
        <v>3.0074452808675756</v>
      </c>
      <c r="G14" s="156">
        <v>0.5202</v>
      </c>
      <c r="H14" s="136">
        <v>6.2109449999999997</v>
      </c>
      <c r="I14" s="144">
        <f>'Greenhouse Gas Costs Avoided De'!J11</f>
        <v>4.8923175721605645</v>
      </c>
      <c r="J14" s="146">
        <v>10.464789683196292</v>
      </c>
      <c r="K14" s="172">
        <f>'Greenhouse Gas Costs Avoided De'!O11</f>
        <v>5.8383649893174727</v>
      </c>
      <c r="L14" s="149">
        <v>1.31</v>
      </c>
      <c r="M14" s="154">
        <f t="shared" si="41"/>
        <v>2.3437500000000021E-2</v>
      </c>
      <c r="N14" s="141">
        <v>115</v>
      </c>
      <c r="O14" s="7">
        <f t="shared" si="42"/>
        <v>2031</v>
      </c>
      <c r="P14" s="8">
        <f t="shared" si="0"/>
        <v>0.6442738338206585</v>
      </c>
      <c r="Q14" s="8">
        <f t="shared" si="0"/>
        <v>0.6442738338206585</v>
      </c>
      <c r="R14" s="8">
        <f t="shared" si="1"/>
        <v>0.57472154494229177</v>
      </c>
      <c r="S14" s="8">
        <f t="shared" si="2"/>
        <v>0.10720049999999999</v>
      </c>
      <c r="T14" s="8">
        <f t="shared" si="3"/>
        <v>0.11570000000000001</v>
      </c>
      <c r="U14" s="8">
        <f t="shared" si="4"/>
        <v>8.8999999999999996E-2</v>
      </c>
      <c r="V14" s="8">
        <f t="shared" si="5"/>
        <v>8.8999999999999996E-2</v>
      </c>
      <c r="W14" s="8">
        <f t="shared" si="6"/>
        <v>0.6442738338206585</v>
      </c>
      <c r="X14" s="8">
        <f t="shared" si="6"/>
        <v>0.6442738338206585</v>
      </c>
      <c r="Y14" s="8">
        <f t="shared" si="7"/>
        <v>0.57472154494229177</v>
      </c>
      <c r="Z14" s="8">
        <f t="shared" si="8"/>
        <v>0.10720049999999999</v>
      </c>
      <c r="AA14" s="8">
        <f t="shared" si="9"/>
        <v>0.11570000000000001</v>
      </c>
      <c r="AB14" s="8">
        <f t="shared" si="10"/>
        <v>8.8999999999999996E-2</v>
      </c>
      <c r="AC14" s="8">
        <f t="shared" si="11"/>
        <v>8.8999999999999996E-2</v>
      </c>
      <c r="AD14" s="50"/>
      <c r="AE14" s="7">
        <f t="shared" si="43"/>
        <v>2031</v>
      </c>
      <c r="AF14" s="8">
        <f t="shared" si="12"/>
        <v>4.5394336600280862</v>
      </c>
      <c r="AG14" s="8">
        <f t="shared" si="13"/>
        <v>2.2845515805370105</v>
      </c>
      <c r="AH14" s="8">
        <f t="shared" si="14"/>
        <v>5.4740229429750444</v>
      </c>
      <c r="AI14" s="8">
        <f t="shared" si="15"/>
        <v>1.0258634585384641</v>
      </c>
      <c r="AJ14" s="8">
        <f t="shared" si="16"/>
        <v>2.8132416000000005</v>
      </c>
      <c r="AK14" s="8">
        <f t="shared" si="17"/>
        <v>0.45084000000000002</v>
      </c>
      <c r="AL14" s="8">
        <f t="shared" si="18"/>
        <v>0.45084000000000002</v>
      </c>
      <c r="AM14" s="8">
        <f t="shared" si="19"/>
        <v>7.5177951111777359</v>
      </c>
      <c r="AN14" s="8">
        <f t="shared" si="20"/>
        <v>3.7834655134685327</v>
      </c>
      <c r="AO14" s="8">
        <f t="shared" si="21"/>
        <v>9.0655764575966806</v>
      </c>
      <c r="AP14" s="8">
        <f t="shared" si="22"/>
        <v>1.6989412933261441</v>
      </c>
      <c r="AQ14" s="8">
        <f t="shared" si="23"/>
        <v>4.6590335999999999</v>
      </c>
      <c r="AR14" s="8">
        <f t="shared" si="24"/>
        <v>0.74663999999999997</v>
      </c>
      <c r="AS14" s="8">
        <f t="shared" si="25"/>
        <v>0.74663999999999997</v>
      </c>
      <c r="AU14" s="7">
        <f t="shared" si="44"/>
        <v>2031</v>
      </c>
      <c r="AV14" s="8">
        <f t="shared" si="26"/>
        <v>5.1837074938487451</v>
      </c>
      <c r="AW14" s="8">
        <f t="shared" si="27"/>
        <v>2.9288254143576689</v>
      </c>
      <c r="AX14" s="8">
        <f t="shared" si="28"/>
        <v>6.048744487917336</v>
      </c>
      <c r="AY14" s="8">
        <f t="shared" si="29"/>
        <v>1.1330639585384641</v>
      </c>
      <c r="AZ14" s="8">
        <f t="shared" si="30"/>
        <v>2.9289416000000004</v>
      </c>
      <c r="BA14" s="8">
        <f t="shared" si="31"/>
        <v>0.53983999999999999</v>
      </c>
      <c r="BB14" s="8">
        <f t="shared" si="32"/>
        <v>8.1620689449983939</v>
      </c>
      <c r="BC14" s="8">
        <f t="shared" si="33"/>
        <v>4.4277393472891911</v>
      </c>
      <c r="BD14" s="8">
        <f t="shared" si="34"/>
        <v>9.6402980025389731</v>
      </c>
      <c r="BE14" s="8">
        <f t="shared" si="35"/>
        <v>1.8061417933261441</v>
      </c>
      <c r="BF14" s="8">
        <f t="shared" si="36"/>
        <v>4.7747336000000002</v>
      </c>
      <c r="BG14" s="8">
        <f t="shared" si="37"/>
        <v>0.83563999999999994</v>
      </c>
      <c r="BH14" s="50"/>
      <c r="BI14" s="7">
        <f t="shared" si="45"/>
        <v>2031</v>
      </c>
      <c r="BJ14" s="8">
        <f>(('Commodity Costs Avoided Detail'!$AE12+AV14)*0.1)</f>
        <v>0.84658635793242232</v>
      </c>
      <c r="BK14" s="8">
        <f>(('Commodity Costs Avoided Detail'!$AE12+AW14)*0.1)</f>
        <v>0.6210981499833147</v>
      </c>
      <c r="BL14" s="8">
        <f>(('Commodity Costs Avoided Detail'!AE12+AX14)*0.1)</f>
        <v>0.93309005733928141</v>
      </c>
      <c r="BM14" s="8">
        <f>(('Commodity Costs Avoided Detail'!AF12+AY14)*0.1)</f>
        <v>0.41714033890807639</v>
      </c>
      <c r="BN14" s="8">
        <f>(('Commodity Costs Avoided Detail'!AG12+AZ14)*0.1)</f>
        <v>0.59363868808675768</v>
      </c>
      <c r="BO14" s="8">
        <f>(('Commodity Costs Avoided Detail'!AH12+BA14)*0.1)</f>
        <v>0.35472852808675759</v>
      </c>
      <c r="BP14" s="8">
        <f>(('Commodity Costs Avoided Detail'!AH12)*0.1)</f>
        <v>0.30074452808675761</v>
      </c>
      <c r="BQ14" s="8">
        <f>(('Commodity Costs Avoided Detail'!AE12+BB14)*0.1)</f>
        <v>1.1444225030473871</v>
      </c>
      <c r="BR14" s="8">
        <f>(('Commodity Costs Avoided Detail'!AE12+BC14)*0.1)</f>
        <v>0.77098954327646696</v>
      </c>
      <c r="BS14" s="8">
        <f>(('Commodity Costs Avoided Detail'!AE12+BD14)*0.1)</f>
        <v>1.2922454088014452</v>
      </c>
      <c r="BT14" s="8">
        <f>(('Commodity Costs Avoided Detail'!AF12+BE14)*0.1)</f>
        <v>0.48444812238684443</v>
      </c>
      <c r="BU14" s="8">
        <f>(('Commodity Costs Avoided Detail'!AG12+BF14)*0.1)</f>
        <v>0.77821788808675763</v>
      </c>
      <c r="BV14" s="8">
        <f>(('Commodity Costs Avoided Detail'!AH12+BG14)*0.1)</f>
        <v>0.38430852808675758</v>
      </c>
      <c r="BW14" s="8">
        <f>(('Commodity Costs Avoided Detail'!AH12)*0.1)</f>
        <v>0.30074452808675761</v>
      </c>
      <c r="BX14" s="50"/>
      <c r="BY14" s="7">
        <f t="shared" si="46"/>
        <v>2031</v>
      </c>
      <c r="BZ14" s="8">
        <f>'Commodity Costs Avoided Detail'!$AE12+AV14+$H14+BJ14+$G14</f>
        <v>16.043594937256646</v>
      </c>
      <c r="CA14" s="8">
        <f>'Commodity Costs Avoided Detail'!$AE12+AW14+$H14+BK14+$G14</f>
        <v>13.563224649816462</v>
      </c>
      <c r="CB14" s="8">
        <f>'Commodity Costs Avoided Detail'!AE12+AX14+$H14+BL14+G14</f>
        <v>16.995135630732094</v>
      </c>
      <c r="CC14" s="8">
        <f>'Commodity Costs Avoided Detail'!AF12+AY14+$H14+BM14+$G14</f>
        <v>11.31968872798884</v>
      </c>
      <c r="CD14" s="8">
        <f>'Commodity Costs Avoided Detail'!AG12+AZ14+$H14+BN14+$G14</f>
        <v>13.261170568954334</v>
      </c>
      <c r="CE14" s="8">
        <f>'Commodity Costs Avoided Detail'!AH12+BA14+$H14+BO14+$G14</f>
        <v>10.633158808954335</v>
      </c>
      <c r="CF14" s="8">
        <f>'Commodity Costs Avoided Detail'!AH12+$H14+BP14+$G14</f>
        <v>10.039334808954333</v>
      </c>
      <c r="CG14" s="8">
        <f>'Commodity Costs Avoided Detail'!$AE12+BB14+$K14+BQ14+$G14</f>
        <v>18.947212522838729</v>
      </c>
      <c r="CH14" s="8">
        <f>'Commodity Costs Avoided Detail'!$AE12+BC14+$K14+BR14+$G14</f>
        <v>14.839449965358607</v>
      </c>
      <c r="CI14" s="8">
        <f>'Commodity Costs Avoided Detail'!AE12+BD14+$K14+BS14+$G14</f>
        <v>20.573264486133368</v>
      </c>
      <c r="CJ14" s="8">
        <f>'Commodity Costs Avoided Detail'!AF12+BE14+$K14+BT14+$G14</f>
        <v>11.687494335572762</v>
      </c>
      <c r="CK14" s="8">
        <f>'Commodity Costs Avoided Detail'!AG12+BF14+$K14+BU14+$G14</f>
        <v>14.918961758271806</v>
      </c>
      <c r="CL14" s="8">
        <f>'Commodity Costs Avoided Detail'!AH12+BG14+$K14+BV14+$G14</f>
        <v>10.585958798271808</v>
      </c>
      <c r="CM14" s="8">
        <f>'Commodity Costs Avoided Detail'!AH12+$K14+BW14+$G14</f>
        <v>9.6667547982718069</v>
      </c>
      <c r="CO14" s="210"/>
      <c r="CP14" s="70" t="s">
        <v>10</v>
      </c>
      <c r="CQ14" s="12">
        <f>'Commodity Costs Avoided Detail'!AE33</f>
        <v>3.5967945484978729</v>
      </c>
      <c r="CR14" s="207"/>
      <c r="CS14" s="207"/>
      <c r="CT14" s="12">
        <f>Y34</f>
        <v>0.57472154494229166</v>
      </c>
      <c r="CU14" s="63">
        <f>AO34</f>
        <v>9.0655764575966788</v>
      </c>
      <c r="CV14" s="59">
        <f>BS34</f>
        <v>1.3237185582386428</v>
      </c>
      <c r="CW14" s="13">
        <f t="shared" si="54"/>
        <v>21.118161706133069</v>
      </c>
      <c r="CX14" s="54"/>
      <c r="CY14" s="210"/>
      <c r="CZ14" s="72" t="str">
        <f>CP14</f>
        <v>Commercial Space Heating</v>
      </c>
      <c r="DA14" s="79">
        <f t="shared" si="52"/>
        <v>3.5967945484978729</v>
      </c>
      <c r="DB14" s="79">
        <f t="shared" si="56"/>
        <v>6.0371505968575834</v>
      </c>
      <c r="DC14" s="79">
        <f t="shared" si="57"/>
        <v>0.52020000000000011</v>
      </c>
      <c r="DD14" s="79">
        <f t="shared" si="55"/>
        <v>0.57472154494229166</v>
      </c>
      <c r="DE14" s="79">
        <f t="shared" si="55"/>
        <v>9.0655764575966788</v>
      </c>
      <c r="DF14" s="80">
        <f t="shared" si="53"/>
        <v>1.3237185582386428</v>
      </c>
      <c r="DG14" s="81">
        <f t="shared" si="51"/>
        <v>21.118161706133069</v>
      </c>
    </row>
    <row r="15" spans="1:111" ht="13.8" customHeight="1" x14ac:dyDescent="0.3">
      <c r="A15" s="88">
        <f t="shared" si="40"/>
        <v>2032</v>
      </c>
      <c r="B15" s="91">
        <v>8.8999999999999996E-2</v>
      </c>
      <c r="C15" s="167">
        <v>0.74663999999999997</v>
      </c>
      <c r="D15" s="168">
        <v>0.45084000000000002</v>
      </c>
      <c r="E15" s="169">
        <v>0.48499999999999999</v>
      </c>
      <c r="F15" s="87">
        <f>'Commodity Costs Avoided Detail'!N13</f>
        <v>2.9515375284560936</v>
      </c>
      <c r="G15" s="156">
        <v>0.5202</v>
      </c>
      <c r="H15" s="136">
        <v>6.26403</v>
      </c>
      <c r="I15" s="144">
        <f>'Greenhouse Gas Costs Avoided De'!J12</f>
        <v>4.958429971784355</v>
      </c>
      <c r="J15" s="146">
        <v>10.68055854264364</v>
      </c>
      <c r="K15" s="172">
        <f>'Greenhouse Gas Costs Avoided De'!O12</f>
        <v>5.9172618134974373</v>
      </c>
      <c r="L15" s="149">
        <v>1.34</v>
      </c>
      <c r="M15" s="154">
        <f t="shared" si="41"/>
        <v>2.2900763358778647E-2</v>
      </c>
      <c r="N15" s="141">
        <v>116</v>
      </c>
      <c r="O15" s="7">
        <f t="shared" si="42"/>
        <v>2032</v>
      </c>
      <c r="P15" s="8">
        <f t="shared" si="0"/>
        <v>0.6442738338206585</v>
      </c>
      <c r="Q15" s="8">
        <f t="shared" si="0"/>
        <v>0.6442738338206585</v>
      </c>
      <c r="R15" s="8">
        <f t="shared" si="1"/>
        <v>0.57472154494229177</v>
      </c>
      <c r="S15" s="8">
        <f t="shared" si="2"/>
        <v>0.10720049999999999</v>
      </c>
      <c r="T15" s="8">
        <f t="shared" si="3"/>
        <v>0.11570000000000001</v>
      </c>
      <c r="U15" s="8">
        <f t="shared" si="4"/>
        <v>8.8999999999999996E-2</v>
      </c>
      <c r="V15" s="8">
        <f t="shared" si="5"/>
        <v>8.8999999999999996E-2</v>
      </c>
      <c r="W15" s="8">
        <f t="shared" si="6"/>
        <v>0.6442738338206585</v>
      </c>
      <c r="X15" s="8">
        <f t="shared" si="6"/>
        <v>0.6442738338206585</v>
      </c>
      <c r="Y15" s="8">
        <f t="shared" si="7"/>
        <v>0.57472154494229177</v>
      </c>
      <c r="Z15" s="8">
        <f t="shared" si="8"/>
        <v>0.10720049999999999</v>
      </c>
      <c r="AA15" s="8">
        <f t="shared" si="9"/>
        <v>0.11570000000000001</v>
      </c>
      <c r="AB15" s="8">
        <f t="shared" si="10"/>
        <v>8.8999999999999996E-2</v>
      </c>
      <c r="AC15" s="8">
        <f t="shared" si="11"/>
        <v>8.8999999999999996E-2</v>
      </c>
      <c r="AD15" s="50"/>
      <c r="AE15" s="7">
        <f t="shared" si="43"/>
        <v>2032</v>
      </c>
      <c r="AF15" s="8">
        <f t="shared" si="12"/>
        <v>4.5394336600280862</v>
      </c>
      <c r="AG15" s="8">
        <f t="shared" si="13"/>
        <v>2.2845515805370105</v>
      </c>
      <c r="AH15" s="8">
        <f t="shared" si="14"/>
        <v>5.4740229429750444</v>
      </c>
      <c r="AI15" s="8">
        <f t="shared" si="15"/>
        <v>1.0258634585384641</v>
      </c>
      <c r="AJ15" s="8">
        <f t="shared" si="16"/>
        <v>2.8132416000000005</v>
      </c>
      <c r="AK15" s="8">
        <f t="shared" si="17"/>
        <v>0.45084000000000002</v>
      </c>
      <c r="AL15" s="8">
        <f t="shared" si="18"/>
        <v>0.45084000000000002</v>
      </c>
      <c r="AM15" s="8">
        <f t="shared" si="19"/>
        <v>7.5177951111777359</v>
      </c>
      <c r="AN15" s="8">
        <f t="shared" si="20"/>
        <v>3.7834655134685327</v>
      </c>
      <c r="AO15" s="8">
        <f t="shared" si="21"/>
        <v>9.0655764575966806</v>
      </c>
      <c r="AP15" s="8">
        <f t="shared" si="22"/>
        <v>1.6989412933261441</v>
      </c>
      <c r="AQ15" s="8">
        <f t="shared" si="23"/>
        <v>4.6590335999999999</v>
      </c>
      <c r="AR15" s="8">
        <f t="shared" si="24"/>
        <v>0.74663999999999997</v>
      </c>
      <c r="AS15" s="8">
        <f t="shared" si="25"/>
        <v>0.74663999999999997</v>
      </c>
      <c r="AU15" s="7">
        <f t="shared" si="44"/>
        <v>2032</v>
      </c>
      <c r="AV15" s="8">
        <f t="shared" si="26"/>
        <v>5.1837074938487451</v>
      </c>
      <c r="AW15" s="8">
        <f t="shared" si="27"/>
        <v>2.9288254143576689</v>
      </c>
      <c r="AX15" s="8">
        <f t="shared" si="28"/>
        <v>6.048744487917336</v>
      </c>
      <c r="AY15" s="8">
        <f t="shared" si="29"/>
        <v>1.1330639585384641</v>
      </c>
      <c r="AZ15" s="8">
        <f t="shared" si="30"/>
        <v>2.9289416000000004</v>
      </c>
      <c r="BA15" s="8">
        <f t="shared" si="31"/>
        <v>0.53983999999999999</v>
      </c>
      <c r="BB15" s="8">
        <f t="shared" si="32"/>
        <v>8.1620689449983939</v>
      </c>
      <c r="BC15" s="8">
        <f t="shared" si="33"/>
        <v>4.4277393472891911</v>
      </c>
      <c r="BD15" s="8">
        <f t="shared" si="34"/>
        <v>9.6402980025389731</v>
      </c>
      <c r="BE15" s="8">
        <f t="shared" si="35"/>
        <v>1.8061417933261441</v>
      </c>
      <c r="BF15" s="8">
        <f t="shared" si="36"/>
        <v>4.7747336000000002</v>
      </c>
      <c r="BG15" s="8">
        <f t="shared" si="37"/>
        <v>0.83563999999999994</v>
      </c>
      <c r="BH15" s="50"/>
      <c r="BI15" s="7">
        <f t="shared" si="45"/>
        <v>2032</v>
      </c>
      <c r="BJ15" s="8">
        <f>(('Commodity Costs Avoided Detail'!$AE13+AV15)*0.1)</f>
        <v>0.84557219212562174</v>
      </c>
      <c r="BK15" s="8">
        <f>(('Commodity Costs Avoided Detail'!$AE13+AW15)*0.1)</f>
        <v>0.62008398417651422</v>
      </c>
      <c r="BL15" s="8">
        <f>(('Commodity Costs Avoided Detail'!AE13+AX15)*0.1)</f>
        <v>0.93207589153248083</v>
      </c>
      <c r="BM15" s="8">
        <f>(('Commodity Costs Avoided Detail'!AF13+AY15)*0.1)</f>
        <v>0.41203238218202504</v>
      </c>
      <c r="BN15" s="8">
        <f>(('Commodity Costs Avoided Detail'!AG13+AZ15)*0.1)</f>
        <v>0.58804791284560942</v>
      </c>
      <c r="BO15" s="8">
        <f>(('Commodity Costs Avoided Detail'!AH13+BA15)*0.1)</f>
        <v>0.34913775284560944</v>
      </c>
      <c r="BP15" s="8">
        <f>(('Commodity Costs Avoided Detail'!AH13)*0.1)</f>
        <v>0.29515375284560941</v>
      </c>
      <c r="BQ15" s="8">
        <f>(('Commodity Costs Avoided Detail'!AE13+BB15)*0.1)</f>
        <v>1.1434083372405865</v>
      </c>
      <c r="BR15" s="8">
        <f>(('Commodity Costs Avoided Detail'!AE13+BC15)*0.1)</f>
        <v>0.76997537746966638</v>
      </c>
      <c r="BS15" s="8">
        <f>(('Commodity Costs Avoided Detail'!AE13+BD15)*0.1)</f>
        <v>1.2912312429946446</v>
      </c>
      <c r="BT15" s="8">
        <f>(('Commodity Costs Avoided Detail'!AF13+BE15)*0.1)</f>
        <v>0.47934016566079302</v>
      </c>
      <c r="BU15" s="8">
        <f>(('Commodity Costs Avoided Detail'!AG13+BF15)*0.1)</f>
        <v>0.77262711284560948</v>
      </c>
      <c r="BV15" s="8">
        <f>(('Commodity Costs Avoided Detail'!AH13+BG15)*0.1)</f>
        <v>0.37871775284560938</v>
      </c>
      <c r="BW15" s="8">
        <f>(('Commodity Costs Avoided Detail'!AH13)*0.1)</f>
        <v>0.29515375284560941</v>
      </c>
      <c r="BX15" s="50"/>
      <c r="BY15" s="7">
        <f t="shared" si="46"/>
        <v>2032</v>
      </c>
      <c r="BZ15" s="8">
        <f>'Commodity Costs Avoided Detail'!$AE13+AV15+$H15+BJ15+$G15</f>
        <v>16.085524113381837</v>
      </c>
      <c r="CA15" s="8">
        <f>'Commodity Costs Avoided Detail'!$AE13+AW15+$H15+BK15+$G15</f>
        <v>13.605153825941656</v>
      </c>
      <c r="CB15" s="8">
        <f>'Commodity Costs Avoided Detail'!AE13+AX15+$H15+BL15+G15</f>
        <v>17.037064806857288</v>
      </c>
      <c r="CC15" s="8">
        <f>'Commodity Costs Avoided Detail'!AF13+AY15+$H15+BM15+$G15</f>
        <v>11.316586204002274</v>
      </c>
      <c r="CD15" s="8">
        <f>'Commodity Costs Avoided Detail'!AG13+AZ15+$H15+BN15+$G15</f>
        <v>13.252757041301702</v>
      </c>
      <c r="CE15" s="8">
        <f>'Commodity Costs Avoided Detail'!AH13+BA15+$H15+BO15+$G15</f>
        <v>10.624745281301703</v>
      </c>
      <c r="CF15" s="8">
        <f>'Commodity Costs Avoided Detail'!AH13+$H15+BP15+$G15</f>
        <v>10.030921281301705</v>
      </c>
      <c r="CG15" s="8">
        <f>'Commodity Costs Avoided Detail'!$AE13+BB15+$K15+BQ15+$G15</f>
        <v>19.014953523143888</v>
      </c>
      <c r="CH15" s="8">
        <f>'Commodity Costs Avoided Detail'!$AE13+BC15+$K15+BR15+$G15</f>
        <v>14.907190965663766</v>
      </c>
      <c r="CI15" s="8">
        <f>'Commodity Costs Avoided Detail'!AE13+BD15+$K15+BS15+$G15</f>
        <v>20.641005486438527</v>
      </c>
      <c r="CJ15" s="8">
        <f>'Commodity Costs Avoided Detail'!AF13+BE15+$K15+BT15+$G15</f>
        <v>11.71020363576616</v>
      </c>
      <c r="CK15" s="8">
        <f>'Commodity Costs Avoided Detail'!AG13+BF15+$K15+BU15+$G15</f>
        <v>14.936360054799142</v>
      </c>
      <c r="CL15" s="8">
        <f>'Commodity Costs Avoided Detail'!AH13+BG15+$K15+BV15+$G15</f>
        <v>10.60335709479914</v>
      </c>
      <c r="CM15" s="8">
        <f>'Commodity Costs Avoided Detail'!AH13+$K15+BW15+$G15</f>
        <v>9.6841530947991394</v>
      </c>
      <c r="CO15" s="210"/>
      <c r="CP15" s="70" t="s">
        <v>11</v>
      </c>
      <c r="CQ15" s="12">
        <f>'Commodity Costs Avoided Detail'!AF33</f>
        <v>3.2980084480350089</v>
      </c>
      <c r="CR15" s="207"/>
      <c r="CS15" s="207"/>
      <c r="CT15" s="12">
        <f>Z34</f>
        <v>0.10720049999999996</v>
      </c>
      <c r="CU15" s="63">
        <f>AP34</f>
        <v>1.6989412933261439</v>
      </c>
      <c r="CV15" s="59">
        <f>BT34</f>
        <v>0.51529217717004594</v>
      </c>
      <c r="CW15" s="13">
        <f t="shared" si="54"/>
        <v>12.176793015388782</v>
      </c>
      <c r="CX15" s="54"/>
      <c r="CY15" s="210"/>
      <c r="CZ15" s="72" t="str">
        <f>CP15</f>
        <v>Water Heating</v>
      </c>
      <c r="DA15" s="79">
        <f t="shared" si="52"/>
        <v>3.2980084480350089</v>
      </c>
      <c r="DB15" s="79">
        <f t="shared" si="56"/>
        <v>6.0371505968575834</v>
      </c>
      <c r="DC15" s="79">
        <f t="shared" si="57"/>
        <v>0.52020000000000011</v>
      </c>
      <c r="DD15" s="79">
        <f t="shared" si="55"/>
        <v>0.10720049999999996</v>
      </c>
      <c r="DE15" s="79">
        <f t="shared" si="55"/>
        <v>1.6989412933261439</v>
      </c>
      <c r="DF15" s="80">
        <f t="shared" si="53"/>
        <v>0.51529217717004594</v>
      </c>
      <c r="DG15" s="81">
        <f t="shared" si="51"/>
        <v>12.176793015388782</v>
      </c>
    </row>
    <row r="16" spans="1:111" ht="13.8" customHeight="1" x14ac:dyDescent="0.3">
      <c r="A16" s="88">
        <f t="shared" si="40"/>
        <v>2033</v>
      </c>
      <c r="B16" s="91">
        <v>8.8999999999999996E-2</v>
      </c>
      <c r="C16" s="167">
        <v>0.74663999999999997</v>
      </c>
      <c r="D16" s="168">
        <v>0.45084000000000002</v>
      </c>
      <c r="E16" s="169">
        <v>0.48499999999999999</v>
      </c>
      <c r="F16" s="87">
        <f>'Commodity Costs Avoided Detail'!N14</f>
        <v>3.0691780754274198</v>
      </c>
      <c r="G16" s="156">
        <v>0.5202</v>
      </c>
      <c r="H16" s="136">
        <v>7.8840000000000003</v>
      </c>
      <c r="I16" s="144">
        <f>'Greenhouse Gas Costs Avoided De'!J13</f>
        <v>5.0245423714081472</v>
      </c>
      <c r="J16" s="146">
        <v>10.896327402090987</v>
      </c>
      <c r="K16" s="172">
        <f>'Greenhouse Gas Costs Avoided De'!O13</f>
        <v>5.9961586376774036</v>
      </c>
      <c r="L16" s="149">
        <v>1.37</v>
      </c>
      <c r="M16" s="154">
        <f t="shared" si="41"/>
        <v>2.2388059701492557E-2</v>
      </c>
      <c r="N16" s="141">
        <v>117</v>
      </c>
      <c r="O16" s="7">
        <f t="shared" si="42"/>
        <v>2033</v>
      </c>
      <c r="P16" s="8">
        <f t="shared" si="0"/>
        <v>0.6442738338206585</v>
      </c>
      <c r="Q16" s="8">
        <f t="shared" si="0"/>
        <v>0.6442738338206585</v>
      </c>
      <c r="R16" s="8">
        <f t="shared" si="1"/>
        <v>0.57472154494229177</v>
      </c>
      <c r="S16" s="8">
        <f t="shared" si="2"/>
        <v>0.10720049999999999</v>
      </c>
      <c r="T16" s="8">
        <f t="shared" si="3"/>
        <v>0.11570000000000001</v>
      </c>
      <c r="U16" s="8">
        <f t="shared" si="4"/>
        <v>8.8999999999999996E-2</v>
      </c>
      <c r="V16" s="8">
        <f t="shared" si="5"/>
        <v>8.8999999999999996E-2</v>
      </c>
      <c r="W16" s="8">
        <f t="shared" si="6"/>
        <v>0.6442738338206585</v>
      </c>
      <c r="X16" s="8">
        <f t="shared" si="6"/>
        <v>0.6442738338206585</v>
      </c>
      <c r="Y16" s="8">
        <f t="shared" si="7"/>
        <v>0.57472154494229177</v>
      </c>
      <c r="Z16" s="8">
        <f t="shared" si="8"/>
        <v>0.10720049999999999</v>
      </c>
      <c r="AA16" s="8">
        <f t="shared" si="9"/>
        <v>0.11570000000000001</v>
      </c>
      <c r="AB16" s="8">
        <f t="shared" si="10"/>
        <v>8.8999999999999996E-2</v>
      </c>
      <c r="AC16" s="8">
        <f t="shared" si="11"/>
        <v>8.8999999999999996E-2</v>
      </c>
      <c r="AD16" s="50"/>
      <c r="AE16" s="7">
        <f t="shared" si="43"/>
        <v>2033</v>
      </c>
      <c r="AF16" s="8">
        <f t="shared" si="12"/>
        <v>4.5394336600280862</v>
      </c>
      <c r="AG16" s="8">
        <f t="shared" si="13"/>
        <v>2.2845515805370105</v>
      </c>
      <c r="AH16" s="8">
        <f t="shared" si="14"/>
        <v>5.4740229429750444</v>
      </c>
      <c r="AI16" s="8">
        <f t="shared" si="15"/>
        <v>1.0258634585384641</v>
      </c>
      <c r="AJ16" s="8">
        <f t="shared" si="16"/>
        <v>2.8132416000000005</v>
      </c>
      <c r="AK16" s="8">
        <f t="shared" si="17"/>
        <v>0.45084000000000002</v>
      </c>
      <c r="AL16" s="8">
        <f t="shared" si="18"/>
        <v>0.45084000000000002</v>
      </c>
      <c r="AM16" s="8">
        <f t="shared" si="19"/>
        <v>7.5177951111777359</v>
      </c>
      <c r="AN16" s="8">
        <f t="shared" si="20"/>
        <v>3.7834655134685327</v>
      </c>
      <c r="AO16" s="8">
        <f t="shared" si="21"/>
        <v>9.0655764575966806</v>
      </c>
      <c r="AP16" s="8">
        <f t="shared" si="22"/>
        <v>1.6989412933261441</v>
      </c>
      <c r="AQ16" s="8">
        <f t="shared" si="23"/>
        <v>4.6590335999999999</v>
      </c>
      <c r="AR16" s="8">
        <f t="shared" si="24"/>
        <v>0.74663999999999997</v>
      </c>
      <c r="AS16" s="8">
        <f t="shared" si="25"/>
        <v>0.74663999999999997</v>
      </c>
      <c r="AU16" s="7">
        <f t="shared" si="44"/>
        <v>2033</v>
      </c>
      <c r="AV16" s="8">
        <f t="shared" si="26"/>
        <v>5.1837074938487451</v>
      </c>
      <c r="AW16" s="8">
        <f t="shared" si="27"/>
        <v>2.9288254143576689</v>
      </c>
      <c r="AX16" s="8">
        <f t="shared" si="28"/>
        <v>6.048744487917336</v>
      </c>
      <c r="AY16" s="8">
        <f t="shared" si="29"/>
        <v>1.1330639585384641</v>
      </c>
      <c r="AZ16" s="8">
        <f t="shared" si="30"/>
        <v>2.9289416000000004</v>
      </c>
      <c r="BA16" s="8">
        <f t="shared" si="31"/>
        <v>0.53983999999999999</v>
      </c>
      <c r="BB16" s="8">
        <f t="shared" si="32"/>
        <v>8.1620689449983939</v>
      </c>
      <c r="BC16" s="8">
        <f t="shared" si="33"/>
        <v>4.4277393472891911</v>
      </c>
      <c r="BD16" s="8">
        <f t="shared" si="34"/>
        <v>9.6402980025389731</v>
      </c>
      <c r="BE16" s="8">
        <f t="shared" si="35"/>
        <v>1.8061417933261441</v>
      </c>
      <c r="BF16" s="8">
        <f t="shared" si="36"/>
        <v>4.7747336000000002</v>
      </c>
      <c r="BG16" s="8">
        <f t="shared" si="37"/>
        <v>0.83563999999999994</v>
      </c>
      <c r="BH16" s="50"/>
      <c r="BI16" s="7">
        <f t="shared" si="45"/>
        <v>2033</v>
      </c>
      <c r="BJ16" s="8">
        <f>(('Commodity Costs Avoided Detail'!$AE14+AV16)*0.1)</f>
        <v>0.85118537159711516</v>
      </c>
      <c r="BK16" s="8">
        <f>(('Commodity Costs Avoided Detail'!$AE14+AW16)*0.1)</f>
        <v>0.62569716364800743</v>
      </c>
      <c r="BL16" s="8">
        <f>(('Commodity Costs Avoided Detail'!AE14+AX16)*0.1)</f>
        <v>0.93768907100397425</v>
      </c>
      <c r="BM16" s="8">
        <f>(('Commodity Costs Avoided Detail'!AF14+AY16)*0.1)</f>
        <v>0.42305800370092683</v>
      </c>
      <c r="BN16" s="8">
        <f>(('Commodity Costs Avoided Detail'!AG14+AZ16)*0.1)</f>
        <v>0.59981196754274202</v>
      </c>
      <c r="BO16" s="8">
        <f>(('Commodity Costs Avoided Detail'!AH14+BA16)*0.1)</f>
        <v>0.36090180754274204</v>
      </c>
      <c r="BP16" s="8">
        <f>(('Commodity Costs Avoided Detail'!AH14)*0.1)</f>
        <v>0.30691780754274206</v>
      </c>
      <c r="BQ16" s="8">
        <f>(('Commodity Costs Avoided Detail'!AE14+BB16)*0.1)</f>
        <v>1.1490215167120801</v>
      </c>
      <c r="BR16" s="8">
        <f>(('Commodity Costs Avoided Detail'!AE14+BC16)*0.1)</f>
        <v>0.77558855694115969</v>
      </c>
      <c r="BS16" s="8">
        <f>(('Commodity Costs Avoided Detail'!AE14+BD16)*0.1)</f>
        <v>1.296844422466138</v>
      </c>
      <c r="BT16" s="8">
        <f>(('Commodity Costs Avoided Detail'!AF14+BE16)*0.1)</f>
        <v>0.49036578717969487</v>
      </c>
      <c r="BU16" s="8">
        <f>(('Commodity Costs Avoided Detail'!AG14+BF16)*0.1)</f>
        <v>0.78439116754274207</v>
      </c>
      <c r="BV16" s="8">
        <f>(('Commodity Costs Avoided Detail'!AH14+BG16)*0.1)</f>
        <v>0.39048180754274209</v>
      </c>
      <c r="BW16" s="8">
        <f>(('Commodity Costs Avoided Detail'!AH14)*0.1)</f>
        <v>0.30691780754274206</v>
      </c>
      <c r="BX16" s="50"/>
      <c r="BY16" s="7">
        <f t="shared" si="46"/>
        <v>2033</v>
      </c>
      <c r="BZ16" s="8">
        <f>'Commodity Costs Avoided Detail'!$AE14+AV16+$H16+BJ16+$G16</f>
        <v>17.767239087568264</v>
      </c>
      <c r="CA16" s="8">
        <f>'Commodity Costs Avoided Detail'!$AE14+AW16+$H16+BK16+$G16</f>
        <v>15.286868800128083</v>
      </c>
      <c r="CB16" s="8">
        <f>'Commodity Costs Avoided Detail'!AE14+AX16+$H16+BL16+G16</f>
        <v>18.718779781043715</v>
      </c>
      <c r="CC16" s="8">
        <f>'Commodity Costs Avoided Detail'!AF14+AY16+$H16+BM16+$G16</f>
        <v>13.057838040710195</v>
      </c>
      <c r="CD16" s="8">
        <f>'Commodity Costs Avoided Detail'!AG14+AZ16+$H16+BN16+$G16</f>
        <v>15.002131642970163</v>
      </c>
      <c r="CE16" s="8">
        <f>'Commodity Costs Avoided Detail'!AH14+BA16+$H16+BO16+$G16</f>
        <v>12.374119882970163</v>
      </c>
      <c r="CF16" s="8">
        <f>'Commodity Costs Avoided Detail'!AH14+$H16+BP16+$G16</f>
        <v>11.780295882970162</v>
      </c>
      <c r="CG16" s="8">
        <f>'Commodity Costs Avoided Detail'!$AE14+BB16+$K16+BQ16+$G16</f>
        <v>19.155595321510283</v>
      </c>
      <c r="CH16" s="8">
        <f>'Commodity Costs Avoided Detail'!$AE14+BC16+$K16+BR16+$G16</f>
        <v>15.047832764030158</v>
      </c>
      <c r="CI16" s="8">
        <f>'Commodity Costs Avoided Detail'!AE14+BD16+$K16+BS16+$G16</f>
        <v>20.781647284804919</v>
      </c>
      <c r="CJ16" s="8">
        <f>'Commodity Costs Avoided Detail'!AF14+BE16+$K16+BT16+$G16</f>
        <v>11.910382296654046</v>
      </c>
      <c r="CK16" s="8">
        <f>'Commodity Costs Avoided Detail'!AG14+BF16+$K16+BU16+$G16</f>
        <v>15.144661480647567</v>
      </c>
      <c r="CL16" s="8">
        <f>'Commodity Costs Avoided Detail'!AH14+BG16+$K16+BV16+$G16</f>
        <v>10.811658520647565</v>
      </c>
      <c r="CM16" s="8">
        <f>'Commodity Costs Avoided Detail'!AH14+$K16+BW16+$G16</f>
        <v>9.8924545206475649</v>
      </c>
      <c r="CO16" s="210"/>
      <c r="CP16" s="70" t="s">
        <v>12</v>
      </c>
      <c r="CQ16" s="12">
        <f>'Commodity Costs Avoided Detail'!AG33</f>
        <v>3.2634481058329809</v>
      </c>
      <c r="CR16" s="207"/>
      <c r="CS16" s="207"/>
      <c r="CT16" s="12">
        <f>AA34</f>
        <v>0.11570000000000003</v>
      </c>
      <c r="CU16" s="63">
        <f>AQ34</f>
        <v>4.659033599999999</v>
      </c>
      <c r="CV16" s="59">
        <f>BU34</f>
        <v>0.80887482939568967</v>
      </c>
      <c r="CW16" s="13">
        <f t="shared" si="54"/>
        <v>15.404407132086254</v>
      </c>
      <c r="CX16" s="54"/>
      <c r="CY16" s="210"/>
      <c r="CZ16" s="72" t="str">
        <f>CP16</f>
        <v>Cooking</v>
      </c>
      <c r="DA16" s="79">
        <f t="shared" si="52"/>
        <v>3.2634481058329809</v>
      </c>
      <c r="DB16" s="79">
        <f t="shared" si="56"/>
        <v>6.0371505968575834</v>
      </c>
      <c r="DC16" s="79">
        <f t="shared" si="57"/>
        <v>0.52020000000000011</v>
      </c>
      <c r="DD16" s="79">
        <f t="shared" si="55"/>
        <v>0.11570000000000003</v>
      </c>
      <c r="DE16" s="79">
        <f t="shared" si="55"/>
        <v>4.659033599999999</v>
      </c>
      <c r="DF16" s="80">
        <f t="shared" si="53"/>
        <v>0.80887482939568967</v>
      </c>
      <c r="DG16" s="81">
        <f t="shared" si="51"/>
        <v>15.404407132086254</v>
      </c>
    </row>
    <row r="17" spans="1:111" ht="13.8" customHeight="1" x14ac:dyDescent="0.3">
      <c r="A17" s="88">
        <f t="shared" si="40"/>
        <v>2034</v>
      </c>
      <c r="B17" s="91">
        <v>8.8999999999999996E-2</v>
      </c>
      <c r="C17" s="167">
        <v>0.74663999999999997</v>
      </c>
      <c r="D17" s="168">
        <v>0.45084000000000002</v>
      </c>
      <c r="E17" s="169">
        <v>0.48499999999999999</v>
      </c>
      <c r="F17" s="87">
        <f>'Commodity Costs Avoided Detail'!N15</f>
        <v>3.0319730944202505</v>
      </c>
      <c r="G17" s="156">
        <v>0.5202</v>
      </c>
      <c r="H17" s="136">
        <v>7.601</v>
      </c>
      <c r="I17" s="144">
        <f>'Greenhouse Gas Costs Avoided De'!J14</f>
        <v>5.0906547710319376</v>
      </c>
      <c r="J17" s="146">
        <v>11.112096261538333</v>
      </c>
      <c r="K17" s="172">
        <f>'Greenhouse Gas Costs Avoided De'!O14</f>
        <v>6.0750554618573691</v>
      </c>
      <c r="L17" s="149">
        <v>1.4</v>
      </c>
      <c r="M17" s="154">
        <f t="shared" si="41"/>
        <v>2.1897810218977957E-2</v>
      </c>
      <c r="N17" s="141">
        <v>118</v>
      </c>
      <c r="O17" s="7">
        <f t="shared" si="42"/>
        <v>2034</v>
      </c>
      <c r="P17" s="8">
        <f t="shared" si="0"/>
        <v>0.6442738338206585</v>
      </c>
      <c r="Q17" s="8">
        <f t="shared" si="0"/>
        <v>0.6442738338206585</v>
      </c>
      <c r="R17" s="8">
        <f t="shared" si="1"/>
        <v>0.57472154494229177</v>
      </c>
      <c r="S17" s="8">
        <f t="shared" si="2"/>
        <v>0.10720049999999999</v>
      </c>
      <c r="T17" s="8">
        <f t="shared" si="3"/>
        <v>0.11570000000000001</v>
      </c>
      <c r="U17" s="8">
        <f t="shared" si="4"/>
        <v>8.8999999999999996E-2</v>
      </c>
      <c r="V17" s="8">
        <f t="shared" si="5"/>
        <v>8.8999999999999996E-2</v>
      </c>
      <c r="W17" s="8">
        <f t="shared" si="6"/>
        <v>0.6442738338206585</v>
      </c>
      <c r="X17" s="8">
        <f t="shared" si="6"/>
        <v>0.6442738338206585</v>
      </c>
      <c r="Y17" s="8">
        <f t="shared" si="7"/>
        <v>0.57472154494229177</v>
      </c>
      <c r="Z17" s="8">
        <f t="shared" si="8"/>
        <v>0.10720049999999999</v>
      </c>
      <c r="AA17" s="8">
        <f t="shared" si="9"/>
        <v>0.11570000000000001</v>
      </c>
      <c r="AB17" s="8">
        <f t="shared" si="10"/>
        <v>8.8999999999999996E-2</v>
      </c>
      <c r="AC17" s="8">
        <f t="shared" si="11"/>
        <v>8.8999999999999996E-2</v>
      </c>
      <c r="AD17" s="50"/>
      <c r="AE17" s="7">
        <f t="shared" si="43"/>
        <v>2034</v>
      </c>
      <c r="AF17" s="8">
        <f t="shared" si="12"/>
        <v>4.5394336600280862</v>
      </c>
      <c r="AG17" s="8">
        <f t="shared" si="13"/>
        <v>2.2845515805370105</v>
      </c>
      <c r="AH17" s="8">
        <f t="shared" si="14"/>
        <v>5.4740229429750444</v>
      </c>
      <c r="AI17" s="8">
        <f t="shared" si="15"/>
        <v>1.0258634585384641</v>
      </c>
      <c r="AJ17" s="8">
        <f t="shared" si="16"/>
        <v>2.8132416000000005</v>
      </c>
      <c r="AK17" s="8">
        <f t="shared" si="17"/>
        <v>0.45084000000000002</v>
      </c>
      <c r="AL17" s="8">
        <f t="shared" si="18"/>
        <v>0.45084000000000002</v>
      </c>
      <c r="AM17" s="8">
        <f t="shared" si="19"/>
        <v>7.5177951111777359</v>
      </c>
      <c r="AN17" s="8">
        <f t="shared" si="20"/>
        <v>3.7834655134685327</v>
      </c>
      <c r="AO17" s="8">
        <f t="shared" si="21"/>
        <v>9.0655764575966806</v>
      </c>
      <c r="AP17" s="8">
        <f t="shared" si="22"/>
        <v>1.6989412933261441</v>
      </c>
      <c r="AQ17" s="8">
        <f t="shared" si="23"/>
        <v>4.6590335999999999</v>
      </c>
      <c r="AR17" s="8">
        <f t="shared" si="24"/>
        <v>0.74663999999999997</v>
      </c>
      <c r="AS17" s="8">
        <f t="shared" si="25"/>
        <v>0.74663999999999997</v>
      </c>
      <c r="AU17" s="7">
        <f t="shared" si="44"/>
        <v>2034</v>
      </c>
      <c r="AV17" s="8">
        <f t="shared" si="26"/>
        <v>5.1837074938487451</v>
      </c>
      <c r="AW17" s="8">
        <f t="shared" si="27"/>
        <v>2.9288254143576689</v>
      </c>
      <c r="AX17" s="8">
        <f t="shared" si="28"/>
        <v>6.048744487917336</v>
      </c>
      <c r="AY17" s="8">
        <f t="shared" si="29"/>
        <v>1.1330639585384641</v>
      </c>
      <c r="AZ17" s="8">
        <f t="shared" si="30"/>
        <v>2.9289416000000004</v>
      </c>
      <c r="BA17" s="8">
        <f t="shared" si="31"/>
        <v>0.53983999999999999</v>
      </c>
      <c r="BB17" s="8">
        <f t="shared" si="32"/>
        <v>8.1620689449983939</v>
      </c>
      <c r="BC17" s="8">
        <f t="shared" si="33"/>
        <v>4.4277393472891911</v>
      </c>
      <c r="BD17" s="8">
        <f t="shared" si="34"/>
        <v>9.6402980025389731</v>
      </c>
      <c r="BE17" s="8">
        <f t="shared" si="35"/>
        <v>1.8061417933261441</v>
      </c>
      <c r="BF17" s="8">
        <f t="shared" si="36"/>
        <v>4.7747336000000002</v>
      </c>
      <c r="BG17" s="8">
        <f t="shared" si="37"/>
        <v>0.83563999999999994</v>
      </c>
      <c r="BH17" s="50"/>
      <c r="BI17" s="7">
        <f t="shared" si="45"/>
        <v>2034</v>
      </c>
      <c r="BJ17" s="8">
        <f>(('Commodity Costs Avoided Detail'!$AE15+AV17)*0.1)</f>
        <v>0.8495880080340602</v>
      </c>
      <c r="BK17" s="8">
        <f>(('Commodity Costs Avoided Detail'!$AE15+AW17)*0.1)</f>
        <v>0.62409980008495247</v>
      </c>
      <c r="BL17" s="8">
        <f>(('Commodity Costs Avoided Detail'!AE15+AX17)*0.1)</f>
        <v>0.93609170744091907</v>
      </c>
      <c r="BM17" s="8">
        <f>(('Commodity Costs Avoided Detail'!AF15+AY17)*0.1)</f>
        <v>0.41974947517871297</v>
      </c>
      <c r="BN17" s="8">
        <f>(('Commodity Costs Avoided Detail'!AG15+AZ17)*0.1)</f>
        <v>0.59609146944202518</v>
      </c>
      <c r="BO17" s="8">
        <f>(('Commodity Costs Avoided Detail'!AH15+BA17)*0.1)</f>
        <v>0.35718130944202509</v>
      </c>
      <c r="BP17" s="8">
        <f>(('Commodity Costs Avoided Detail'!AH15)*0.1)</f>
        <v>0.30319730944202511</v>
      </c>
      <c r="BQ17" s="8">
        <f>(('Commodity Costs Avoided Detail'!AE15+BB17)*0.1)</f>
        <v>1.147424153149025</v>
      </c>
      <c r="BR17" s="8">
        <f>(('Commodity Costs Avoided Detail'!AE15+BC17)*0.1)</f>
        <v>0.77399119337810474</v>
      </c>
      <c r="BS17" s="8">
        <f>(('Commodity Costs Avoided Detail'!AE15+BD17)*0.1)</f>
        <v>1.2952470589030829</v>
      </c>
      <c r="BT17" s="8">
        <f>(('Commodity Costs Avoided Detail'!AF15+BE17)*0.1)</f>
        <v>0.48705725865748095</v>
      </c>
      <c r="BU17" s="8">
        <f>(('Commodity Costs Avoided Detail'!AG15+BF17)*0.1)</f>
        <v>0.78067066944202512</v>
      </c>
      <c r="BV17" s="8">
        <f>(('Commodity Costs Avoided Detail'!AH15+BG17)*0.1)</f>
        <v>0.38676130944202508</v>
      </c>
      <c r="BW17" s="8">
        <f>(('Commodity Costs Avoided Detail'!AH15)*0.1)</f>
        <v>0.30319730944202511</v>
      </c>
      <c r="BX17" s="50"/>
      <c r="BY17" s="7">
        <f t="shared" si="46"/>
        <v>2034</v>
      </c>
      <c r="BZ17" s="8">
        <f>'Commodity Costs Avoided Detail'!$AE15+AV17+$H17+BJ17+$G17</f>
        <v>17.466668088374661</v>
      </c>
      <c r="CA17" s="8">
        <f>'Commodity Costs Avoided Detail'!$AE15+AW17+$H17+BK17+$G17</f>
        <v>14.986297800934476</v>
      </c>
      <c r="CB17" s="8">
        <f>'Commodity Costs Avoided Detail'!AE15+AX17+$H17+BL17+G17</f>
        <v>18.418208781850108</v>
      </c>
      <c r="CC17" s="8">
        <f>'Commodity Costs Avoided Detail'!AF15+AY17+$H17+BM17+$G17</f>
        <v>12.738444226965843</v>
      </c>
      <c r="CD17" s="8">
        <f>'Commodity Costs Avoided Detail'!AG15+AZ17+$H17+BN17+$G17</f>
        <v>14.678206163862278</v>
      </c>
      <c r="CE17" s="8">
        <f>'Commodity Costs Avoided Detail'!AH15+BA17+$H17+BO17+$G17</f>
        <v>12.050194403862275</v>
      </c>
      <c r="CF17" s="8">
        <f>'Commodity Costs Avoided Detail'!AH15+$H17+BP17+$G17</f>
        <v>11.456370403862277</v>
      </c>
      <c r="CG17" s="8">
        <f>'Commodity Costs Avoided Detail'!$AE15+BB17+$K17+BQ17+$G17</f>
        <v>19.216921146496642</v>
      </c>
      <c r="CH17" s="8">
        <f>'Commodity Costs Avoided Detail'!$AE15+BC17+$K17+BR17+$G17</f>
        <v>15.10915858901652</v>
      </c>
      <c r="CI17" s="8">
        <f>'Commodity Costs Avoided Detail'!AE15+BD17+$K17+BS17+$G17</f>
        <v>20.842973109791281</v>
      </c>
      <c r="CJ17" s="8">
        <f>'Commodity Costs Avoided Detail'!AF15+BE17+$K17+BT17+$G17</f>
        <v>11.952885307089659</v>
      </c>
      <c r="CK17" s="8">
        <f>'Commodity Costs Avoided Detail'!AG15+BF17+$K17+BU17+$G17</f>
        <v>15.182632825719644</v>
      </c>
      <c r="CL17" s="8">
        <f>'Commodity Costs Avoided Detail'!AH15+BG17+$K17+BV17+$G17</f>
        <v>10.849629865719645</v>
      </c>
      <c r="CM17" s="8">
        <f>'Commodity Costs Avoided Detail'!AH15+$K17+BW17+$G17</f>
        <v>9.9304258657196449</v>
      </c>
      <c r="CO17" s="210"/>
      <c r="CP17" s="70" t="s">
        <v>13</v>
      </c>
      <c r="CQ17" s="12">
        <f>'Commodity Costs Avoided Detail'!AH33</f>
        <v>3.2634481058329818</v>
      </c>
      <c r="CR17" s="207"/>
      <c r="CS17" s="207"/>
      <c r="CT17" s="12">
        <f>AB34</f>
        <v>8.8999999999999982E-2</v>
      </c>
      <c r="CU17" s="63">
        <f>AR34</f>
        <v>0.74664000000000019</v>
      </c>
      <c r="CV17" s="59">
        <f>BV34</f>
        <v>0.41496546939569001</v>
      </c>
      <c r="CW17" s="13">
        <f t="shared" si="54"/>
        <v>11.071404172086256</v>
      </c>
      <c r="CX17" s="54"/>
      <c r="CY17" s="210"/>
      <c r="CZ17" s="72" t="str">
        <f>CP17</f>
        <v>Process Load</v>
      </c>
      <c r="DA17" s="79">
        <f t="shared" si="52"/>
        <v>3.2634481058329818</v>
      </c>
      <c r="DB17" s="79">
        <f t="shared" si="56"/>
        <v>6.0371505968575834</v>
      </c>
      <c r="DC17" s="79">
        <f t="shared" si="57"/>
        <v>0.52020000000000011</v>
      </c>
      <c r="DD17" s="79">
        <f t="shared" si="55"/>
        <v>8.8999999999999982E-2</v>
      </c>
      <c r="DE17" s="79">
        <f t="shared" si="55"/>
        <v>0.74664000000000019</v>
      </c>
      <c r="DF17" s="80">
        <f t="shared" si="53"/>
        <v>0.41496546939569001</v>
      </c>
      <c r="DG17" s="81">
        <f t="shared" si="51"/>
        <v>11.071404172086256</v>
      </c>
    </row>
    <row r="18" spans="1:111" ht="13.8" customHeight="1" thickBot="1" x14ac:dyDescent="0.35">
      <c r="A18" s="88">
        <f t="shared" si="40"/>
        <v>2035</v>
      </c>
      <c r="B18" s="91">
        <v>8.8999999999999996E-2</v>
      </c>
      <c r="C18" s="167">
        <v>0.74663999999999997</v>
      </c>
      <c r="D18" s="168">
        <v>0.45084000000000002</v>
      </c>
      <c r="E18" s="169">
        <v>0.48499999999999999</v>
      </c>
      <c r="F18" s="87">
        <f>'Commodity Costs Avoided Detail'!N16</f>
        <v>2.9995233734775995</v>
      </c>
      <c r="G18" s="156">
        <v>0.5202</v>
      </c>
      <c r="H18" s="136">
        <v>7.3079999999999998</v>
      </c>
      <c r="I18" s="144">
        <f>'Greenhouse Gas Costs Avoided De'!J15</f>
        <v>5.1567671706557299</v>
      </c>
      <c r="J18" s="146">
        <v>11.327865120985678</v>
      </c>
      <c r="K18" s="172">
        <f>'Greenhouse Gas Costs Avoided De'!O15</f>
        <v>6.1539522860373355</v>
      </c>
      <c r="L18" s="149">
        <v>1.43</v>
      </c>
      <c r="M18" s="154">
        <f t="shared" si="41"/>
        <v>2.142857142857145E-2</v>
      </c>
      <c r="N18" s="141">
        <v>119</v>
      </c>
      <c r="O18" s="7">
        <f t="shared" si="42"/>
        <v>2035</v>
      </c>
      <c r="P18" s="8">
        <f t="shared" si="0"/>
        <v>0.6442738338206585</v>
      </c>
      <c r="Q18" s="8">
        <f t="shared" si="0"/>
        <v>0.6442738338206585</v>
      </c>
      <c r="R18" s="8">
        <f t="shared" si="1"/>
        <v>0.57472154494229177</v>
      </c>
      <c r="S18" s="8">
        <f t="shared" si="2"/>
        <v>0.10720049999999999</v>
      </c>
      <c r="T18" s="8">
        <f t="shared" si="3"/>
        <v>0.11570000000000001</v>
      </c>
      <c r="U18" s="8">
        <f t="shared" si="4"/>
        <v>8.8999999999999996E-2</v>
      </c>
      <c r="V18" s="8">
        <f t="shared" si="5"/>
        <v>8.8999999999999996E-2</v>
      </c>
      <c r="W18" s="8">
        <f t="shared" si="6"/>
        <v>0.6442738338206585</v>
      </c>
      <c r="X18" s="8">
        <f t="shared" si="6"/>
        <v>0.6442738338206585</v>
      </c>
      <c r="Y18" s="8">
        <f t="shared" si="7"/>
        <v>0.57472154494229177</v>
      </c>
      <c r="Z18" s="8">
        <f t="shared" si="8"/>
        <v>0.10720049999999999</v>
      </c>
      <c r="AA18" s="8">
        <f t="shared" si="9"/>
        <v>0.11570000000000001</v>
      </c>
      <c r="AB18" s="8">
        <f t="shared" si="10"/>
        <v>8.8999999999999996E-2</v>
      </c>
      <c r="AC18" s="8">
        <f t="shared" si="11"/>
        <v>8.8999999999999996E-2</v>
      </c>
      <c r="AD18" s="50"/>
      <c r="AE18" s="7">
        <f t="shared" si="43"/>
        <v>2035</v>
      </c>
      <c r="AF18" s="8">
        <f t="shared" si="12"/>
        <v>4.5394336600280862</v>
      </c>
      <c r="AG18" s="8">
        <f t="shared" si="13"/>
        <v>2.2845515805370105</v>
      </c>
      <c r="AH18" s="8">
        <f t="shared" si="14"/>
        <v>5.4740229429750444</v>
      </c>
      <c r="AI18" s="8">
        <f t="shared" si="15"/>
        <v>1.0258634585384641</v>
      </c>
      <c r="AJ18" s="8">
        <f t="shared" si="16"/>
        <v>2.8132416000000005</v>
      </c>
      <c r="AK18" s="8">
        <f t="shared" si="17"/>
        <v>0.45084000000000002</v>
      </c>
      <c r="AL18" s="8">
        <f t="shared" si="18"/>
        <v>0.45084000000000002</v>
      </c>
      <c r="AM18" s="8">
        <f t="shared" si="19"/>
        <v>7.5177951111777359</v>
      </c>
      <c r="AN18" s="8">
        <f t="shared" si="20"/>
        <v>3.7834655134685327</v>
      </c>
      <c r="AO18" s="8">
        <f t="shared" si="21"/>
        <v>9.0655764575966806</v>
      </c>
      <c r="AP18" s="8">
        <f t="shared" si="22"/>
        <v>1.6989412933261441</v>
      </c>
      <c r="AQ18" s="8">
        <f t="shared" si="23"/>
        <v>4.6590335999999999</v>
      </c>
      <c r="AR18" s="8">
        <f t="shared" si="24"/>
        <v>0.74663999999999997</v>
      </c>
      <c r="AS18" s="8">
        <f t="shared" si="25"/>
        <v>0.74663999999999997</v>
      </c>
      <c r="AU18" s="7">
        <f t="shared" si="44"/>
        <v>2035</v>
      </c>
      <c r="AV18" s="8">
        <f t="shared" si="26"/>
        <v>5.1837074938487451</v>
      </c>
      <c r="AW18" s="8">
        <f t="shared" si="27"/>
        <v>2.9288254143576689</v>
      </c>
      <c r="AX18" s="8">
        <f t="shared" si="28"/>
        <v>6.048744487917336</v>
      </c>
      <c r="AY18" s="8">
        <f t="shared" si="29"/>
        <v>1.1330639585384641</v>
      </c>
      <c r="AZ18" s="8">
        <f t="shared" si="30"/>
        <v>2.9289416000000004</v>
      </c>
      <c r="BA18" s="8">
        <f t="shared" si="31"/>
        <v>0.53983999999999999</v>
      </c>
      <c r="BB18" s="8">
        <f t="shared" si="32"/>
        <v>8.1620689449983939</v>
      </c>
      <c r="BC18" s="8">
        <f t="shared" si="33"/>
        <v>4.4277393472891911</v>
      </c>
      <c r="BD18" s="8">
        <f t="shared" si="34"/>
        <v>9.6402980025389731</v>
      </c>
      <c r="BE18" s="8">
        <f t="shared" si="35"/>
        <v>1.8061417933261441</v>
      </c>
      <c r="BF18" s="8">
        <f t="shared" si="36"/>
        <v>4.7747336000000002</v>
      </c>
      <c r="BG18" s="8">
        <f t="shared" si="37"/>
        <v>0.83563999999999994</v>
      </c>
      <c r="BH18" s="50"/>
      <c r="BI18" s="7">
        <f t="shared" si="45"/>
        <v>2035</v>
      </c>
      <c r="BJ18" s="8">
        <f>(('Commodity Costs Avoided Detail'!$AE16+AV18)*0.1)</f>
        <v>0.84678884481913919</v>
      </c>
      <c r="BK18" s="8">
        <f>(('Commodity Costs Avoided Detail'!$AE16+AW18)*0.1)</f>
        <v>0.62130063687003168</v>
      </c>
      <c r="BL18" s="8">
        <f>(('Commodity Costs Avoided Detail'!AE16+AX18)*0.1)</f>
        <v>0.9332925442259985</v>
      </c>
      <c r="BM18" s="8">
        <f>(('Commodity Costs Avoided Detail'!AF16+AY18)*0.1)</f>
        <v>0.41652888599278426</v>
      </c>
      <c r="BN18" s="8">
        <f>(('Commodity Costs Avoided Detail'!AG16+AZ18)*0.1)</f>
        <v>0.59284649734775996</v>
      </c>
      <c r="BO18" s="8">
        <f>(('Commodity Costs Avoided Detail'!AH16+BA18)*0.1)</f>
        <v>0.35393633734775998</v>
      </c>
      <c r="BP18" s="8">
        <f>(('Commodity Costs Avoided Detail'!AH16)*0.1)</f>
        <v>0.29995233734775995</v>
      </c>
      <c r="BQ18" s="8">
        <f>(('Commodity Costs Avoided Detail'!AE16+BB18)*0.1)</f>
        <v>1.1446249899341041</v>
      </c>
      <c r="BR18" s="8">
        <f>(('Commodity Costs Avoided Detail'!AE16+BC18)*0.1)</f>
        <v>0.77119203016318394</v>
      </c>
      <c r="BS18" s="8">
        <f>(('Commodity Costs Avoided Detail'!AE16+BD18)*0.1)</f>
        <v>1.2924478956881622</v>
      </c>
      <c r="BT18" s="8">
        <f>(('Commodity Costs Avoided Detail'!AF16+BE18)*0.1)</f>
        <v>0.48383666947155224</v>
      </c>
      <c r="BU18" s="8">
        <f>(('Commodity Costs Avoided Detail'!AG16+BF18)*0.1)</f>
        <v>0.77742569734776001</v>
      </c>
      <c r="BV18" s="8">
        <f>(('Commodity Costs Avoided Detail'!AH16+BG18)*0.1)</f>
        <v>0.38351633734775997</v>
      </c>
      <c r="BW18" s="8">
        <f>(('Commodity Costs Avoided Detail'!AH16)*0.1)</f>
        <v>0.29995233734775995</v>
      </c>
      <c r="BX18" s="50"/>
      <c r="BY18" s="7">
        <f t="shared" si="46"/>
        <v>2035</v>
      </c>
      <c r="BZ18" s="8">
        <f>'Commodity Costs Avoided Detail'!$AE16+AV18+$H18+BJ18+$G18</f>
        <v>17.142877293010532</v>
      </c>
      <c r="CA18" s="8">
        <f>'Commodity Costs Avoided Detail'!$AE16+AW18+$H18+BK18+$G18</f>
        <v>14.662507005570347</v>
      </c>
      <c r="CB18" s="8">
        <f>'Commodity Costs Avoided Detail'!AE16+AX18+$H18+BL18+G18</f>
        <v>18.094417986485983</v>
      </c>
      <c r="CC18" s="8">
        <f>'Commodity Costs Avoided Detail'!AF16+AY18+$H18+BM18+$G18</f>
        <v>12.410017745920626</v>
      </c>
      <c r="CD18" s="8">
        <f>'Commodity Costs Avoided Detail'!AG16+AZ18+$H18+BN18+$G18</f>
        <v>14.349511470825359</v>
      </c>
      <c r="CE18" s="8">
        <f>'Commodity Costs Avoided Detail'!AH16+BA18+$H18+BO18+$G18</f>
        <v>11.721499710825359</v>
      </c>
      <c r="CF18" s="8">
        <f>'Commodity Costs Avoided Detail'!AH16+$H18+BP18+$G18</f>
        <v>11.127675710825358</v>
      </c>
      <c r="CG18" s="8">
        <f>'Commodity Costs Avoided Detail'!$AE16+BB18+$K18+BQ18+$G18</f>
        <v>19.265027175312479</v>
      </c>
      <c r="CH18" s="8">
        <f>'Commodity Costs Avoided Detail'!$AE16+BC18+$K18+BR18+$G18</f>
        <v>15.157264617832357</v>
      </c>
      <c r="CI18" s="8">
        <f>'Commodity Costs Avoided Detail'!AE16+BD18+$K18+BS18+$G18</f>
        <v>20.891079138607118</v>
      </c>
      <c r="CJ18" s="8">
        <f>'Commodity Costs Avoided Detail'!AF16+BE18+$K18+BT18+$G18</f>
        <v>11.996355650224409</v>
      </c>
      <c r="CK18" s="8">
        <f>'Commodity Costs Avoided Detail'!AG16+BF18+$K18+BU18+$G18</f>
        <v>15.225834956862695</v>
      </c>
      <c r="CL18" s="8">
        <f>'Commodity Costs Avoided Detail'!AH16+BG18+$K18+BV18+$G18</f>
        <v>10.892831996862697</v>
      </c>
      <c r="CM18" s="8">
        <f>'Commodity Costs Avoided Detail'!AH16+$K18+BW18+$G18</f>
        <v>9.973627996862696</v>
      </c>
      <c r="CO18" s="211"/>
      <c r="CP18" s="71" t="s">
        <v>26</v>
      </c>
      <c r="CQ18" s="14">
        <f>'Commodity Costs Avoided Detail'!AH33</f>
        <v>3.2634481058329818</v>
      </c>
      <c r="CR18" s="208"/>
      <c r="CS18" s="208"/>
      <c r="CT18" s="17" t="s">
        <v>27</v>
      </c>
      <c r="CU18" s="65" t="s">
        <v>27</v>
      </c>
      <c r="CV18" s="61">
        <f>BW34</f>
        <v>0.33140146939568998</v>
      </c>
      <c r="CW18" s="19">
        <f>CQ18+CR12+CS12+CV18</f>
        <v>10.152200172086255</v>
      </c>
      <c r="CX18" s="41"/>
      <c r="CY18" s="211"/>
      <c r="CZ18" s="74" t="s">
        <v>26</v>
      </c>
      <c r="DA18" s="82">
        <f t="shared" si="52"/>
        <v>3.2634481058329818</v>
      </c>
      <c r="DB18" s="82">
        <f t="shared" si="56"/>
        <v>6.0371505968575834</v>
      </c>
      <c r="DC18" s="82">
        <f t="shared" si="57"/>
        <v>0.52020000000000011</v>
      </c>
      <c r="DD18" s="82">
        <v>0</v>
      </c>
      <c r="DE18" s="82">
        <v>0</v>
      </c>
      <c r="DF18" s="18">
        <f t="shared" si="53"/>
        <v>0.33140146939568998</v>
      </c>
      <c r="DG18" s="19">
        <f t="shared" si="51"/>
        <v>10.152200172086255</v>
      </c>
    </row>
    <row r="19" spans="1:111" ht="13.8" customHeight="1" x14ac:dyDescent="0.3">
      <c r="A19" s="88">
        <f t="shared" si="40"/>
        <v>2036</v>
      </c>
      <c r="B19" s="91">
        <v>8.8999999999999996E-2</v>
      </c>
      <c r="C19" s="167">
        <v>0.74663999999999997</v>
      </c>
      <c r="D19" s="168">
        <v>0.45084000000000002</v>
      </c>
      <c r="E19" s="169">
        <v>0.48499999999999999</v>
      </c>
      <c r="F19" s="87">
        <f>'Commodity Costs Avoided Detail'!N17</f>
        <v>3.0215713255905019</v>
      </c>
      <c r="G19" s="156">
        <v>0.5202</v>
      </c>
      <c r="H19" s="136">
        <v>12.750999999999999</v>
      </c>
      <c r="I19" s="144">
        <f>'Greenhouse Gas Costs Avoided De'!J16</f>
        <v>5.2300064165245841</v>
      </c>
      <c r="J19" s="146">
        <v>11.530148426717565</v>
      </c>
      <c r="K19" s="172">
        <f>'Greenhouse Gas Costs Avoided De'!O16</f>
        <v>6.2413541038093356</v>
      </c>
      <c r="L19" s="149">
        <v>1.46</v>
      </c>
      <c r="M19" s="154">
        <f t="shared" si="41"/>
        <v>2.0979020979020997E-2</v>
      </c>
      <c r="N19" s="141">
        <v>120</v>
      </c>
      <c r="O19" s="7">
        <f t="shared" si="42"/>
        <v>2036</v>
      </c>
      <c r="P19" s="8">
        <f t="shared" si="0"/>
        <v>0.6442738338206585</v>
      </c>
      <c r="Q19" s="8">
        <f t="shared" si="0"/>
        <v>0.6442738338206585</v>
      </c>
      <c r="R19" s="8">
        <f t="shared" si="1"/>
        <v>0.57472154494229177</v>
      </c>
      <c r="S19" s="8">
        <f t="shared" si="2"/>
        <v>0.10720049999999999</v>
      </c>
      <c r="T19" s="8">
        <f t="shared" si="3"/>
        <v>0.11570000000000001</v>
      </c>
      <c r="U19" s="8">
        <f t="shared" si="4"/>
        <v>8.8999999999999996E-2</v>
      </c>
      <c r="V19" s="8">
        <f t="shared" si="5"/>
        <v>8.8999999999999996E-2</v>
      </c>
      <c r="W19" s="8">
        <f t="shared" si="6"/>
        <v>0.6442738338206585</v>
      </c>
      <c r="X19" s="8">
        <f t="shared" si="6"/>
        <v>0.6442738338206585</v>
      </c>
      <c r="Y19" s="8">
        <f t="shared" si="7"/>
        <v>0.57472154494229177</v>
      </c>
      <c r="Z19" s="8">
        <f t="shared" si="8"/>
        <v>0.10720049999999999</v>
      </c>
      <c r="AA19" s="8">
        <f t="shared" si="9"/>
        <v>0.11570000000000001</v>
      </c>
      <c r="AB19" s="8">
        <f t="shared" si="10"/>
        <v>8.8999999999999996E-2</v>
      </c>
      <c r="AC19" s="8">
        <f t="shared" si="11"/>
        <v>8.8999999999999996E-2</v>
      </c>
      <c r="AD19" s="50"/>
      <c r="AE19" s="7">
        <f t="shared" si="43"/>
        <v>2036</v>
      </c>
      <c r="AF19" s="8">
        <f t="shared" si="12"/>
        <v>4.5394336600280862</v>
      </c>
      <c r="AG19" s="8">
        <f t="shared" si="13"/>
        <v>2.2845515805370105</v>
      </c>
      <c r="AH19" s="8">
        <f t="shared" si="14"/>
        <v>5.4740229429750444</v>
      </c>
      <c r="AI19" s="8">
        <f t="shared" si="15"/>
        <v>1.0258634585384641</v>
      </c>
      <c r="AJ19" s="8">
        <f t="shared" si="16"/>
        <v>2.8132416000000005</v>
      </c>
      <c r="AK19" s="8">
        <f t="shared" si="17"/>
        <v>0.45084000000000002</v>
      </c>
      <c r="AL19" s="8">
        <f t="shared" si="18"/>
        <v>0.45084000000000002</v>
      </c>
      <c r="AM19" s="8">
        <f t="shared" si="19"/>
        <v>7.5177951111777359</v>
      </c>
      <c r="AN19" s="8">
        <f t="shared" si="20"/>
        <v>3.7834655134685327</v>
      </c>
      <c r="AO19" s="8">
        <f t="shared" si="21"/>
        <v>9.0655764575966806</v>
      </c>
      <c r="AP19" s="8">
        <f t="shared" si="22"/>
        <v>1.6989412933261441</v>
      </c>
      <c r="AQ19" s="8">
        <f t="shared" si="23"/>
        <v>4.6590335999999999</v>
      </c>
      <c r="AR19" s="8">
        <f t="shared" si="24"/>
        <v>0.74663999999999997</v>
      </c>
      <c r="AS19" s="8">
        <f t="shared" si="25"/>
        <v>0.74663999999999997</v>
      </c>
      <c r="AU19" s="7">
        <f t="shared" si="44"/>
        <v>2036</v>
      </c>
      <c r="AV19" s="8">
        <f t="shared" si="26"/>
        <v>5.1837074938487451</v>
      </c>
      <c r="AW19" s="8">
        <f t="shared" si="27"/>
        <v>2.9288254143576689</v>
      </c>
      <c r="AX19" s="8">
        <f t="shared" si="28"/>
        <v>6.048744487917336</v>
      </c>
      <c r="AY19" s="8">
        <f t="shared" si="29"/>
        <v>1.1330639585384641</v>
      </c>
      <c r="AZ19" s="8">
        <f t="shared" si="30"/>
        <v>2.9289416000000004</v>
      </c>
      <c r="BA19" s="8">
        <f t="shared" si="31"/>
        <v>0.53983999999999999</v>
      </c>
      <c r="BB19" s="8">
        <f t="shared" si="32"/>
        <v>8.1620689449983939</v>
      </c>
      <c r="BC19" s="8">
        <f t="shared" si="33"/>
        <v>4.4277393472891911</v>
      </c>
      <c r="BD19" s="8">
        <f t="shared" si="34"/>
        <v>9.6402980025389731</v>
      </c>
      <c r="BE19" s="8">
        <f t="shared" si="35"/>
        <v>1.8061417933261441</v>
      </c>
      <c r="BF19" s="8">
        <f t="shared" si="36"/>
        <v>4.7747336000000002</v>
      </c>
      <c r="BG19" s="8">
        <f t="shared" si="37"/>
        <v>0.83563999999999994</v>
      </c>
      <c r="BH19" s="50"/>
      <c r="BI19" s="7">
        <f t="shared" si="45"/>
        <v>2036</v>
      </c>
      <c r="BJ19" s="8">
        <f>(('Commodity Costs Avoided Detail'!$AE17+AV19)*0.1)</f>
        <v>0.84840515030232355</v>
      </c>
      <c r="BK19" s="8">
        <f>(('Commodity Costs Avoided Detail'!$AE17+AW19)*0.1)</f>
        <v>0.62291694235321593</v>
      </c>
      <c r="BL19" s="8">
        <f>(('Commodity Costs Avoided Detail'!AE17+AX19)*0.1)</f>
        <v>0.93490884970918275</v>
      </c>
      <c r="BM19" s="8">
        <f>(('Commodity Costs Avoided Detail'!AF17+AY19)*0.1)</f>
        <v>0.41857455209972394</v>
      </c>
      <c r="BN19" s="8">
        <f>(('Commodity Costs Avoided Detail'!AG17+AZ19)*0.1)</f>
        <v>0.5950512925590502</v>
      </c>
      <c r="BO19" s="8">
        <f>(('Commodity Costs Avoided Detail'!AH17+BA19)*0.1)</f>
        <v>0.35614113255905022</v>
      </c>
      <c r="BP19" s="8">
        <f>(('Commodity Costs Avoided Detail'!AH17)*0.1)</f>
        <v>0.30215713255905025</v>
      </c>
      <c r="BQ19" s="8">
        <f>(('Commodity Costs Avoided Detail'!AE17+BB19)*0.1)</f>
        <v>1.1462412954172885</v>
      </c>
      <c r="BR19" s="8">
        <f>(('Commodity Costs Avoided Detail'!AE17+BC19)*0.1)</f>
        <v>0.77280833564636819</v>
      </c>
      <c r="BS19" s="8">
        <f>(('Commodity Costs Avoided Detail'!AE17+BD19)*0.1)</f>
        <v>1.2940642011713466</v>
      </c>
      <c r="BT19" s="8">
        <f>(('Commodity Costs Avoided Detail'!AF17+BE19)*0.1)</f>
        <v>0.48588233557849192</v>
      </c>
      <c r="BU19" s="8">
        <f>(('Commodity Costs Avoided Detail'!AG17+BF19)*0.1)</f>
        <v>0.77963049255905026</v>
      </c>
      <c r="BV19" s="8">
        <f>(('Commodity Costs Avoided Detail'!AH17+BG19)*0.1)</f>
        <v>0.38572113255905027</v>
      </c>
      <c r="BW19" s="8">
        <f>(('Commodity Costs Avoided Detail'!AH17)*0.1)</f>
        <v>0.30215713255905025</v>
      </c>
      <c r="BX19" s="50"/>
      <c r="BY19" s="7">
        <f t="shared" si="46"/>
        <v>2036</v>
      </c>
      <c r="BZ19" s="8">
        <f>'Commodity Costs Avoided Detail'!$AE17+AV19+$H19+BJ19+$G19</f>
        <v>22.603656653325558</v>
      </c>
      <c r="CA19" s="8">
        <f>'Commodity Costs Avoided Detail'!$AE17+AW19+$H19+BK19+$G19</f>
        <v>20.123286365885374</v>
      </c>
      <c r="CB19" s="8">
        <f>'Commodity Costs Avoided Detail'!AE17+AX19+$H19+BL19+G19</f>
        <v>23.555197346801005</v>
      </c>
      <c r="CC19" s="8">
        <f>'Commodity Costs Avoided Detail'!AF17+AY19+$H19+BM19+$G19</f>
        <v>17.875520073096961</v>
      </c>
      <c r="CD19" s="8">
        <f>'Commodity Costs Avoided Detail'!AG17+AZ19+$H19+BN19+$G19</f>
        <v>19.816764218149547</v>
      </c>
      <c r="CE19" s="8">
        <f>'Commodity Costs Avoided Detail'!AH17+BA19+$H19+BO19+$G19</f>
        <v>17.188752458149551</v>
      </c>
      <c r="CF19" s="8">
        <f>'Commodity Costs Avoided Detail'!AH17+$H19+BP19+$G19</f>
        <v>16.59492845814955</v>
      </c>
      <c r="CG19" s="8">
        <f>'Commodity Costs Avoided Detail'!$AE17+BB19+$K19+BQ19+$G19</f>
        <v>19.370208353399505</v>
      </c>
      <c r="CH19" s="8">
        <f>'Commodity Costs Avoided Detail'!$AE17+BC19+$K19+BR19+$G19</f>
        <v>15.262445795919387</v>
      </c>
      <c r="CI19" s="8">
        <f>'Commodity Costs Avoided Detail'!AE17+BD19+$K19+BS19+$G19</f>
        <v>20.996260316694144</v>
      </c>
      <c r="CJ19" s="8">
        <f>'Commodity Costs Avoided Detail'!AF17+BE19+$K19+BT19+$G19</f>
        <v>12.106259795172747</v>
      </c>
      <c r="CK19" s="8">
        <f>'Commodity Costs Avoided Detail'!AG17+BF19+$K19+BU19+$G19</f>
        <v>15.337489521958886</v>
      </c>
      <c r="CL19" s="8">
        <f>'Commodity Costs Avoided Detail'!AH17+BG19+$K19+BV19+$G19</f>
        <v>11.004486561958888</v>
      </c>
      <c r="CM19" s="8">
        <f>'Commodity Costs Avoided Detail'!AH17+$K19+BW19+$G19</f>
        <v>10.085282561958888</v>
      </c>
      <c r="CT19" s="20"/>
      <c r="CU19" s="20"/>
      <c r="CV19" s="20"/>
      <c r="CW19" s="20"/>
      <c r="CX19" s="20"/>
    </row>
    <row r="20" spans="1:111" ht="13.8" customHeight="1" x14ac:dyDescent="0.3">
      <c r="A20" s="88">
        <f t="shared" si="40"/>
        <v>2037</v>
      </c>
      <c r="B20" s="91">
        <v>8.8999999999999996E-2</v>
      </c>
      <c r="C20" s="167">
        <v>0.74663999999999997</v>
      </c>
      <c r="D20" s="168">
        <v>0.45084000000000002</v>
      </c>
      <c r="E20" s="169">
        <v>0.48499999999999999</v>
      </c>
      <c r="F20" s="87">
        <f>'Commodity Costs Avoided Detail'!N18</f>
        <v>3.0330499544865592</v>
      </c>
      <c r="G20" s="156">
        <v>0.5202</v>
      </c>
      <c r="H20" s="136">
        <v>12.308</v>
      </c>
      <c r="I20" s="144">
        <f>'Greenhouse Gas Costs Avoided De'!J17</f>
        <v>5.3032456623934383</v>
      </c>
      <c r="J20" s="146">
        <v>11.73243173244945</v>
      </c>
      <c r="K20" s="172">
        <f>'Greenhouse Gas Costs Avoided De'!O17</f>
        <v>6.3287559215813358</v>
      </c>
      <c r="L20" s="149">
        <v>1.49</v>
      </c>
      <c r="M20" s="154">
        <f t="shared" si="41"/>
        <v>2.0547945205479472E-2</v>
      </c>
      <c r="N20" s="141">
        <v>121</v>
      </c>
      <c r="O20" s="7">
        <f t="shared" si="42"/>
        <v>2037</v>
      </c>
      <c r="P20" s="8">
        <f t="shared" si="0"/>
        <v>0.6442738338206585</v>
      </c>
      <c r="Q20" s="8">
        <f t="shared" si="0"/>
        <v>0.6442738338206585</v>
      </c>
      <c r="R20" s="8">
        <f t="shared" si="1"/>
        <v>0.57472154494229177</v>
      </c>
      <c r="S20" s="8">
        <f t="shared" si="2"/>
        <v>0.10720049999999999</v>
      </c>
      <c r="T20" s="8">
        <f t="shared" si="3"/>
        <v>0.11570000000000001</v>
      </c>
      <c r="U20" s="8">
        <f t="shared" si="4"/>
        <v>8.8999999999999996E-2</v>
      </c>
      <c r="V20" s="8">
        <f t="shared" si="5"/>
        <v>8.8999999999999996E-2</v>
      </c>
      <c r="W20" s="8">
        <f t="shared" si="6"/>
        <v>0.6442738338206585</v>
      </c>
      <c r="X20" s="8">
        <f t="shared" si="6"/>
        <v>0.6442738338206585</v>
      </c>
      <c r="Y20" s="8">
        <f t="shared" si="7"/>
        <v>0.57472154494229177</v>
      </c>
      <c r="Z20" s="8">
        <f t="shared" si="8"/>
        <v>0.10720049999999999</v>
      </c>
      <c r="AA20" s="8">
        <f t="shared" si="9"/>
        <v>0.11570000000000001</v>
      </c>
      <c r="AB20" s="8">
        <f t="shared" si="10"/>
        <v>8.8999999999999996E-2</v>
      </c>
      <c r="AC20" s="8">
        <f t="shared" si="11"/>
        <v>8.8999999999999996E-2</v>
      </c>
      <c r="AD20" s="50"/>
      <c r="AE20" s="7">
        <f t="shared" si="43"/>
        <v>2037</v>
      </c>
      <c r="AF20" s="8">
        <f t="shared" si="12"/>
        <v>4.5394336600280862</v>
      </c>
      <c r="AG20" s="8">
        <f t="shared" si="13"/>
        <v>2.2845515805370105</v>
      </c>
      <c r="AH20" s="8">
        <f t="shared" si="14"/>
        <v>5.4740229429750444</v>
      </c>
      <c r="AI20" s="8">
        <f t="shared" si="15"/>
        <v>1.0258634585384641</v>
      </c>
      <c r="AJ20" s="8">
        <f t="shared" si="16"/>
        <v>2.8132416000000005</v>
      </c>
      <c r="AK20" s="8">
        <f t="shared" si="17"/>
        <v>0.45084000000000002</v>
      </c>
      <c r="AL20" s="8">
        <f t="shared" si="18"/>
        <v>0.45084000000000002</v>
      </c>
      <c r="AM20" s="8">
        <f t="shared" si="19"/>
        <v>7.5177951111777359</v>
      </c>
      <c r="AN20" s="8">
        <f t="shared" si="20"/>
        <v>3.7834655134685327</v>
      </c>
      <c r="AO20" s="8">
        <f t="shared" si="21"/>
        <v>9.0655764575966806</v>
      </c>
      <c r="AP20" s="8">
        <f t="shared" si="22"/>
        <v>1.6989412933261441</v>
      </c>
      <c r="AQ20" s="8">
        <f t="shared" si="23"/>
        <v>4.6590335999999999</v>
      </c>
      <c r="AR20" s="8">
        <f t="shared" si="24"/>
        <v>0.74663999999999997</v>
      </c>
      <c r="AS20" s="8">
        <f t="shared" si="25"/>
        <v>0.74663999999999997</v>
      </c>
      <c r="AU20" s="7">
        <f t="shared" si="44"/>
        <v>2037</v>
      </c>
      <c r="AV20" s="8">
        <f t="shared" si="26"/>
        <v>5.1837074938487451</v>
      </c>
      <c r="AW20" s="8">
        <f t="shared" si="27"/>
        <v>2.9288254143576689</v>
      </c>
      <c r="AX20" s="8">
        <f t="shared" si="28"/>
        <v>6.048744487917336</v>
      </c>
      <c r="AY20" s="8">
        <f t="shared" si="29"/>
        <v>1.1330639585384641</v>
      </c>
      <c r="AZ20" s="8">
        <f t="shared" si="30"/>
        <v>2.9289416000000004</v>
      </c>
      <c r="BA20" s="8">
        <f t="shared" si="31"/>
        <v>0.53983999999999999</v>
      </c>
      <c r="BB20" s="8">
        <f t="shared" si="32"/>
        <v>8.1620689449983939</v>
      </c>
      <c r="BC20" s="8">
        <f t="shared" si="33"/>
        <v>4.4277393472891911</v>
      </c>
      <c r="BD20" s="8">
        <f t="shared" si="34"/>
        <v>9.6402980025389731</v>
      </c>
      <c r="BE20" s="8">
        <f t="shared" si="35"/>
        <v>1.8061417933261441</v>
      </c>
      <c r="BF20" s="8">
        <f t="shared" si="36"/>
        <v>4.7747336000000002</v>
      </c>
      <c r="BG20" s="8">
        <f t="shared" si="37"/>
        <v>0.83563999999999994</v>
      </c>
      <c r="BH20" s="50"/>
      <c r="BI20" s="7">
        <f t="shared" si="45"/>
        <v>2037</v>
      </c>
      <c r="BJ20" s="8">
        <f>(('Commodity Costs Avoided Detail'!$AE18+AV20)*0.1)</f>
        <v>0.85062817347008246</v>
      </c>
      <c r="BK20" s="8">
        <f>(('Commodity Costs Avoided Detail'!$AE18+AW20)*0.1)</f>
        <v>0.62513996552097473</v>
      </c>
      <c r="BL20" s="8">
        <f>(('Commodity Costs Avoided Detail'!AE18+AX20)*0.1)</f>
        <v>0.93713187287694155</v>
      </c>
      <c r="BM20" s="8">
        <f>(('Commodity Costs Avoided Detail'!AF18+AY20)*0.1)</f>
        <v>0.41992811579483647</v>
      </c>
      <c r="BN20" s="8">
        <f>(('Commodity Costs Avoided Detail'!AG18+AZ20)*0.1)</f>
        <v>0.59619915544865598</v>
      </c>
      <c r="BO20" s="8">
        <f>(('Commodity Costs Avoided Detail'!AH18+BA20)*0.1)</f>
        <v>0.357288995448656</v>
      </c>
      <c r="BP20" s="8">
        <f>(('Commodity Costs Avoided Detail'!AH18)*0.1)</f>
        <v>0.30330499544865597</v>
      </c>
      <c r="BQ20" s="8">
        <f>(('Commodity Costs Avoided Detail'!AE18+BB20)*0.1)</f>
        <v>1.1484643185850474</v>
      </c>
      <c r="BR20" s="8">
        <f>(('Commodity Costs Avoided Detail'!AE18+BC20)*0.1)</f>
        <v>0.77503135881412699</v>
      </c>
      <c r="BS20" s="8">
        <f>(('Commodity Costs Avoided Detail'!AE18+BD20)*0.1)</f>
        <v>1.2962872243391053</v>
      </c>
      <c r="BT20" s="8">
        <f>(('Commodity Costs Avoided Detail'!AF18+BE20)*0.1)</f>
        <v>0.4872358992736045</v>
      </c>
      <c r="BU20" s="8">
        <f>(('Commodity Costs Avoided Detail'!AG18+BF20)*0.1)</f>
        <v>0.78077835544865604</v>
      </c>
      <c r="BV20" s="8">
        <f>(('Commodity Costs Avoided Detail'!AH18+BG20)*0.1)</f>
        <v>0.38686899544865599</v>
      </c>
      <c r="BW20" s="8">
        <f>(('Commodity Costs Avoided Detail'!AH18)*0.1)</f>
        <v>0.30330499544865597</v>
      </c>
      <c r="BX20" s="50"/>
      <c r="BY20" s="7">
        <f t="shared" si="46"/>
        <v>2037</v>
      </c>
      <c r="BZ20" s="8">
        <f>'Commodity Costs Avoided Detail'!$AE18+AV20+$H20+BJ20+$G20</f>
        <v>22.185109908170904</v>
      </c>
      <c r="CA20" s="8">
        <f>'Commodity Costs Avoided Detail'!$AE18+AW20+$H20+BK20+$G20</f>
        <v>19.70473962073072</v>
      </c>
      <c r="CB20" s="8">
        <f>'Commodity Costs Avoided Detail'!AE18+AX20+$H20+BL20+G20</f>
        <v>23.136650601646359</v>
      </c>
      <c r="CC20" s="8">
        <f>'Commodity Costs Avoided Detail'!AF18+AY20+$H20+BM20+$G20</f>
        <v>17.447409273743197</v>
      </c>
      <c r="CD20" s="8">
        <f>'Commodity Costs Avoided Detail'!AG18+AZ20+$H20+BN20+$G20</f>
        <v>19.386390709935213</v>
      </c>
      <c r="CE20" s="8">
        <f>'Commodity Costs Avoided Detail'!AH18+BA20+$H20+BO20+$G20</f>
        <v>16.758378949935214</v>
      </c>
      <c r="CF20" s="8">
        <f>'Commodity Costs Avoided Detail'!AH18+$H20+BP20+$G20</f>
        <v>16.164554949935216</v>
      </c>
      <c r="CG20" s="8">
        <f>'Commodity Costs Avoided Detail'!$AE18+BB20+$K20+BQ20+$G20</f>
        <v>19.482063426016857</v>
      </c>
      <c r="CH20" s="8">
        <f>'Commodity Costs Avoided Detail'!$AE18+BC20+$K20+BR20+$G20</f>
        <v>15.374300868536732</v>
      </c>
      <c r="CI20" s="8">
        <f>'Commodity Costs Avoided Detail'!AE18+BD20+$K20+BS20+$G20</f>
        <v>21.108115389311493</v>
      </c>
      <c r="CJ20" s="8">
        <f>'Commodity Costs Avoided Detail'!AF18+BE20+$K20+BT20+$G20</f>
        <v>12.208550813590985</v>
      </c>
      <c r="CK20" s="8">
        <f>'Commodity Costs Avoided Detail'!AG18+BF20+$K20+BU20+$G20</f>
        <v>15.437517831516551</v>
      </c>
      <c r="CL20" s="8">
        <f>'Commodity Costs Avoided Detail'!AH18+BG20+$K20+BV20+$G20</f>
        <v>11.104514871516553</v>
      </c>
      <c r="CM20" s="8">
        <f>'Commodity Costs Avoided Detail'!AH18+$K20+BW20+$G20</f>
        <v>10.185310871516553</v>
      </c>
    </row>
    <row r="21" spans="1:111" ht="13.8" customHeight="1" x14ac:dyDescent="0.3">
      <c r="A21" s="88">
        <f t="shared" si="40"/>
        <v>2038</v>
      </c>
      <c r="B21" s="91">
        <v>8.8999999999999996E-2</v>
      </c>
      <c r="C21" s="167">
        <v>0.74663999999999997</v>
      </c>
      <c r="D21" s="168">
        <v>0.45084000000000002</v>
      </c>
      <c r="E21" s="169">
        <v>0.48499999999999999</v>
      </c>
      <c r="F21" s="87">
        <f>'Commodity Costs Avoided Detail'!N19</f>
        <v>3.0226188076272407</v>
      </c>
      <c r="G21" s="156">
        <v>0.5202</v>
      </c>
      <c r="H21" s="136">
        <v>11.874000000000001</v>
      </c>
      <c r="I21" s="144">
        <f>'Greenhouse Gas Costs Avoided De'!J18</f>
        <v>5.3764849082622925</v>
      </c>
      <c r="J21" s="146">
        <v>11.934715038181338</v>
      </c>
      <c r="K21" s="172">
        <f>'Greenhouse Gas Costs Avoided De'!O18</f>
        <v>6.416157739353336</v>
      </c>
      <c r="L21" s="149">
        <v>1.52</v>
      </c>
      <c r="M21" s="154">
        <f t="shared" si="41"/>
        <v>2.0134228187919483E-2</v>
      </c>
      <c r="N21" s="141">
        <v>122</v>
      </c>
      <c r="O21" s="7">
        <f t="shared" si="42"/>
        <v>2038</v>
      </c>
      <c r="P21" s="8">
        <f t="shared" si="0"/>
        <v>0.6442738338206585</v>
      </c>
      <c r="Q21" s="8">
        <f t="shared" si="0"/>
        <v>0.6442738338206585</v>
      </c>
      <c r="R21" s="8">
        <f t="shared" si="1"/>
        <v>0.57472154494229177</v>
      </c>
      <c r="S21" s="8">
        <f t="shared" si="2"/>
        <v>0.10720049999999999</v>
      </c>
      <c r="T21" s="8">
        <f t="shared" si="3"/>
        <v>0.11570000000000001</v>
      </c>
      <c r="U21" s="8">
        <f t="shared" si="4"/>
        <v>8.8999999999999996E-2</v>
      </c>
      <c r="V21" s="8">
        <f t="shared" si="5"/>
        <v>8.8999999999999996E-2</v>
      </c>
      <c r="W21" s="8">
        <f t="shared" si="6"/>
        <v>0.6442738338206585</v>
      </c>
      <c r="X21" s="8">
        <f t="shared" si="6"/>
        <v>0.6442738338206585</v>
      </c>
      <c r="Y21" s="8">
        <f t="shared" si="7"/>
        <v>0.57472154494229177</v>
      </c>
      <c r="Z21" s="8">
        <f t="shared" si="8"/>
        <v>0.10720049999999999</v>
      </c>
      <c r="AA21" s="8">
        <f t="shared" si="9"/>
        <v>0.11570000000000001</v>
      </c>
      <c r="AB21" s="8">
        <f t="shared" si="10"/>
        <v>8.8999999999999996E-2</v>
      </c>
      <c r="AC21" s="8">
        <f t="shared" si="11"/>
        <v>8.8999999999999996E-2</v>
      </c>
      <c r="AD21" s="50"/>
      <c r="AE21" s="7">
        <f t="shared" si="43"/>
        <v>2038</v>
      </c>
      <c r="AF21" s="8">
        <f t="shared" si="12"/>
        <v>4.5394336600280862</v>
      </c>
      <c r="AG21" s="8">
        <f t="shared" si="13"/>
        <v>2.2845515805370105</v>
      </c>
      <c r="AH21" s="8">
        <f t="shared" si="14"/>
        <v>5.4740229429750444</v>
      </c>
      <c r="AI21" s="8">
        <f t="shared" si="15"/>
        <v>1.0258634585384641</v>
      </c>
      <c r="AJ21" s="8">
        <f t="shared" si="16"/>
        <v>2.8132416000000005</v>
      </c>
      <c r="AK21" s="8">
        <f t="shared" si="17"/>
        <v>0.45084000000000002</v>
      </c>
      <c r="AL21" s="8">
        <f t="shared" si="18"/>
        <v>0.45084000000000002</v>
      </c>
      <c r="AM21" s="8">
        <f t="shared" si="19"/>
        <v>7.5177951111777359</v>
      </c>
      <c r="AN21" s="8">
        <f t="shared" si="20"/>
        <v>3.7834655134685327</v>
      </c>
      <c r="AO21" s="8">
        <f t="shared" si="21"/>
        <v>9.0655764575966806</v>
      </c>
      <c r="AP21" s="8">
        <f t="shared" si="22"/>
        <v>1.6989412933261441</v>
      </c>
      <c r="AQ21" s="8">
        <f t="shared" si="23"/>
        <v>4.6590335999999999</v>
      </c>
      <c r="AR21" s="8">
        <f t="shared" si="24"/>
        <v>0.74663999999999997</v>
      </c>
      <c r="AS21" s="8">
        <f t="shared" si="25"/>
        <v>0.74663999999999997</v>
      </c>
      <c r="AU21" s="7">
        <f t="shared" si="44"/>
        <v>2038</v>
      </c>
      <c r="AV21" s="8">
        <f t="shared" si="26"/>
        <v>5.1837074938487451</v>
      </c>
      <c r="AW21" s="8">
        <f t="shared" si="27"/>
        <v>2.9288254143576689</v>
      </c>
      <c r="AX21" s="8">
        <f t="shared" si="28"/>
        <v>6.048744487917336</v>
      </c>
      <c r="AY21" s="8">
        <f t="shared" si="29"/>
        <v>1.1330639585384641</v>
      </c>
      <c r="AZ21" s="8">
        <f t="shared" si="30"/>
        <v>2.9289416000000004</v>
      </c>
      <c r="BA21" s="8">
        <f t="shared" si="31"/>
        <v>0.53983999999999999</v>
      </c>
      <c r="BB21" s="8">
        <f t="shared" si="32"/>
        <v>8.1620689449983939</v>
      </c>
      <c r="BC21" s="8">
        <f t="shared" si="33"/>
        <v>4.4277393472891911</v>
      </c>
      <c r="BD21" s="8">
        <f t="shared" si="34"/>
        <v>9.6402980025389731</v>
      </c>
      <c r="BE21" s="8">
        <f t="shared" si="35"/>
        <v>1.8061417933261441</v>
      </c>
      <c r="BF21" s="8">
        <f t="shared" si="36"/>
        <v>4.7747336000000002</v>
      </c>
      <c r="BG21" s="8">
        <f t="shared" si="37"/>
        <v>0.83563999999999994</v>
      </c>
      <c r="BH21" s="50"/>
      <c r="BI21" s="7">
        <f t="shared" si="45"/>
        <v>2038</v>
      </c>
      <c r="BJ21" s="8">
        <f>(('Commodity Costs Avoided Detail'!$AE19+AV21)*0.1)</f>
        <v>0.84603062913754146</v>
      </c>
      <c r="BK21" s="8">
        <f>(('Commodity Costs Avoided Detail'!$AE19+AW21)*0.1)</f>
        <v>0.62054242118843372</v>
      </c>
      <c r="BL21" s="8">
        <f>(('Commodity Costs Avoided Detail'!AE19+AX21)*0.1)</f>
        <v>0.93253432854440033</v>
      </c>
      <c r="BM21" s="8">
        <f>(('Commodity Costs Avoided Detail'!AF19+AY21)*0.1)</f>
        <v>0.41851706693613022</v>
      </c>
      <c r="BN21" s="8">
        <f>(('Commodity Costs Avoided Detail'!AG19+AZ21)*0.1)</f>
        <v>0.5951560407627241</v>
      </c>
      <c r="BO21" s="8">
        <f>(('Commodity Costs Avoided Detail'!AH19+BA21)*0.1)</f>
        <v>0.35624588076272401</v>
      </c>
      <c r="BP21" s="8">
        <f>(('Commodity Costs Avoided Detail'!AH19)*0.1)</f>
        <v>0.30226188076272403</v>
      </c>
      <c r="BQ21" s="8">
        <f>(('Commodity Costs Avoided Detail'!AE19+BB21)*0.1)</f>
        <v>1.1438667742525064</v>
      </c>
      <c r="BR21" s="8">
        <f>(('Commodity Costs Avoided Detail'!AE19+BC21)*0.1)</f>
        <v>0.77043381448158588</v>
      </c>
      <c r="BS21" s="8">
        <f>(('Commodity Costs Avoided Detail'!AE19+BD21)*0.1)</f>
        <v>1.291689680006564</v>
      </c>
      <c r="BT21" s="8">
        <f>(('Commodity Costs Avoided Detail'!AF19+BE21)*0.1)</f>
        <v>0.4858248504148982</v>
      </c>
      <c r="BU21" s="8">
        <f>(('Commodity Costs Avoided Detail'!AG19+BF21)*0.1)</f>
        <v>0.77973524076272405</v>
      </c>
      <c r="BV21" s="8">
        <f>(('Commodity Costs Avoided Detail'!AH19+BG21)*0.1)</f>
        <v>0.38582588076272401</v>
      </c>
      <c r="BW21" s="8">
        <f>(('Commodity Costs Avoided Detail'!AH19)*0.1)</f>
        <v>0.30226188076272403</v>
      </c>
      <c r="BX21" s="50"/>
      <c r="BY21" s="7">
        <f t="shared" si="46"/>
        <v>2038</v>
      </c>
      <c r="BZ21" s="8">
        <f>'Commodity Costs Avoided Detail'!$AE19+AV21+$H21+BJ21+$G21</f>
        <v>21.700536920512953</v>
      </c>
      <c r="CA21" s="8">
        <f>'Commodity Costs Avoided Detail'!$AE19+AW21+$H21+BK21+$G21</f>
        <v>19.220166633072768</v>
      </c>
      <c r="CB21" s="8">
        <f>'Commodity Costs Avoided Detail'!AE19+AX21+$H21+BL21+G21</f>
        <v>22.6520776139884</v>
      </c>
      <c r="CC21" s="8">
        <f>'Commodity Costs Avoided Detail'!AF19+AY21+$H21+BM21+$G21</f>
        <v>16.997887736297429</v>
      </c>
      <c r="CD21" s="8">
        <f>'Commodity Costs Avoided Detail'!AG19+AZ21+$H21+BN21+$G21</f>
        <v>18.940916448389967</v>
      </c>
      <c r="CE21" s="8">
        <f>'Commodity Costs Avoided Detail'!AH19+BA21+$H21+BO21+$G21</f>
        <v>16.312904688389963</v>
      </c>
      <c r="CF21" s="8">
        <f>'Commodity Costs Avoided Detail'!AH19+$H21+BP21+$G21</f>
        <v>15.719080688389965</v>
      </c>
      <c r="CG21" s="8">
        <f>'Commodity Costs Avoided Detail'!$AE19+BB21+$K21+BQ21+$G21</f>
        <v>19.518892256130904</v>
      </c>
      <c r="CH21" s="8">
        <f>'Commodity Costs Avoided Detail'!$AE19+BC21+$K21+BR21+$G21</f>
        <v>15.411129698650779</v>
      </c>
      <c r="CI21" s="8">
        <f>'Commodity Costs Avoided Detail'!AE19+BD21+$K21+BS21+$G21</f>
        <v>21.144944219425536</v>
      </c>
      <c r="CJ21" s="8">
        <f>'Commodity Costs Avoided Detail'!AF19+BE21+$K21+BT21+$G21</f>
        <v>12.280431093917215</v>
      </c>
      <c r="CK21" s="8">
        <f>'Commodity Costs Avoided Detail'!AG19+BF21+$K21+BU21+$G21</f>
        <v>15.5134453877433</v>
      </c>
      <c r="CL21" s="8">
        <f>'Commodity Costs Avoided Detail'!AH19+BG21+$K21+BV21+$G21</f>
        <v>11.180442427743298</v>
      </c>
      <c r="CM21" s="8">
        <f>'Commodity Costs Avoided Detail'!AH19+$K21+BW21+$G21</f>
        <v>10.261238427743301</v>
      </c>
    </row>
    <row r="22" spans="1:111" ht="13.8" customHeight="1" x14ac:dyDescent="0.3">
      <c r="A22" s="88">
        <f t="shared" si="40"/>
        <v>2039</v>
      </c>
      <c r="B22" s="91">
        <v>8.8999999999999996E-2</v>
      </c>
      <c r="C22" s="167">
        <v>0.74663999999999997</v>
      </c>
      <c r="D22" s="168">
        <v>0.45084000000000002</v>
      </c>
      <c r="E22" s="169">
        <v>0.48499999999999999</v>
      </c>
      <c r="F22" s="87">
        <f>'Commodity Costs Avoided Detail'!N20</f>
        <v>3.0355430019758067</v>
      </c>
      <c r="G22" s="156">
        <v>0.5202</v>
      </c>
      <c r="H22" s="136">
        <v>11.414</v>
      </c>
      <c r="I22" s="144">
        <f>'Greenhouse Gas Costs Avoided De'!J19</f>
        <v>5.4497241541311467</v>
      </c>
      <c r="J22" s="146">
        <v>12.136998343913227</v>
      </c>
      <c r="K22" s="172">
        <f>'Greenhouse Gas Costs Avoided De'!O19</f>
        <v>6.5035595571253371</v>
      </c>
      <c r="L22" s="149">
        <v>1.56</v>
      </c>
      <c r="M22" s="154">
        <f t="shared" si="41"/>
        <v>2.6315789473684233E-2</v>
      </c>
      <c r="N22" s="141">
        <v>123</v>
      </c>
      <c r="O22" s="7">
        <f t="shared" si="42"/>
        <v>2039</v>
      </c>
      <c r="P22" s="8">
        <f t="shared" si="0"/>
        <v>0.6442738338206585</v>
      </c>
      <c r="Q22" s="8">
        <f t="shared" si="0"/>
        <v>0.6442738338206585</v>
      </c>
      <c r="R22" s="8">
        <f t="shared" si="1"/>
        <v>0.57472154494229177</v>
      </c>
      <c r="S22" s="8">
        <f t="shared" si="2"/>
        <v>0.10720049999999999</v>
      </c>
      <c r="T22" s="8">
        <f t="shared" si="3"/>
        <v>0.11570000000000001</v>
      </c>
      <c r="U22" s="8">
        <f t="shared" si="4"/>
        <v>8.8999999999999996E-2</v>
      </c>
      <c r="V22" s="8">
        <f t="shared" si="5"/>
        <v>8.8999999999999996E-2</v>
      </c>
      <c r="W22" s="8">
        <f t="shared" si="6"/>
        <v>0.6442738338206585</v>
      </c>
      <c r="X22" s="8">
        <f t="shared" si="6"/>
        <v>0.6442738338206585</v>
      </c>
      <c r="Y22" s="8">
        <f t="shared" si="7"/>
        <v>0.57472154494229177</v>
      </c>
      <c r="Z22" s="8">
        <f t="shared" si="8"/>
        <v>0.10720049999999999</v>
      </c>
      <c r="AA22" s="8">
        <f t="shared" si="9"/>
        <v>0.11570000000000001</v>
      </c>
      <c r="AB22" s="8">
        <f t="shared" si="10"/>
        <v>8.8999999999999996E-2</v>
      </c>
      <c r="AC22" s="8">
        <f t="shared" si="11"/>
        <v>8.8999999999999996E-2</v>
      </c>
      <c r="AD22" s="50"/>
      <c r="AE22" s="7">
        <f t="shared" si="43"/>
        <v>2039</v>
      </c>
      <c r="AF22" s="8">
        <f t="shared" si="12"/>
        <v>4.5394336600280862</v>
      </c>
      <c r="AG22" s="8">
        <f t="shared" si="13"/>
        <v>2.2845515805370105</v>
      </c>
      <c r="AH22" s="8">
        <f t="shared" si="14"/>
        <v>5.4740229429750444</v>
      </c>
      <c r="AI22" s="8">
        <f t="shared" si="15"/>
        <v>1.0258634585384641</v>
      </c>
      <c r="AJ22" s="8">
        <f t="shared" si="16"/>
        <v>2.8132416000000005</v>
      </c>
      <c r="AK22" s="8">
        <f t="shared" si="17"/>
        <v>0.45084000000000002</v>
      </c>
      <c r="AL22" s="8">
        <f t="shared" si="18"/>
        <v>0.45084000000000002</v>
      </c>
      <c r="AM22" s="8">
        <f t="shared" si="19"/>
        <v>7.5177951111777359</v>
      </c>
      <c r="AN22" s="8">
        <f t="shared" si="20"/>
        <v>3.7834655134685327</v>
      </c>
      <c r="AO22" s="8">
        <f t="shared" si="21"/>
        <v>9.0655764575966806</v>
      </c>
      <c r="AP22" s="8">
        <f t="shared" si="22"/>
        <v>1.6989412933261441</v>
      </c>
      <c r="AQ22" s="8">
        <f t="shared" si="23"/>
        <v>4.6590335999999999</v>
      </c>
      <c r="AR22" s="8">
        <f t="shared" si="24"/>
        <v>0.74663999999999997</v>
      </c>
      <c r="AS22" s="8">
        <f t="shared" si="25"/>
        <v>0.74663999999999997</v>
      </c>
      <c r="AU22" s="7">
        <f t="shared" si="44"/>
        <v>2039</v>
      </c>
      <c r="AV22" s="8">
        <f t="shared" si="26"/>
        <v>5.1837074938487451</v>
      </c>
      <c r="AW22" s="8">
        <f t="shared" si="27"/>
        <v>2.9288254143576689</v>
      </c>
      <c r="AX22" s="8">
        <f t="shared" si="28"/>
        <v>6.048744487917336</v>
      </c>
      <c r="AY22" s="8">
        <f t="shared" si="29"/>
        <v>1.1330639585384641</v>
      </c>
      <c r="AZ22" s="8">
        <f t="shared" si="30"/>
        <v>2.9289416000000004</v>
      </c>
      <c r="BA22" s="8">
        <f t="shared" si="31"/>
        <v>0.53983999999999999</v>
      </c>
      <c r="BB22" s="8">
        <f t="shared" si="32"/>
        <v>8.1620689449983939</v>
      </c>
      <c r="BC22" s="8">
        <f t="shared" si="33"/>
        <v>4.4277393472891911</v>
      </c>
      <c r="BD22" s="8">
        <f t="shared" si="34"/>
        <v>9.6402980025389731</v>
      </c>
      <c r="BE22" s="8">
        <f t="shared" si="35"/>
        <v>1.8061417933261441</v>
      </c>
      <c r="BF22" s="8">
        <f t="shared" si="36"/>
        <v>4.7747336000000002</v>
      </c>
      <c r="BG22" s="8">
        <f t="shared" si="37"/>
        <v>0.83563999999999994</v>
      </c>
      <c r="BH22" s="50"/>
      <c r="BI22" s="7">
        <f t="shared" si="45"/>
        <v>2039</v>
      </c>
      <c r="BJ22" s="8">
        <f>(('Commodity Costs Avoided Detail'!$AE20+AV22)*0.1)</f>
        <v>0.84504413426679381</v>
      </c>
      <c r="BK22" s="8">
        <f>(('Commodity Costs Avoided Detail'!$AE20+AW22)*0.1)</f>
        <v>0.61955592631768619</v>
      </c>
      <c r="BL22" s="8">
        <f>(('Commodity Costs Avoided Detail'!AE20+AX22)*0.1)</f>
        <v>0.9315478336736529</v>
      </c>
      <c r="BM22" s="8">
        <f>(('Commodity Costs Avoided Detail'!AF20+AY22)*0.1)</f>
        <v>0.41911311303880688</v>
      </c>
      <c r="BN22" s="8">
        <f>(('Commodity Costs Avoided Detail'!AG20+AZ22)*0.1)</f>
        <v>0.5964484601975808</v>
      </c>
      <c r="BO22" s="8">
        <f>(('Commodity Costs Avoided Detail'!AH20+BA22)*0.1)</f>
        <v>0.35753830019758076</v>
      </c>
      <c r="BP22" s="8">
        <f>(('Commodity Costs Avoided Detail'!AH20)*0.1)</f>
        <v>0.30355430019758078</v>
      </c>
      <c r="BQ22" s="8">
        <f>(('Commodity Costs Avoided Detail'!AE20+BB22)*0.1)</f>
        <v>1.1428802793817587</v>
      </c>
      <c r="BR22" s="8">
        <f>(('Commodity Costs Avoided Detail'!AE20+BC22)*0.1)</f>
        <v>0.76944731961083845</v>
      </c>
      <c r="BS22" s="8">
        <f>(('Commodity Costs Avoided Detail'!AE20+BD22)*0.1)</f>
        <v>1.2907031851358166</v>
      </c>
      <c r="BT22" s="8">
        <f>(('Commodity Costs Avoided Detail'!AF20+BE22)*0.1)</f>
        <v>0.48642089651757492</v>
      </c>
      <c r="BU22" s="8">
        <f>(('Commodity Costs Avoided Detail'!AG20+BF22)*0.1)</f>
        <v>0.78102766019758085</v>
      </c>
      <c r="BV22" s="8">
        <f>(('Commodity Costs Avoided Detail'!AH20+BG22)*0.1)</f>
        <v>0.38711830019758076</v>
      </c>
      <c r="BW22" s="8">
        <f>(('Commodity Costs Avoided Detail'!AH20)*0.1)</f>
        <v>0.30355430019758078</v>
      </c>
      <c r="BX22" s="50"/>
      <c r="BY22" s="7">
        <f t="shared" si="46"/>
        <v>2039</v>
      </c>
      <c r="BZ22" s="8">
        <f>'Commodity Costs Avoided Detail'!$AE20+AV22+$H22+BJ22+$G22</f>
        <v>21.22968547693473</v>
      </c>
      <c r="CA22" s="8">
        <f>'Commodity Costs Avoided Detail'!$AE20+AW22+$H22+BK22+$G22</f>
        <v>18.749315189494549</v>
      </c>
      <c r="CB22" s="8">
        <f>'Commodity Costs Avoided Detail'!AE20+AX22+$H22+BL22+G22</f>
        <v>22.181226170410181</v>
      </c>
      <c r="CC22" s="8">
        <f>'Commodity Costs Avoided Detail'!AF20+AY22+$H22+BM22+$G22</f>
        <v>16.544444243426874</v>
      </c>
      <c r="CD22" s="8">
        <f>'Commodity Costs Avoided Detail'!AG20+AZ22+$H22+BN22+$G22</f>
        <v>18.495133062173387</v>
      </c>
      <c r="CE22" s="8">
        <f>'Commodity Costs Avoided Detail'!AH20+BA22+$H22+BO22+$G22</f>
        <v>15.867121302173388</v>
      </c>
      <c r="CF22" s="8">
        <f>'Commodity Costs Avoided Detail'!AH20+$H22+BP22+$G22</f>
        <v>15.27329730217339</v>
      </c>
      <c r="CG22" s="8">
        <f>'Commodity Costs Avoided Detail'!$AE20+BB22+$K22+BQ22+$G22</f>
        <v>19.595442630324683</v>
      </c>
      <c r="CH22" s="8">
        <f>'Commodity Costs Avoided Detail'!$AE20+BC22+$K22+BR22+$G22</f>
        <v>15.487680072844562</v>
      </c>
      <c r="CI22" s="8">
        <f>'Commodity Costs Avoided Detail'!AE20+BD22+$K22+BS22+$G22</f>
        <v>21.221494593619322</v>
      </c>
      <c r="CJ22" s="8">
        <f>'Commodity Costs Avoided Detail'!AF20+BE22+$K22+BT22+$G22</f>
        <v>12.374389418818662</v>
      </c>
      <c r="CK22" s="8">
        <f>'Commodity Costs Avoided Detail'!AG20+BF22+$K22+BU22+$G22</f>
        <v>15.615063819298726</v>
      </c>
      <c r="CL22" s="8">
        <f>'Commodity Costs Avoided Detail'!AH20+BG22+$K22+BV22+$G22</f>
        <v>11.282060859298724</v>
      </c>
      <c r="CM22" s="8">
        <f>'Commodity Costs Avoided Detail'!AH20+$K22+BW22+$G22</f>
        <v>10.362856859298727</v>
      </c>
    </row>
    <row r="23" spans="1:111" ht="13.8" customHeight="1" x14ac:dyDescent="0.3">
      <c r="A23" s="89">
        <f t="shared" si="40"/>
        <v>2040</v>
      </c>
      <c r="B23" s="91">
        <v>8.8999999999999996E-2</v>
      </c>
      <c r="C23" s="167">
        <v>0.74663999999999997</v>
      </c>
      <c r="D23" s="168">
        <v>0.45084000000000002</v>
      </c>
      <c r="E23" s="170">
        <v>0.48499999999999999</v>
      </c>
      <c r="F23" s="87">
        <f>'Commodity Costs Avoided Detail'!N21</f>
        <v>3.1541480658297485</v>
      </c>
      <c r="G23" s="156">
        <v>0.5202</v>
      </c>
      <c r="H23" s="136">
        <v>10.836</v>
      </c>
      <c r="I23" s="144">
        <f>'Greenhouse Gas Costs Avoided De'!J20</f>
        <v>5.5229634000000001</v>
      </c>
      <c r="J23" s="147">
        <v>12.339281649645113</v>
      </c>
      <c r="K23" s="173">
        <f>'Greenhouse Gas Costs Avoided De'!O20</f>
        <v>6.5909613748973364</v>
      </c>
      <c r="L23" s="150">
        <v>1.59</v>
      </c>
      <c r="M23" s="154">
        <f t="shared" si="41"/>
        <v>1.9230769230769246E-2</v>
      </c>
      <c r="N23" s="141">
        <v>124</v>
      </c>
      <c r="O23" s="21">
        <f t="shared" si="42"/>
        <v>2040</v>
      </c>
      <c r="P23" s="8">
        <f t="shared" si="0"/>
        <v>0.6442738338206585</v>
      </c>
      <c r="Q23" s="8">
        <f t="shared" si="0"/>
        <v>0.6442738338206585</v>
      </c>
      <c r="R23" s="8">
        <f t="shared" si="1"/>
        <v>0.57472154494229177</v>
      </c>
      <c r="S23" s="8">
        <f t="shared" si="2"/>
        <v>0.10720049999999999</v>
      </c>
      <c r="T23" s="8">
        <f t="shared" si="3"/>
        <v>0.11570000000000001</v>
      </c>
      <c r="U23" s="8">
        <f t="shared" si="4"/>
        <v>8.8999999999999996E-2</v>
      </c>
      <c r="V23" s="8">
        <f t="shared" si="5"/>
        <v>8.8999999999999996E-2</v>
      </c>
      <c r="W23" s="8">
        <f t="shared" si="6"/>
        <v>0.6442738338206585</v>
      </c>
      <c r="X23" s="8">
        <f t="shared" si="6"/>
        <v>0.6442738338206585</v>
      </c>
      <c r="Y23" s="8">
        <f t="shared" si="7"/>
        <v>0.57472154494229177</v>
      </c>
      <c r="Z23" s="8">
        <f t="shared" si="8"/>
        <v>0.10720049999999999</v>
      </c>
      <c r="AA23" s="8">
        <f t="shared" si="9"/>
        <v>0.11570000000000001</v>
      </c>
      <c r="AB23" s="8">
        <f t="shared" si="10"/>
        <v>8.8999999999999996E-2</v>
      </c>
      <c r="AC23" s="9">
        <f t="shared" si="11"/>
        <v>8.8999999999999996E-2</v>
      </c>
      <c r="AD23" s="50"/>
      <c r="AE23" s="7">
        <f t="shared" si="43"/>
        <v>2040</v>
      </c>
      <c r="AF23" s="8">
        <f t="shared" si="12"/>
        <v>4.5394336600280862</v>
      </c>
      <c r="AG23" s="8">
        <f t="shared" si="13"/>
        <v>2.2845515805370105</v>
      </c>
      <c r="AH23" s="8">
        <f t="shared" si="14"/>
        <v>5.4740229429750444</v>
      </c>
      <c r="AI23" s="8">
        <f t="shared" si="15"/>
        <v>1.0258634585384641</v>
      </c>
      <c r="AJ23" s="8">
        <f t="shared" si="16"/>
        <v>2.8132416000000005</v>
      </c>
      <c r="AK23" s="8">
        <f t="shared" si="17"/>
        <v>0.45084000000000002</v>
      </c>
      <c r="AL23" s="8">
        <f t="shared" si="18"/>
        <v>0.45084000000000002</v>
      </c>
      <c r="AM23" s="8">
        <f t="shared" si="19"/>
        <v>7.5177951111777359</v>
      </c>
      <c r="AN23" s="8">
        <f t="shared" si="20"/>
        <v>3.7834655134685327</v>
      </c>
      <c r="AO23" s="8">
        <f t="shared" si="21"/>
        <v>9.0655764575966806</v>
      </c>
      <c r="AP23" s="8">
        <f t="shared" si="22"/>
        <v>1.6989412933261441</v>
      </c>
      <c r="AQ23" s="8">
        <f t="shared" si="23"/>
        <v>4.6590335999999999</v>
      </c>
      <c r="AR23" s="8">
        <f t="shared" si="24"/>
        <v>0.74663999999999997</v>
      </c>
      <c r="AS23" s="8">
        <f t="shared" si="25"/>
        <v>0.74663999999999997</v>
      </c>
      <c r="AU23" s="7">
        <f t="shared" si="44"/>
        <v>2040</v>
      </c>
      <c r="AV23" s="8">
        <f t="shared" si="26"/>
        <v>5.1837074938487451</v>
      </c>
      <c r="AW23" s="8">
        <f t="shared" si="27"/>
        <v>2.9288254143576689</v>
      </c>
      <c r="AX23" s="8">
        <f t="shared" si="28"/>
        <v>6.048744487917336</v>
      </c>
      <c r="AY23" s="8">
        <f t="shared" si="29"/>
        <v>1.1330639585384641</v>
      </c>
      <c r="AZ23" s="8">
        <f t="shared" si="30"/>
        <v>2.9289416000000004</v>
      </c>
      <c r="BA23" s="8">
        <f t="shared" si="31"/>
        <v>0.53983999999999999</v>
      </c>
      <c r="BB23" s="8">
        <f t="shared" si="32"/>
        <v>8.1620689449983939</v>
      </c>
      <c r="BC23" s="8">
        <f t="shared" si="33"/>
        <v>4.4277393472891911</v>
      </c>
      <c r="BD23" s="8">
        <f t="shared" si="34"/>
        <v>9.6402980025389731</v>
      </c>
      <c r="BE23" s="8">
        <f t="shared" si="35"/>
        <v>1.8061417933261441</v>
      </c>
      <c r="BF23" s="8">
        <f t="shared" si="36"/>
        <v>4.7747336000000002</v>
      </c>
      <c r="BG23" s="8">
        <f t="shared" si="37"/>
        <v>0.83563999999999994</v>
      </c>
      <c r="BH23" s="50"/>
      <c r="BI23" s="7">
        <f t="shared" si="45"/>
        <v>2040</v>
      </c>
      <c r="BJ23" s="8">
        <f>(('Commodity Costs Avoided Detail'!$AE21+AV23)*0.1)</f>
        <v>0.85954205760197855</v>
      </c>
      <c r="BK23" s="8">
        <f>(('Commodity Costs Avoided Detail'!$AE21+AW23)*0.1)</f>
        <v>0.63405384965287104</v>
      </c>
      <c r="BL23" s="8">
        <f>(('Commodity Costs Avoided Detail'!AE21+AX23)*0.1)</f>
        <v>0.94604575700883764</v>
      </c>
      <c r="BM23" s="8">
        <f>(('Commodity Costs Avoided Detail'!AF21+AY23)*0.1)</f>
        <v>0.43115988204476069</v>
      </c>
      <c r="BN23" s="8">
        <f>(('Commodity Costs Avoided Detail'!AG21+AZ23)*0.1)</f>
        <v>0.60830896658297506</v>
      </c>
      <c r="BO23" s="8">
        <f>(('Commodity Costs Avoided Detail'!AH21+BA23)*0.1)</f>
        <v>0.36939880658297491</v>
      </c>
      <c r="BP23" s="8">
        <f>(('Commodity Costs Avoided Detail'!AH21)*0.1)</f>
        <v>0.31541480658297494</v>
      </c>
      <c r="BQ23" s="8">
        <f>(('Commodity Costs Avoided Detail'!AE21+BB23)*0.1)</f>
        <v>1.1573782027169435</v>
      </c>
      <c r="BR23" s="8">
        <f>(('Commodity Costs Avoided Detail'!AE21+BC23)*0.1)</f>
        <v>0.7839452429460233</v>
      </c>
      <c r="BS23" s="8">
        <f>(('Commodity Costs Avoided Detail'!AE21+BD23)*0.1)</f>
        <v>1.3052011084710013</v>
      </c>
      <c r="BT23" s="8">
        <f>(('Commodity Costs Avoided Detail'!AF21+BE23)*0.1)</f>
        <v>0.49846766552352872</v>
      </c>
      <c r="BU23" s="8">
        <f>(('Commodity Costs Avoided Detail'!AG21+BF23)*0.1)</f>
        <v>0.79288816658297501</v>
      </c>
      <c r="BV23" s="8">
        <f>(('Commodity Costs Avoided Detail'!AH21+BG23)*0.1)</f>
        <v>0.39897880658297491</v>
      </c>
      <c r="BW23" s="8">
        <f>(('Commodity Costs Avoided Detail'!AH21)*0.1)</f>
        <v>0.31541480658297494</v>
      </c>
      <c r="BX23" s="50"/>
      <c r="BY23" s="52">
        <f t="shared" si="46"/>
        <v>2040</v>
      </c>
      <c r="BZ23" s="8">
        <f>'Commodity Costs Avoided Detail'!$AE21+AV23+$H23+BJ23+$G23</f>
        <v>20.811162633621763</v>
      </c>
      <c r="CA23" s="8">
        <f>'Commodity Costs Avoided Detail'!$AE21+AW23+$H23+BK23+$G23</f>
        <v>18.330792346181582</v>
      </c>
      <c r="CB23" s="8">
        <f>'Commodity Costs Avoided Detail'!AE21+AX23+$H23+BL23+G23</f>
        <v>21.762703327097217</v>
      </c>
      <c r="CC23" s="8">
        <f>'Commodity Costs Avoided Detail'!AF21+AY23+$H23+BM23+$G23</f>
        <v>16.098958702492368</v>
      </c>
      <c r="CD23" s="8">
        <f>'Commodity Costs Avoided Detail'!AG21+AZ23+$H23+BN23+$G23</f>
        <v>18.047598632412726</v>
      </c>
      <c r="CE23" s="8">
        <f>'Commodity Costs Avoided Detail'!AH21+BA23+$H23+BO23+$G23</f>
        <v>15.419586872412722</v>
      </c>
      <c r="CF23" s="8">
        <f>'Commodity Costs Avoided Detail'!AH21+$H23+BP23+$G23</f>
        <v>14.825762872412724</v>
      </c>
      <c r="CG23" s="8">
        <f>'Commodity Costs Avoided Detail'!$AE21+BB23+$K23+BQ23+$G23</f>
        <v>19.842321604783713</v>
      </c>
      <c r="CH23" s="8">
        <f>'Commodity Costs Avoided Detail'!$AE21+BC23+$K23+BR23+$G23</f>
        <v>15.734559047303591</v>
      </c>
      <c r="CI23" s="8">
        <f>'Commodity Costs Avoided Detail'!AE21+BD23+$K23+BS23+$G23</f>
        <v>21.468373568078352</v>
      </c>
      <c r="CJ23" s="8">
        <f>'Commodity Costs Avoided Detail'!AF21+BE23+$K23+BT23+$G23</f>
        <v>12.594305695656153</v>
      </c>
      <c r="CK23" s="8">
        <f>'Commodity Costs Avoided Detail'!AG21+BF23+$K23+BU23+$G23</f>
        <v>15.832931207310061</v>
      </c>
      <c r="CL23" s="8">
        <f>'Commodity Costs Avoided Detail'!AH21+BG23+$K23+BV23+$G23</f>
        <v>11.499928247310059</v>
      </c>
      <c r="CM23" s="8">
        <f>'Commodity Costs Avoided Detail'!AH21+$K23+BW23+$G23</f>
        <v>10.580724247310059</v>
      </c>
    </row>
    <row r="24" spans="1:111" ht="13.8" customHeight="1" x14ac:dyDescent="0.3">
      <c r="A24" s="88">
        <f t="shared" si="40"/>
        <v>2041</v>
      </c>
      <c r="B24" s="91">
        <v>8.8999999999999996E-2</v>
      </c>
      <c r="C24" s="167">
        <v>0.74663999999999997</v>
      </c>
      <c r="D24" s="168">
        <v>0.45084000000000002</v>
      </c>
      <c r="E24" s="170">
        <v>0.48499999999999999</v>
      </c>
      <c r="F24" s="87">
        <f>'Commodity Costs Avoided Detail'!N22</f>
        <v>3.18772380424552</v>
      </c>
      <c r="G24" s="156">
        <v>0.5202</v>
      </c>
      <c r="H24" s="136">
        <v>10.35</v>
      </c>
      <c r="I24" s="144">
        <f>'Greenhouse Gas Costs Avoided De'!J21</f>
        <v>5.5879394400000004</v>
      </c>
      <c r="J24" s="146">
        <v>12.52807940166154</v>
      </c>
      <c r="K24" s="174">
        <f>'Greenhouse Gas Costs Avoided De'!O21</f>
        <v>6.6685020969549527</v>
      </c>
      <c r="L24" s="150">
        <v>1.63</v>
      </c>
      <c r="M24" s="154">
        <f t="shared" si="41"/>
        <v>2.5157232704402396E-2</v>
      </c>
      <c r="N24" s="141">
        <v>125</v>
      </c>
      <c r="O24" s="21">
        <f t="shared" si="42"/>
        <v>2041</v>
      </c>
      <c r="P24" s="8">
        <f t="shared" ref="P24:Q33" si="58">($B24*$H$39*365)</f>
        <v>0.6442738338206585</v>
      </c>
      <c r="Q24" s="8">
        <f t="shared" si="58"/>
        <v>0.6442738338206585</v>
      </c>
      <c r="R24" s="8">
        <f t="shared" ref="R24:R33" si="59">($B24*$H$40*365)</f>
        <v>0.57472154494229177</v>
      </c>
      <c r="S24" s="8">
        <f t="shared" ref="S24:S33" si="60">($B24*$H$41*365)</f>
        <v>0.10720049999999999</v>
      </c>
      <c r="T24" s="8">
        <f t="shared" ref="T24:T33" si="61">($B24*$H$42*365)</f>
        <v>0.11570000000000001</v>
      </c>
      <c r="U24" s="8">
        <f t="shared" ref="U24:U33" si="62">($B24*$H$43*365)</f>
        <v>8.8999999999999996E-2</v>
      </c>
      <c r="V24" s="8">
        <f t="shared" ref="V24:V33" si="63">U24</f>
        <v>8.8999999999999996E-2</v>
      </c>
      <c r="W24" s="8">
        <f t="shared" ref="W24:X33" si="64">($B24*$H$39*365)</f>
        <v>0.6442738338206585</v>
      </c>
      <c r="X24" s="8">
        <f t="shared" si="64"/>
        <v>0.6442738338206585</v>
      </c>
      <c r="Y24" s="8">
        <f t="shared" ref="Y24:Y33" si="65">($B24*$H$40*365)</f>
        <v>0.57472154494229177</v>
      </c>
      <c r="Z24" s="8">
        <f t="shared" ref="Z24:Z33" si="66">($B24*$H$41*365)</f>
        <v>0.10720049999999999</v>
      </c>
      <c r="AA24" s="8">
        <f t="shared" ref="AA24:AA33" si="67">($B24*$H$42*365)</f>
        <v>0.11570000000000001</v>
      </c>
      <c r="AB24" s="8">
        <f t="shared" ref="AB24:AB33" si="68">($B24*$H$43*365)</f>
        <v>8.8999999999999996E-2</v>
      </c>
      <c r="AC24" s="9">
        <f t="shared" ref="AC24:AC33" si="69">AB24</f>
        <v>8.8999999999999996E-2</v>
      </c>
      <c r="AD24" s="50"/>
      <c r="AE24" s="7">
        <f t="shared" si="43"/>
        <v>2041</v>
      </c>
      <c r="AF24" s="8">
        <f t="shared" ref="AF24:AF33" si="70">($D24*$H$46*8760)</f>
        <v>4.5394336600280862</v>
      </c>
      <c r="AG24" s="8">
        <f t="shared" ref="AG24:AG33" si="71">($D24*$H$47*8760)</f>
        <v>2.2845515805370105</v>
      </c>
      <c r="AH24" s="8">
        <f t="shared" ref="AH24:AH33" si="72">($D24*$H$48*8760)</f>
        <v>5.4740229429750444</v>
      </c>
      <c r="AI24" s="8">
        <f t="shared" ref="AI24:AI33" si="73">($D24*$H$49*8760)</f>
        <v>1.0258634585384641</v>
      </c>
      <c r="AJ24" s="8">
        <f t="shared" ref="AJ24:AJ33" si="74">($D24*$H$50*8760)</f>
        <v>2.8132416000000005</v>
      </c>
      <c r="AK24" s="8">
        <f t="shared" ref="AK24:AK33" si="75">($D24*$H$51*8760)</f>
        <v>0.45084000000000002</v>
      </c>
      <c r="AL24" s="8">
        <f t="shared" ref="AL24:AL33" si="76">AK24</f>
        <v>0.45084000000000002</v>
      </c>
      <c r="AM24" s="8">
        <f t="shared" ref="AM24:AM33" si="77">($C24*$H$46*8760)</f>
        <v>7.5177951111777359</v>
      </c>
      <c r="AN24" s="8">
        <f t="shared" ref="AN24:AN33" si="78">($C24*$H$47*8760)</f>
        <v>3.7834655134685327</v>
      </c>
      <c r="AO24" s="8">
        <f t="shared" ref="AO24:AO33" si="79">($C24*$H$48*8760)</f>
        <v>9.0655764575966806</v>
      </c>
      <c r="AP24" s="8">
        <f t="shared" ref="AP24:AP33" si="80">($C24*$H$49*8760)</f>
        <v>1.6989412933261441</v>
      </c>
      <c r="AQ24" s="8">
        <f t="shared" ref="AQ24:AQ33" si="81">($C24*$H$50*8760)</f>
        <v>4.6590335999999999</v>
      </c>
      <c r="AR24" s="8">
        <f t="shared" ref="AR24:AR33" si="82">($C24*$H$51*8760)</f>
        <v>0.74663999999999997</v>
      </c>
      <c r="AS24" s="8">
        <f t="shared" ref="AS24:AS33" si="83">AR24</f>
        <v>0.74663999999999997</v>
      </c>
      <c r="AU24" s="7">
        <f t="shared" si="44"/>
        <v>2041</v>
      </c>
      <c r="AV24" s="8">
        <f t="shared" ref="AV24:AV33" si="84">AF24+P24</f>
        <v>5.1837074938487451</v>
      </c>
      <c r="AW24" s="8">
        <f t="shared" ref="AW24:AW33" si="85">AG24+Q24</f>
        <v>2.9288254143576689</v>
      </c>
      <c r="AX24" s="8">
        <f t="shared" ref="AX24:AX33" si="86">AH24+R24</f>
        <v>6.048744487917336</v>
      </c>
      <c r="AY24" s="8">
        <f t="shared" ref="AY24:AY33" si="87">AI24+S24</f>
        <v>1.1330639585384641</v>
      </c>
      <c r="AZ24" s="8">
        <f t="shared" ref="AZ24:AZ33" si="88">AJ24+T24</f>
        <v>2.9289416000000004</v>
      </c>
      <c r="BA24" s="8">
        <f t="shared" ref="BA24:BA33" si="89">AK24+U24</f>
        <v>0.53983999999999999</v>
      </c>
      <c r="BB24" s="8">
        <f t="shared" ref="BB24:BB33" si="90">AM24+W24</f>
        <v>8.1620689449983939</v>
      </c>
      <c r="BC24" s="8">
        <f t="shared" ref="BC24:BC33" si="91">AN24+X24</f>
        <v>4.4277393472891911</v>
      </c>
      <c r="BD24" s="8">
        <f t="shared" ref="BD24:BD33" si="92">AO24+Y24</f>
        <v>9.6402980025389731</v>
      </c>
      <c r="BE24" s="8">
        <f t="shared" ref="BE24:BE33" si="93">AP24+Z24</f>
        <v>1.8061417933261441</v>
      </c>
      <c r="BF24" s="8">
        <f t="shared" ref="BF24:BF33" si="94">AQ24+AA24</f>
        <v>4.7747336000000002</v>
      </c>
      <c r="BG24" s="8">
        <f t="shared" ref="BG24:BG33" si="95">AR24+AB24</f>
        <v>0.83563999999999994</v>
      </c>
      <c r="BH24" s="50"/>
      <c r="BI24" s="7">
        <f t="shared" si="45"/>
        <v>2041</v>
      </c>
      <c r="BJ24" s="8">
        <f>(('Commodity Costs Avoided Detail'!$AE22+AV24)*0.1)</f>
        <v>0.86564791590415424</v>
      </c>
      <c r="BK24" s="8">
        <f>(('Commodity Costs Avoided Detail'!$AE22+AW24)*0.1)</f>
        <v>0.64015970795504673</v>
      </c>
      <c r="BL24" s="8">
        <f>(('Commodity Costs Avoided Detail'!AE22+AX24)*0.1)</f>
        <v>0.95215161531101333</v>
      </c>
      <c r="BM24" s="8">
        <f>(('Commodity Costs Avoided Detail'!AF22+AY24)*0.1)</f>
        <v>0.43513872428695155</v>
      </c>
      <c r="BN24" s="8">
        <f>(('Commodity Costs Avoided Detail'!AG22+AZ24)*0.1)</f>
        <v>0.61166654042455215</v>
      </c>
      <c r="BO24" s="8">
        <f>(('Commodity Costs Avoided Detail'!AH22+BA24)*0.1)</f>
        <v>0.37275638042455206</v>
      </c>
      <c r="BP24" s="8">
        <f>(('Commodity Costs Avoided Detail'!AH22)*0.1)</f>
        <v>0.31877238042455208</v>
      </c>
      <c r="BQ24" s="8">
        <f>(('Commodity Costs Avoided Detail'!AE22+BB24)*0.1)</f>
        <v>1.1634840610191191</v>
      </c>
      <c r="BR24" s="8">
        <f>(('Commodity Costs Avoided Detail'!AE22+BC24)*0.1)</f>
        <v>0.79005110124819888</v>
      </c>
      <c r="BS24" s="8">
        <f>(('Commodity Costs Avoided Detail'!AE22+BD24)*0.1)</f>
        <v>1.3113069667731772</v>
      </c>
      <c r="BT24" s="8">
        <f>(('Commodity Costs Avoided Detail'!AF22+BE24)*0.1)</f>
        <v>0.50244650776571953</v>
      </c>
      <c r="BU24" s="8">
        <f>(('Commodity Costs Avoided Detail'!AG22+BF24)*0.1)</f>
        <v>0.79624574042455221</v>
      </c>
      <c r="BV24" s="8">
        <f>(('Commodity Costs Avoided Detail'!AH22+BG24)*0.1)</f>
        <v>0.40233638042455211</v>
      </c>
      <c r="BW24" s="8">
        <f>(('Commodity Costs Avoided Detail'!AH22)*0.1)</f>
        <v>0.31877238042455208</v>
      </c>
      <c r="BX24" s="50"/>
      <c r="BY24" s="52">
        <f t="shared" si="46"/>
        <v>2041</v>
      </c>
      <c r="BZ24" s="8">
        <f>'Commodity Costs Avoided Detail'!$AE22+AV24+$H24+BJ24+$G24</f>
        <v>20.392327074945694</v>
      </c>
      <c r="CA24" s="8">
        <f>'Commodity Costs Avoided Detail'!$AE22+AW24+$H24+BK24+$G24</f>
        <v>17.91195678750551</v>
      </c>
      <c r="CB24" s="8">
        <f>'Commodity Costs Avoided Detail'!AE22+AX24+$H24+BL24+G24</f>
        <v>21.343867768421145</v>
      </c>
      <c r="CC24" s="8">
        <f>'Commodity Costs Avoided Detail'!AF22+AY24+$H24+BM24+$G24</f>
        <v>15.656725967156465</v>
      </c>
      <c r="CD24" s="8">
        <f>'Commodity Costs Avoided Detail'!AG22+AZ24+$H24+BN24+$G24</f>
        <v>17.598531944670071</v>
      </c>
      <c r="CE24" s="8">
        <f>'Commodity Costs Avoided Detail'!AH22+BA24+$H24+BO24+$G24</f>
        <v>14.970520184670072</v>
      </c>
      <c r="CF24" s="8">
        <f>'Commodity Costs Avoided Detail'!AH22+$H24+BP24+$G24</f>
        <v>14.37669618467007</v>
      </c>
      <c r="CG24" s="8">
        <f>'Commodity Costs Avoided Detail'!$AE22+BB24+$K24+BQ24+$G24</f>
        <v>19.987026768165261</v>
      </c>
      <c r="CH24" s="8">
        <f>'Commodity Costs Avoided Detail'!$AE22+BC24+$K24+BR24+$G24</f>
        <v>15.87926421068514</v>
      </c>
      <c r="CI24" s="8">
        <f>'Commodity Costs Avoided Detail'!AE22+BD24+$K24+BS24+$G24</f>
        <v>21.6130787314599</v>
      </c>
      <c r="CJ24" s="8">
        <f>'Commodity Costs Avoided Detail'!AF22+BE24+$K24+BT24+$G24</f>
        <v>12.715613682377867</v>
      </c>
      <c r="CK24" s="8">
        <f>'Commodity Costs Avoided Detail'!AG22+BF24+$K24+BU24+$G24</f>
        <v>15.947405241625027</v>
      </c>
      <c r="CL24" s="8">
        <f>'Commodity Costs Avoided Detail'!AH22+BG24+$K24+BV24+$G24</f>
        <v>11.614402281625026</v>
      </c>
      <c r="CM24" s="8">
        <f>'Commodity Costs Avoided Detail'!AH22+$K24+BW24+$G24</f>
        <v>10.695198281625025</v>
      </c>
    </row>
    <row r="25" spans="1:111" ht="13.8" customHeight="1" x14ac:dyDescent="0.3">
      <c r="A25" s="89">
        <f t="shared" si="40"/>
        <v>2042</v>
      </c>
      <c r="B25" s="91">
        <v>8.8999999999999996E-2</v>
      </c>
      <c r="C25" s="167">
        <v>0.74663999999999997</v>
      </c>
      <c r="D25" s="168">
        <v>0.45084000000000002</v>
      </c>
      <c r="E25" s="170">
        <v>0.48499999999999999</v>
      </c>
      <c r="F25" s="87">
        <f>'Commodity Costs Avoided Detail'!N23</f>
        <v>3.2047457862777775</v>
      </c>
      <c r="G25" s="156">
        <v>0.5202</v>
      </c>
      <c r="H25" s="136">
        <v>9.8870000000000005</v>
      </c>
      <c r="I25" s="144">
        <f>'Greenhouse Gas Costs Avoided De'!J22</f>
        <v>5.6529154800000008</v>
      </c>
      <c r="J25" s="146">
        <v>12.716877153677968</v>
      </c>
      <c r="K25" s="174">
        <f>'Greenhouse Gas Costs Avoided De'!O22</f>
        <v>6.7460428190125681</v>
      </c>
      <c r="L25" s="150">
        <v>1.66</v>
      </c>
      <c r="M25" s="154">
        <f t="shared" si="41"/>
        <v>1.8404907975460141E-2</v>
      </c>
      <c r="N25" s="141">
        <v>126</v>
      </c>
      <c r="O25" s="21">
        <f t="shared" si="42"/>
        <v>2042</v>
      </c>
      <c r="P25" s="8">
        <f t="shared" si="58"/>
        <v>0.6442738338206585</v>
      </c>
      <c r="Q25" s="8">
        <f t="shared" si="58"/>
        <v>0.6442738338206585</v>
      </c>
      <c r="R25" s="8">
        <f t="shared" si="59"/>
        <v>0.57472154494229177</v>
      </c>
      <c r="S25" s="8">
        <f t="shared" si="60"/>
        <v>0.10720049999999999</v>
      </c>
      <c r="T25" s="8">
        <f t="shared" si="61"/>
        <v>0.11570000000000001</v>
      </c>
      <c r="U25" s="8">
        <f t="shared" si="62"/>
        <v>8.8999999999999996E-2</v>
      </c>
      <c r="V25" s="8">
        <f t="shared" si="63"/>
        <v>8.8999999999999996E-2</v>
      </c>
      <c r="W25" s="8">
        <f t="shared" si="64"/>
        <v>0.6442738338206585</v>
      </c>
      <c r="X25" s="8">
        <f t="shared" si="64"/>
        <v>0.6442738338206585</v>
      </c>
      <c r="Y25" s="8">
        <f t="shared" si="65"/>
        <v>0.57472154494229177</v>
      </c>
      <c r="Z25" s="8">
        <f t="shared" si="66"/>
        <v>0.10720049999999999</v>
      </c>
      <c r="AA25" s="8">
        <f t="shared" si="67"/>
        <v>0.11570000000000001</v>
      </c>
      <c r="AB25" s="8">
        <f t="shared" si="68"/>
        <v>8.8999999999999996E-2</v>
      </c>
      <c r="AC25" s="9">
        <f t="shared" si="69"/>
        <v>8.8999999999999996E-2</v>
      </c>
      <c r="AD25" s="50"/>
      <c r="AE25" s="7">
        <f t="shared" si="43"/>
        <v>2042</v>
      </c>
      <c r="AF25" s="8">
        <f t="shared" si="70"/>
        <v>4.5394336600280862</v>
      </c>
      <c r="AG25" s="8">
        <f t="shared" si="71"/>
        <v>2.2845515805370105</v>
      </c>
      <c r="AH25" s="8">
        <f t="shared" si="72"/>
        <v>5.4740229429750444</v>
      </c>
      <c r="AI25" s="8">
        <f t="shared" si="73"/>
        <v>1.0258634585384641</v>
      </c>
      <c r="AJ25" s="8">
        <f t="shared" si="74"/>
        <v>2.8132416000000005</v>
      </c>
      <c r="AK25" s="8">
        <f t="shared" si="75"/>
        <v>0.45084000000000002</v>
      </c>
      <c r="AL25" s="8">
        <f t="shared" si="76"/>
        <v>0.45084000000000002</v>
      </c>
      <c r="AM25" s="8">
        <f t="shared" si="77"/>
        <v>7.5177951111777359</v>
      </c>
      <c r="AN25" s="8">
        <f t="shared" si="78"/>
        <v>3.7834655134685327</v>
      </c>
      <c r="AO25" s="8">
        <f t="shared" si="79"/>
        <v>9.0655764575966806</v>
      </c>
      <c r="AP25" s="8">
        <f t="shared" si="80"/>
        <v>1.6989412933261441</v>
      </c>
      <c r="AQ25" s="8">
        <f t="shared" si="81"/>
        <v>4.6590335999999999</v>
      </c>
      <c r="AR25" s="8">
        <f t="shared" si="82"/>
        <v>0.74663999999999997</v>
      </c>
      <c r="AS25" s="8">
        <f t="shared" si="83"/>
        <v>0.74663999999999997</v>
      </c>
      <c r="AU25" s="7">
        <f t="shared" si="44"/>
        <v>2042</v>
      </c>
      <c r="AV25" s="8">
        <f t="shared" si="84"/>
        <v>5.1837074938487451</v>
      </c>
      <c r="AW25" s="8">
        <f t="shared" si="85"/>
        <v>2.9288254143576689</v>
      </c>
      <c r="AX25" s="8">
        <f t="shared" si="86"/>
        <v>6.048744487917336</v>
      </c>
      <c r="AY25" s="8">
        <f t="shared" si="87"/>
        <v>1.1330639585384641</v>
      </c>
      <c r="AZ25" s="8">
        <f t="shared" si="88"/>
        <v>2.9289416000000004</v>
      </c>
      <c r="BA25" s="8">
        <f t="shared" si="89"/>
        <v>0.53983999999999999</v>
      </c>
      <c r="BB25" s="8">
        <f t="shared" si="90"/>
        <v>8.1620689449983939</v>
      </c>
      <c r="BC25" s="8">
        <f t="shared" si="91"/>
        <v>4.4277393472891911</v>
      </c>
      <c r="BD25" s="8">
        <f t="shared" si="92"/>
        <v>9.6402980025389731</v>
      </c>
      <c r="BE25" s="8">
        <f t="shared" si="93"/>
        <v>1.8061417933261441</v>
      </c>
      <c r="BF25" s="8">
        <f t="shared" si="94"/>
        <v>4.7747336000000002</v>
      </c>
      <c r="BG25" s="8">
        <f t="shared" si="95"/>
        <v>0.83563999999999994</v>
      </c>
      <c r="BH25" s="50"/>
      <c r="BI25" s="7">
        <f t="shared" si="45"/>
        <v>2042</v>
      </c>
      <c r="BJ25" s="8">
        <f>(('Commodity Costs Avoided Detail'!$AE23+AV25)*0.1)</f>
        <v>0.86543784264835222</v>
      </c>
      <c r="BK25" s="8">
        <f>(('Commodity Costs Avoided Detail'!$AE23+AW25)*0.1)</f>
        <v>0.63994963469924449</v>
      </c>
      <c r="BL25" s="8">
        <f>(('Commodity Costs Avoided Detail'!AE23+AX25)*0.1)</f>
        <v>0.95194154205521109</v>
      </c>
      <c r="BM25" s="8">
        <f>(('Commodity Costs Avoided Detail'!AF23+AY25)*0.1)</f>
        <v>0.43652606399392058</v>
      </c>
      <c r="BN25" s="8">
        <f>(('Commodity Costs Avoided Detail'!AG23+AZ25)*0.1)</f>
        <v>0.61336873862777785</v>
      </c>
      <c r="BO25" s="8">
        <f>(('Commodity Costs Avoided Detail'!AH23+BA25)*0.1)</f>
        <v>0.37445857862777771</v>
      </c>
      <c r="BP25" s="8">
        <f>(('Commodity Costs Avoided Detail'!AH23)*0.1)</f>
        <v>0.32047457862777773</v>
      </c>
      <c r="BQ25" s="8">
        <f>(('Commodity Costs Avoided Detail'!AE23+BB25)*0.1)</f>
        <v>1.1632739877633171</v>
      </c>
      <c r="BR25" s="8">
        <f>(('Commodity Costs Avoided Detail'!AE23+BC25)*0.1)</f>
        <v>0.78984102799239675</v>
      </c>
      <c r="BS25" s="8">
        <f>(('Commodity Costs Avoided Detail'!AE23+BD25)*0.1)</f>
        <v>1.3110968935173748</v>
      </c>
      <c r="BT25" s="8">
        <f>(('Commodity Costs Avoided Detail'!AF23+BE25)*0.1)</f>
        <v>0.50383384747268856</v>
      </c>
      <c r="BU25" s="8">
        <f>(('Commodity Costs Avoided Detail'!AG23+BF25)*0.1)</f>
        <v>0.7979479386277778</v>
      </c>
      <c r="BV25" s="8">
        <f>(('Commodity Costs Avoided Detail'!AH23+BG25)*0.1)</f>
        <v>0.4040385786277777</v>
      </c>
      <c r="BW25" s="8">
        <f>(('Commodity Costs Avoided Detail'!AH23)*0.1)</f>
        <v>0.32047457862777773</v>
      </c>
      <c r="BX25" s="50"/>
      <c r="BY25" s="52">
        <f t="shared" si="46"/>
        <v>2042</v>
      </c>
      <c r="BZ25" s="8">
        <f>'Commodity Costs Avoided Detail'!$AE23+AV25+$H25+BJ25+$G25</f>
        <v>19.927016269131872</v>
      </c>
      <c r="CA25" s="8">
        <f>'Commodity Costs Avoided Detail'!$AE23+AW25+$H25+BK25+$G25</f>
        <v>17.446645981691688</v>
      </c>
      <c r="CB25" s="8">
        <f>'Commodity Costs Avoided Detail'!AE23+AX25+$H25+BL25+G25</f>
        <v>20.878556962607323</v>
      </c>
      <c r="CC25" s="8">
        <f>'Commodity Costs Avoided Detail'!AF23+AY25+$H25+BM25+$G25</f>
        <v>15.208986703933125</v>
      </c>
      <c r="CD25" s="8">
        <f>'Commodity Costs Avoided Detail'!AG23+AZ25+$H25+BN25+$G25</f>
        <v>17.154256124905555</v>
      </c>
      <c r="CE25" s="8">
        <f>'Commodity Costs Avoided Detail'!AH23+BA25+$H25+BO25+$G25</f>
        <v>14.526244364905555</v>
      </c>
      <c r="CF25" s="8">
        <f>'Commodity Costs Avoided Detail'!AH23+$H25+BP25+$G25</f>
        <v>13.932420364905553</v>
      </c>
      <c r="CG25" s="8">
        <f>'Commodity Costs Avoided Detail'!$AE23+BB25+$K25+BQ25+$G25</f>
        <v>20.062256684409057</v>
      </c>
      <c r="CH25" s="8">
        <f>'Commodity Costs Avoided Detail'!$AE23+BC25+$K25+BR25+$G25</f>
        <v>15.954494126928932</v>
      </c>
      <c r="CI25" s="8">
        <f>'Commodity Costs Avoided Detail'!AE23+BD25+$K25+BS25+$G25</f>
        <v>21.688308647703689</v>
      </c>
      <c r="CJ25" s="8">
        <f>'Commodity Costs Avoided Detail'!AF23+BE25+$K25+BT25+$G25</f>
        <v>12.808415141212141</v>
      </c>
      <c r="CK25" s="8">
        <f>'Commodity Costs Avoided Detail'!AG23+BF25+$K25+BU25+$G25</f>
        <v>16.043670143918124</v>
      </c>
      <c r="CL25" s="8">
        <f>'Commodity Costs Avoided Detail'!AH23+BG25+$K25+BV25+$G25</f>
        <v>11.710667183918122</v>
      </c>
      <c r="CM25" s="8">
        <f>'Commodity Costs Avoided Detail'!AH23+$K25+BW25+$G25</f>
        <v>10.791463183918122</v>
      </c>
    </row>
    <row r="26" spans="1:111" ht="13.8" customHeight="1" x14ac:dyDescent="0.3">
      <c r="A26" s="88">
        <f t="shared" si="40"/>
        <v>2043</v>
      </c>
      <c r="B26" s="91">
        <v>8.8999999999999996E-2</v>
      </c>
      <c r="C26" s="167">
        <v>0.74663999999999997</v>
      </c>
      <c r="D26" s="168">
        <v>0.45084000000000002</v>
      </c>
      <c r="E26" s="170">
        <v>0.48499999999999999</v>
      </c>
      <c r="F26" s="87">
        <f>'Commodity Costs Avoided Detail'!N24</f>
        <v>3.3019044580143366</v>
      </c>
      <c r="G26" s="156">
        <v>0.5202</v>
      </c>
      <c r="H26" s="136">
        <v>9.3360000000000003</v>
      </c>
      <c r="I26" s="144">
        <f>'Greenhouse Gas Costs Avoided De'!J23</f>
        <v>5.7178915200000011</v>
      </c>
      <c r="J26" s="146">
        <v>12.905674905694397</v>
      </c>
      <c r="K26" s="174">
        <f>'Greenhouse Gas Costs Avoided De'!O23</f>
        <v>6.8235835410701844</v>
      </c>
      <c r="L26" s="150">
        <v>1.7</v>
      </c>
      <c r="M26" s="154">
        <f t="shared" si="41"/>
        <v>2.4096385542168697E-2</v>
      </c>
      <c r="N26" s="141">
        <v>127</v>
      </c>
      <c r="O26" s="21">
        <f t="shared" si="42"/>
        <v>2043</v>
      </c>
      <c r="P26" s="8">
        <f t="shared" si="58"/>
        <v>0.6442738338206585</v>
      </c>
      <c r="Q26" s="8">
        <f t="shared" si="58"/>
        <v>0.6442738338206585</v>
      </c>
      <c r="R26" s="8">
        <f t="shared" si="59"/>
        <v>0.57472154494229177</v>
      </c>
      <c r="S26" s="8">
        <f t="shared" si="60"/>
        <v>0.10720049999999999</v>
      </c>
      <c r="T26" s="8">
        <f t="shared" si="61"/>
        <v>0.11570000000000001</v>
      </c>
      <c r="U26" s="8">
        <f t="shared" si="62"/>
        <v>8.8999999999999996E-2</v>
      </c>
      <c r="V26" s="8">
        <f t="shared" si="63"/>
        <v>8.8999999999999996E-2</v>
      </c>
      <c r="W26" s="8">
        <f t="shared" si="64"/>
        <v>0.6442738338206585</v>
      </c>
      <c r="X26" s="8">
        <f t="shared" si="64"/>
        <v>0.6442738338206585</v>
      </c>
      <c r="Y26" s="8">
        <f t="shared" si="65"/>
        <v>0.57472154494229177</v>
      </c>
      <c r="Z26" s="8">
        <f t="shared" si="66"/>
        <v>0.10720049999999999</v>
      </c>
      <c r="AA26" s="8">
        <f t="shared" si="67"/>
        <v>0.11570000000000001</v>
      </c>
      <c r="AB26" s="8">
        <f t="shared" si="68"/>
        <v>8.8999999999999996E-2</v>
      </c>
      <c r="AC26" s="9">
        <f t="shared" si="69"/>
        <v>8.8999999999999996E-2</v>
      </c>
      <c r="AD26" s="50"/>
      <c r="AE26" s="7">
        <f t="shared" si="43"/>
        <v>2043</v>
      </c>
      <c r="AF26" s="8">
        <f t="shared" si="70"/>
        <v>4.5394336600280862</v>
      </c>
      <c r="AG26" s="8">
        <f t="shared" si="71"/>
        <v>2.2845515805370105</v>
      </c>
      <c r="AH26" s="8">
        <f t="shared" si="72"/>
        <v>5.4740229429750444</v>
      </c>
      <c r="AI26" s="8">
        <f t="shared" si="73"/>
        <v>1.0258634585384641</v>
      </c>
      <c r="AJ26" s="8">
        <f t="shared" si="74"/>
        <v>2.8132416000000005</v>
      </c>
      <c r="AK26" s="8">
        <f t="shared" si="75"/>
        <v>0.45084000000000002</v>
      </c>
      <c r="AL26" s="8">
        <f t="shared" si="76"/>
        <v>0.45084000000000002</v>
      </c>
      <c r="AM26" s="8">
        <f t="shared" si="77"/>
        <v>7.5177951111777359</v>
      </c>
      <c r="AN26" s="8">
        <f t="shared" si="78"/>
        <v>3.7834655134685327</v>
      </c>
      <c r="AO26" s="8">
        <f t="shared" si="79"/>
        <v>9.0655764575966806</v>
      </c>
      <c r="AP26" s="8">
        <f t="shared" si="80"/>
        <v>1.6989412933261441</v>
      </c>
      <c r="AQ26" s="8">
        <f t="shared" si="81"/>
        <v>4.6590335999999999</v>
      </c>
      <c r="AR26" s="8">
        <f t="shared" si="82"/>
        <v>0.74663999999999997</v>
      </c>
      <c r="AS26" s="8">
        <f t="shared" si="83"/>
        <v>0.74663999999999997</v>
      </c>
      <c r="AU26" s="7">
        <f t="shared" si="44"/>
        <v>2043</v>
      </c>
      <c r="AV26" s="8">
        <f t="shared" si="84"/>
        <v>5.1837074938487451</v>
      </c>
      <c r="AW26" s="8">
        <f t="shared" si="85"/>
        <v>2.9288254143576689</v>
      </c>
      <c r="AX26" s="8">
        <f t="shared" si="86"/>
        <v>6.048744487917336</v>
      </c>
      <c r="AY26" s="8">
        <f t="shared" si="87"/>
        <v>1.1330639585384641</v>
      </c>
      <c r="AZ26" s="8">
        <f t="shared" si="88"/>
        <v>2.9289416000000004</v>
      </c>
      <c r="BA26" s="8">
        <f t="shared" si="89"/>
        <v>0.53983999999999999</v>
      </c>
      <c r="BB26" s="8">
        <f t="shared" si="90"/>
        <v>8.1620689449983939</v>
      </c>
      <c r="BC26" s="8">
        <f t="shared" si="91"/>
        <v>4.4277393472891911</v>
      </c>
      <c r="BD26" s="8">
        <f t="shared" si="92"/>
        <v>9.6402980025389731</v>
      </c>
      <c r="BE26" s="8">
        <f t="shared" si="93"/>
        <v>1.8061417933261441</v>
      </c>
      <c r="BF26" s="8">
        <f t="shared" si="94"/>
        <v>4.7747336000000002</v>
      </c>
      <c r="BG26" s="8">
        <f t="shared" si="95"/>
        <v>0.83563999999999994</v>
      </c>
      <c r="BH26" s="50"/>
      <c r="BI26" s="7">
        <f t="shared" si="45"/>
        <v>2043</v>
      </c>
      <c r="BJ26" s="8">
        <f>(('Commodity Costs Avoided Detail'!$AE24+AV26)*0.1)</f>
        <v>0.87284159199401756</v>
      </c>
      <c r="BK26" s="8">
        <f>(('Commodity Costs Avoided Detail'!$AE24+AW26)*0.1)</f>
        <v>0.64735338404491005</v>
      </c>
      <c r="BL26" s="8">
        <f>(('Commodity Costs Avoided Detail'!AE24+AX26)*0.1)</f>
        <v>0.95934529140087688</v>
      </c>
      <c r="BM26" s="8">
        <f>(('Commodity Costs Avoided Detail'!AF24+AY26)*0.1)</f>
        <v>0.44580592063629382</v>
      </c>
      <c r="BN26" s="8">
        <f>(('Commodity Costs Avoided Detail'!AG24+AZ26)*0.1)</f>
        <v>0.62308460580143388</v>
      </c>
      <c r="BO26" s="8">
        <f>(('Commodity Costs Avoided Detail'!AH24+BA26)*0.1)</f>
        <v>0.38417444580143378</v>
      </c>
      <c r="BP26" s="8">
        <f>(('Commodity Costs Avoided Detail'!AH24)*0.1)</f>
        <v>0.33019044580143375</v>
      </c>
      <c r="BQ26" s="8">
        <f>(('Commodity Costs Avoided Detail'!AE24+BB26)*0.1)</f>
        <v>1.1706777371089825</v>
      </c>
      <c r="BR26" s="8">
        <f>(('Commodity Costs Avoided Detail'!AE24+BC26)*0.1)</f>
        <v>0.79724477733806232</v>
      </c>
      <c r="BS26" s="8">
        <f>(('Commodity Costs Avoided Detail'!AE24+BD26)*0.1)</f>
        <v>1.3185006428630406</v>
      </c>
      <c r="BT26" s="8">
        <f>(('Commodity Costs Avoided Detail'!AF24+BE26)*0.1)</f>
        <v>0.51311370411506185</v>
      </c>
      <c r="BU26" s="8">
        <f>(('Commodity Costs Avoided Detail'!AG24+BF26)*0.1)</f>
        <v>0.80766380580143382</v>
      </c>
      <c r="BV26" s="8">
        <f>(('Commodity Costs Avoided Detail'!AH24+BG26)*0.1)</f>
        <v>0.41375444580143378</v>
      </c>
      <c r="BW26" s="8">
        <f>(('Commodity Costs Avoided Detail'!AH24)*0.1)</f>
        <v>0.33019044580143375</v>
      </c>
      <c r="BX26" s="50"/>
      <c r="BY26" s="52">
        <f t="shared" si="46"/>
        <v>2043</v>
      </c>
      <c r="BZ26" s="8">
        <f>'Commodity Costs Avoided Detail'!$AE24+AV26+$H26+BJ26+$G26</f>
        <v>19.457457511934191</v>
      </c>
      <c r="CA26" s="8">
        <f>'Commodity Costs Avoided Detail'!$AE24+AW26+$H26+BK26+$G26</f>
        <v>16.97708722449401</v>
      </c>
      <c r="CB26" s="8">
        <f>'Commodity Costs Avoided Detail'!AE24+AX26+$H26+BL26+G26</f>
        <v>20.408998205409645</v>
      </c>
      <c r="CC26" s="8">
        <f>'Commodity Costs Avoided Detail'!AF24+AY26+$H26+BM26+$G26</f>
        <v>14.760065126999233</v>
      </c>
      <c r="CD26" s="8">
        <f>'Commodity Costs Avoided Detail'!AG24+AZ26+$H26+BN26+$G26</f>
        <v>16.710130663815772</v>
      </c>
      <c r="CE26" s="8">
        <f>'Commodity Costs Avoided Detail'!AH24+BA26+$H26+BO26+$G26</f>
        <v>14.082118903815772</v>
      </c>
      <c r="CF26" s="8">
        <f>'Commodity Costs Avoided Detail'!AH24+$H26+BP26+$G26</f>
        <v>13.48829490381577</v>
      </c>
      <c r="CG26" s="8">
        <f>'Commodity Costs Avoided Detail'!$AE24+BB26+$K26+BQ26+$G26</f>
        <v>20.22123864926899</v>
      </c>
      <c r="CH26" s="8">
        <f>'Commodity Costs Avoided Detail'!$AE24+BC26+$K26+BR26+$G26</f>
        <v>16.113476091788868</v>
      </c>
      <c r="CI26" s="8">
        <f>'Commodity Costs Avoided Detail'!AE24+BD26+$K26+BS26+$G26</f>
        <v>21.847290612563629</v>
      </c>
      <c r="CJ26" s="8">
        <f>'Commodity Costs Avoided Detail'!AF24+BE26+$K26+BT26+$G26</f>
        <v>12.988034286335864</v>
      </c>
      <c r="CK26" s="8">
        <f>'Commodity Costs Avoided Detail'!AG24+BF26+$K26+BU26+$G26</f>
        <v>16.228085404885956</v>
      </c>
      <c r="CL26" s="8">
        <f>'Commodity Costs Avoided Detail'!AH24+BG26+$K26+BV26+$G26</f>
        <v>11.895082444885954</v>
      </c>
      <c r="CM26" s="8">
        <f>'Commodity Costs Avoided Detail'!AH24+$K26+BW26+$G26</f>
        <v>10.975878444885954</v>
      </c>
    </row>
    <row r="27" spans="1:111" ht="13.8" customHeight="1" x14ac:dyDescent="0.3">
      <c r="A27" s="89">
        <f t="shared" si="40"/>
        <v>2044</v>
      </c>
      <c r="B27" s="91">
        <v>8.8999999999999996E-2</v>
      </c>
      <c r="C27" s="167">
        <v>0.74663999999999997</v>
      </c>
      <c r="D27" s="168">
        <v>0.45084000000000002</v>
      </c>
      <c r="E27" s="170">
        <v>0.48499999999999999</v>
      </c>
      <c r="F27" s="87">
        <f>'Commodity Costs Avoided Detail'!N25</f>
        <v>3.3484920845340511</v>
      </c>
      <c r="G27" s="156">
        <v>0.5202</v>
      </c>
      <c r="H27" s="136">
        <v>8.8710000000000004</v>
      </c>
      <c r="I27" s="144">
        <f>'Greenhouse Gas Costs Avoided De'!J24</f>
        <v>5.7828675600000006</v>
      </c>
      <c r="J27" s="146">
        <v>13.094472657710824</v>
      </c>
      <c r="K27" s="174">
        <f>'Greenhouse Gas Costs Avoided De'!O24</f>
        <v>6.9011242631277998</v>
      </c>
      <c r="L27" s="150">
        <v>1.73</v>
      </c>
      <c r="M27" s="154">
        <f t="shared" si="41"/>
        <v>1.7647058823529429E-2</v>
      </c>
      <c r="N27" s="141">
        <v>128</v>
      </c>
      <c r="O27" s="21">
        <f t="shared" si="42"/>
        <v>2044</v>
      </c>
      <c r="P27" s="8">
        <f t="shared" si="58"/>
        <v>0.6442738338206585</v>
      </c>
      <c r="Q27" s="8">
        <f t="shared" si="58"/>
        <v>0.6442738338206585</v>
      </c>
      <c r="R27" s="8">
        <f t="shared" si="59"/>
        <v>0.57472154494229177</v>
      </c>
      <c r="S27" s="8">
        <f t="shared" si="60"/>
        <v>0.10720049999999999</v>
      </c>
      <c r="T27" s="8">
        <f t="shared" si="61"/>
        <v>0.11570000000000001</v>
      </c>
      <c r="U27" s="8">
        <f t="shared" si="62"/>
        <v>8.8999999999999996E-2</v>
      </c>
      <c r="V27" s="8">
        <f t="shared" si="63"/>
        <v>8.8999999999999996E-2</v>
      </c>
      <c r="W27" s="8">
        <f t="shared" si="64"/>
        <v>0.6442738338206585</v>
      </c>
      <c r="X27" s="8">
        <f t="shared" si="64"/>
        <v>0.6442738338206585</v>
      </c>
      <c r="Y27" s="8">
        <f t="shared" si="65"/>
        <v>0.57472154494229177</v>
      </c>
      <c r="Z27" s="8">
        <f t="shared" si="66"/>
        <v>0.10720049999999999</v>
      </c>
      <c r="AA27" s="8">
        <f t="shared" si="67"/>
        <v>0.11570000000000001</v>
      </c>
      <c r="AB27" s="8">
        <f t="shared" si="68"/>
        <v>8.8999999999999996E-2</v>
      </c>
      <c r="AC27" s="9">
        <f t="shared" si="69"/>
        <v>8.8999999999999996E-2</v>
      </c>
      <c r="AD27" s="50"/>
      <c r="AE27" s="7">
        <f t="shared" si="43"/>
        <v>2044</v>
      </c>
      <c r="AF27" s="8">
        <f t="shared" si="70"/>
        <v>4.5394336600280862</v>
      </c>
      <c r="AG27" s="8">
        <f t="shared" si="71"/>
        <v>2.2845515805370105</v>
      </c>
      <c r="AH27" s="8">
        <f t="shared" si="72"/>
        <v>5.4740229429750444</v>
      </c>
      <c r="AI27" s="8">
        <f t="shared" si="73"/>
        <v>1.0258634585384641</v>
      </c>
      <c r="AJ27" s="8">
        <f t="shared" si="74"/>
        <v>2.8132416000000005</v>
      </c>
      <c r="AK27" s="8">
        <f t="shared" si="75"/>
        <v>0.45084000000000002</v>
      </c>
      <c r="AL27" s="8">
        <f t="shared" si="76"/>
        <v>0.45084000000000002</v>
      </c>
      <c r="AM27" s="8">
        <f t="shared" si="77"/>
        <v>7.5177951111777359</v>
      </c>
      <c r="AN27" s="8">
        <f t="shared" si="78"/>
        <v>3.7834655134685327</v>
      </c>
      <c r="AO27" s="8">
        <f t="shared" si="79"/>
        <v>9.0655764575966806</v>
      </c>
      <c r="AP27" s="8">
        <f t="shared" si="80"/>
        <v>1.6989412933261441</v>
      </c>
      <c r="AQ27" s="8">
        <f t="shared" si="81"/>
        <v>4.6590335999999999</v>
      </c>
      <c r="AR27" s="8">
        <f t="shared" si="82"/>
        <v>0.74663999999999997</v>
      </c>
      <c r="AS27" s="8">
        <f t="shared" si="83"/>
        <v>0.74663999999999997</v>
      </c>
      <c r="AU27" s="7">
        <f t="shared" si="44"/>
        <v>2044</v>
      </c>
      <c r="AV27" s="8">
        <f t="shared" si="84"/>
        <v>5.1837074938487451</v>
      </c>
      <c r="AW27" s="8">
        <f t="shared" si="85"/>
        <v>2.9288254143576689</v>
      </c>
      <c r="AX27" s="8">
        <f t="shared" si="86"/>
        <v>6.048744487917336</v>
      </c>
      <c r="AY27" s="8">
        <f t="shared" si="87"/>
        <v>1.1330639585384641</v>
      </c>
      <c r="AZ27" s="8">
        <f t="shared" si="88"/>
        <v>2.9289416000000004</v>
      </c>
      <c r="BA27" s="8">
        <f t="shared" si="89"/>
        <v>0.53983999999999999</v>
      </c>
      <c r="BB27" s="8">
        <f t="shared" si="90"/>
        <v>8.1620689449983939</v>
      </c>
      <c r="BC27" s="8">
        <f t="shared" si="91"/>
        <v>4.4277393472891911</v>
      </c>
      <c r="BD27" s="8">
        <f t="shared" si="92"/>
        <v>9.6402980025389731</v>
      </c>
      <c r="BE27" s="8">
        <f t="shared" si="93"/>
        <v>1.8061417933261441</v>
      </c>
      <c r="BF27" s="8">
        <f t="shared" si="94"/>
        <v>4.7747336000000002</v>
      </c>
      <c r="BG27" s="8">
        <f t="shared" si="95"/>
        <v>0.83563999999999994</v>
      </c>
      <c r="BH27" s="50"/>
      <c r="BI27" s="7">
        <f t="shared" si="45"/>
        <v>2044</v>
      </c>
      <c r="BJ27" s="8">
        <f>(('Commodity Costs Avoided Detail'!$AE25+AV27)*0.1)</f>
        <v>0.87970754208431412</v>
      </c>
      <c r="BK27" s="8">
        <f>(('Commodity Costs Avoided Detail'!$AE25+AW27)*0.1)</f>
        <v>0.6542193341352065</v>
      </c>
      <c r="BL27" s="8">
        <f>(('Commodity Costs Avoided Detail'!AE25+AX27)*0.1)</f>
        <v>0.96621124149117321</v>
      </c>
      <c r="BM27" s="8">
        <f>(('Commodity Costs Avoided Detail'!AF25+AY27)*0.1)</f>
        <v>0.45092490664442342</v>
      </c>
      <c r="BN27" s="8">
        <f>(('Commodity Costs Avoided Detail'!AG25+AZ27)*0.1)</f>
        <v>0.62774336845340517</v>
      </c>
      <c r="BO27" s="8">
        <f>(('Commodity Costs Avoided Detail'!AH25+BA27)*0.1)</f>
        <v>0.38883320845340508</v>
      </c>
      <c r="BP27" s="8">
        <f>(('Commodity Costs Avoided Detail'!AH25)*0.1)</f>
        <v>0.3348492084534051</v>
      </c>
      <c r="BQ27" s="8">
        <f>(('Commodity Costs Avoided Detail'!AE25+BB27)*0.1)</f>
        <v>1.177543687199279</v>
      </c>
      <c r="BR27" s="8">
        <f>(('Commodity Costs Avoided Detail'!AE25+BC27)*0.1)</f>
        <v>0.80411072742835865</v>
      </c>
      <c r="BS27" s="8">
        <f>(('Commodity Costs Avoided Detail'!AE25+BD27)*0.1)</f>
        <v>1.3253665929533369</v>
      </c>
      <c r="BT27" s="8">
        <f>(('Commodity Costs Avoided Detail'!AF25+BE27)*0.1)</f>
        <v>0.5182326901231914</v>
      </c>
      <c r="BU27" s="8">
        <f>(('Commodity Costs Avoided Detail'!AG25+BF27)*0.1)</f>
        <v>0.81232256845340511</v>
      </c>
      <c r="BV27" s="8">
        <f>(('Commodity Costs Avoided Detail'!AH25+BG27)*0.1)</f>
        <v>0.41841320845340513</v>
      </c>
      <c r="BW27" s="8">
        <f>(('Commodity Costs Avoided Detail'!AH25)*0.1)</f>
        <v>0.3348492084534051</v>
      </c>
      <c r="BX27" s="50"/>
      <c r="BY27" s="52">
        <f t="shared" si="46"/>
        <v>2044</v>
      </c>
      <c r="BZ27" s="8">
        <f>'Commodity Costs Avoided Detail'!$AE25+AV27+$H27+BJ27+$G27</f>
        <v>19.067982962927456</v>
      </c>
      <c r="CA27" s="8">
        <f>'Commodity Costs Avoided Detail'!$AE25+AW27+$H27+BK27+$G27</f>
        <v>16.587612675487271</v>
      </c>
      <c r="CB27" s="8">
        <f>'Commodity Costs Avoided Detail'!AE25+AX27+$H27+BL27+G27</f>
        <v>20.019523656402907</v>
      </c>
      <c r="CC27" s="8">
        <f>'Commodity Costs Avoided Detail'!AF25+AY27+$H27+BM27+$G27</f>
        <v>14.351373973088659</v>
      </c>
      <c r="CD27" s="8">
        <f>'Commodity Costs Avoided Detail'!AG25+AZ27+$H27+BN27+$G27</f>
        <v>16.296377052987456</v>
      </c>
      <c r="CE27" s="8">
        <f>'Commodity Costs Avoided Detail'!AH25+BA27+$H27+BO27+$G27</f>
        <v>13.668365292987456</v>
      </c>
      <c r="CF27" s="8">
        <f>'Commodity Costs Avoided Detail'!AH25+$H27+BP27+$G27</f>
        <v>13.074541292987458</v>
      </c>
      <c r="CG27" s="8">
        <f>'Commodity Costs Avoided Detail'!$AE25+BB27+$K27+BQ27+$G27</f>
        <v>20.374304822319868</v>
      </c>
      <c r="CH27" s="8">
        <f>'Commodity Costs Avoided Detail'!$AE25+BC27+$K27+BR27+$G27</f>
        <v>16.266542264839746</v>
      </c>
      <c r="CI27" s="8">
        <f>'Commodity Costs Avoided Detail'!AE25+BD27+$K27+BS27+$G27</f>
        <v>22.000356785614503</v>
      </c>
      <c r="CJ27" s="8">
        <f>'Commodity Costs Avoided Detail'!AF25+BE27+$K27+BT27+$G27</f>
        <v>13.121883854482906</v>
      </c>
      <c r="CK27" s="8">
        <f>'Commodity Costs Avoided Detail'!AG25+BF27+$K27+BU27+$G27</f>
        <v>16.356872516115256</v>
      </c>
      <c r="CL27" s="8">
        <f>'Commodity Costs Avoided Detail'!AH25+BG27+$K27+BV27+$G27</f>
        <v>12.023869556115255</v>
      </c>
      <c r="CM27" s="8">
        <f>'Commodity Costs Avoided Detail'!AH25+$K27+BW27+$G27</f>
        <v>11.104665556115258</v>
      </c>
    </row>
    <row r="28" spans="1:111" ht="13.8" customHeight="1" x14ac:dyDescent="0.3">
      <c r="A28" s="88">
        <f t="shared" si="40"/>
        <v>2045</v>
      </c>
      <c r="B28" s="91">
        <v>8.8999999999999996E-2</v>
      </c>
      <c r="C28" s="167">
        <v>0.74663999999999997</v>
      </c>
      <c r="D28" s="168">
        <v>0.45084000000000002</v>
      </c>
      <c r="E28" s="170">
        <v>0.48499999999999999</v>
      </c>
      <c r="F28" s="87">
        <f>'Commodity Costs Avoided Detail'!N26</f>
        <v>3.4926058489955203</v>
      </c>
      <c r="G28" s="156">
        <v>0.5202</v>
      </c>
      <c r="H28" s="136">
        <v>8.2829999999999995</v>
      </c>
      <c r="I28" s="144">
        <f>'Greenhouse Gas Costs Avoided De'!J25</f>
        <v>5.8478436</v>
      </c>
      <c r="J28" s="146">
        <v>13.283270409727253</v>
      </c>
      <c r="K28" s="174">
        <f>'Greenhouse Gas Costs Avoided De'!O25</f>
        <v>6.9786649851854143</v>
      </c>
      <c r="L28" s="150">
        <v>1.77</v>
      </c>
      <c r="M28" s="154">
        <f t="shared" si="41"/>
        <v>2.3121387283237014E-2</v>
      </c>
      <c r="N28" s="141">
        <v>129</v>
      </c>
      <c r="O28" s="21">
        <f t="shared" si="42"/>
        <v>2045</v>
      </c>
      <c r="P28" s="8">
        <f t="shared" si="58"/>
        <v>0.6442738338206585</v>
      </c>
      <c r="Q28" s="8">
        <f t="shared" si="58"/>
        <v>0.6442738338206585</v>
      </c>
      <c r="R28" s="8">
        <f t="shared" si="59"/>
        <v>0.57472154494229177</v>
      </c>
      <c r="S28" s="8">
        <f t="shared" si="60"/>
        <v>0.10720049999999999</v>
      </c>
      <c r="T28" s="8">
        <f t="shared" si="61"/>
        <v>0.11570000000000001</v>
      </c>
      <c r="U28" s="8">
        <f t="shared" si="62"/>
        <v>8.8999999999999996E-2</v>
      </c>
      <c r="V28" s="8">
        <f t="shared" si="63"/>
        <v>8.8999999999999996E-2</v>
      </c>
      <c r="W28" s="8">
        <f t="shared" si="64"/>
        <v>0.6442738338206585</v>
      </c>
      <c r="X28" s="8">
        <f t="shared" si="64"/>
        <v>0.6442738338206585</v>
      </c>
      <c r="Y28" s="8">
        <f t="shared" si="65"/>
        <v>0.57472154494229177</v>
      </c>
      <c r="Z28" s="8">
        <f t="shared" si="66"/>
        <v>0.10720049999999999</v>
      </c>
      <c r="AA28" s="8">
        <f t="shared" si="67"/>
        <v>0.11570000000000001</v>
      </c>
      <c r="AB28" s="8">
        <f t="shared" si="68"/>
        <v>8.8999999999999996E-2</v>
      </c>
      <c r="AC28" s="9">
        <f t="shared" si="69"/>
        <v>8.8999999999999996E-2</v>
      </c>
      <c r="AD28" s="50"/>
      <c r="AE28" s="7">
        <f t="shared" si="43"/>
        <v>2045</v>
      </c>
      <c r="AF28" s="8">
        <f t="shared" si="70"/>
        <v>4.5394336600280862</v>
      </c>
      <c r="AG28" s="8">
        <f t="shared" si="71"/>
        <v>2.2845515805370105</v>
      </c>
      <c r="AH28" s="8">
        <f t="shared" si="72"/>
        <v>5.4740229429750444</v>
      </c>
      <c r="AI28" s="8">
        <f t="shared" si="73"/>
        <v>1.0258634585384641</v>
      </c>
      <c r="AJ28" s="8">
        <f t="shared" si="74"/>
        <v>2.8132416000000005</v>
      </c>
      <c r="AK28" s="8">
        <f t="shared" si="75"/>
        <v>0.45084000000000002</v>
      </c>
      <c r="AL28" s="8">
        <f t="shared" si="76"/>
        <v>0.45084000000000002</v>
      </c>
      <c r="AM28" s="8">
        <f t="shared" si="77"/>
        <v>7.5177951111777359</v>
      </c>
      <c r="AN28" s="8">
        <f t="shared" si="78"/>
        <v>3.7834655134685327</v>
      </c>
      <c r="AO28" s="8">
        <f t="shared" si="79"/>
        <v>9.0655764575966806</v>
      </c>
      <c r="AP28" s="8">
        <f t="shared" si="80"/>
        <v>1.6989412933261441</v>
      </c>
      <c r="AQ28" s="8">
        <f t="shared" si="81"/>
        <v>4.6590335999999999</v>
      </c>
      <c r="AR28" s="8">
        <f t="shared" si="82"/>
        <v>0.74663999999999997</v>
      </c>
      <c r="AS28" s="8">
        <f t="shared" si="83"/>
        <v>0.74663999999999997</v>
      </c>
      <c r="AU28" s="7">
        <f t="shared" si="44"/>
        <v>2045</v>
      </c>
      <c r="AV28" s="8">
        <f t="shared" si="84"/>
        <v>5.1837074938487451</v>
      </c>
      <c r="AW28" s="8">
        <f t="shared" si="85"/>
        <v>2.9288254143576689</v>
      </c>
      <c r="AX28" s="8">
        <f t="shared" si="86"/>
        <v>6.048744487917336</v>
      </c>
      <c r="AY28" s="8">
        <f t="shared" si="87"/>
        <v>1.1330639585384641</v>
      </c>
      <c r="AZ28" s="8">
        <f t="shared" si="88"/>
        <v>2.9289416000000004</v>
      </c>
      <c r="BA28" s="8">
        <f t="shared" si="89"/>
        <v>0.53983999999999999</v>
      </c>
      <c r="BB28" s="8">
        <f t="shared" si="90"/>
        <v>8.1620689449983939</v>
      </c>
      <c r="BC28" s="8">
        <f t="shared" si="91"/>
        <v>4.4277393472891911</v>
      </c>
      <c r="BD28" s="8">
        <f t="shared" si="92"/>
        <v>9.6402980025389731</v>
      </c>
      <c r="BE28" s="8">
        <f t="shared" si="93"/>
        <v>1.8061417933261441</v>
      </c>
      <c r="BF28" s="8">
        <f t="shared" si="94"/>
        <v>4.7747336000000002</v>
      </c>
      <c r="BG28" s="8">
        <f t="shared" si="95"/>
        <v>0.83563999999999994</v>
      </c>
      <c r="BH28" s="50"/>
      <c r="BI28" s="7">
        <f t="shared" si="45"/>
        <v>2045</v>
      </c>
      <c r="BJ28" s="8">
        <f>(('Commodity Costs Avoided Detail'!$AE26+AV28)*0.1)</f>
        <v>0.89161319619943635</v>
      </c>
      <c r="BK28" s="8">
        <f>(('Commodity Costs Avoided Detail'!$AE26+AW28)*0.1)</f>
        <v>0.66612498825032884</v>
      </c>
      <c r="BL28" s="8">
        <f>(('Commodity Costs Avoided Detail'!AE26+AX28)*0.1)</f>
        <v>0.97811689560629567</v>
      </c>
      <c r="BM28" s="8">
        <f>(('Commodity Costs Avoided Detail'!AF26+AY28)*0.1)</f>
        <v>0.46478796967714653</v>
      </c>
      <c r="BN28" s="8">
        <f>(('Commodity Costs Avoided Detail'!AG26+AZ28)*0.1)</f>
        <v>0.64215474489955204</v>
      </c>
      <c r="BO28" s="8">
        <f>(('Commodity Costs Avoided Detail'!AH26+BA28)*0.1)</f>
        <v>0.40324458489955206</v>
      </c>
      <c r="BP28" s="8">
        <f>(('Commodity Costs Avoided Detail'!AH26)*0.1)</f>
        <v>0.34926058489955203</v>
      </c>
      <c r="BQ28" s="8">
        <f>(('Commodity Costs Avoided Detail'!AE26+BB28)*0.1)</f>
        <v>1.1894493413144012</v>
      </c>
      <c r="BR28" s="8">
        <f>(('Commodity Costs Avoided Detail'!AE26+BC28)*0.1)</f>
        <v>0.81601638154348111</v>
      </c>
      <c r="BS28" s="8">
        <f>(('Commodity Costs Avoided Detail'!AE26+BD28)*0.1)</f>
        <v>1.3372722470684595</v>
      </c>
      <c r="BT28" s="8">
        <f>(('Commodity Costs Avoided Detail'!AF26+BE28)*0.1)</f>
        <v>0.53209575315591451</v>
      </c>
      <c r="BU28" s="8">
        <f>(('Commodity Costs Avoided Detail'!AG26+BF28)*0.1)</f>
        <v>0.82673394489955221</v>
      </c>
      <c r="BV28" s="8">
        <f>(('Commodity Costs Avoided Detail'!AH26+BG28)*0.1)</f>
        <v>0.432824584899552</v>
      </c>
      <c r="BW28" s="8">
        <f>(('Commodity Costs Avoided Detail'!AH26)*0.1)</f>
        <v>0.34926058489955203</v>
      </c>
      <c r="BX28" s="50"/>
      <c r="BY28" s="52">
        <f t="shared" si="46"/>
        <v>2045</v>
      </c>
      <c r="BZ28" s="8">
        <f>'Commodity Costs Avoided Detail'!$AE26+AV28+$H28+BJ28+$G28</f>
        <v>18.610945158193797</v>
      </c>
      <c r="CA28" s="8">
        <f>'Commodity Costs Avoided Detail'!$AE26+AW28+$H28+BK28+$G28</f>
        <v>16.130574870753616</v>
      </c>
      <c r="CB28" s="8">
        <f>'Commodity Costs Avoided Detail'!AE26+AX28+$H28+BL28+G28</f>
        <v>19.562485851669251</v>
      </c>
      <c r="CC28" s="8">
        <f>'Commodity Costs Avoided Detail'!AF26+AY28+$H28+BM28+$G28</f>
        <v>13.915867666448612</v>
      </c>
      <c r="CD28" s="8">
        <f>'Commodity Costs Avoided Detail'!AG26+AZ28+$H28+BN28+$G28</f>
        <v>15.866902193895072</v>
      </c>
      <c r="CE28" s="8">
        <f>'Commodity Costs Avoided Detail'!AH26+BA28+$H28+BO28+$G28</f>
        <v>13.238890433895072</v>
      </c>
      <c r="CF28" s="8">
        <f>'Commodity Costs Avoided Detail'!AH26+$H28+BP28+$G28</f>
        <v>12.645066433895071</v>
      </c>
      <c r="CG28" s="8">
        <f>'Commodity Costs Avoided Detail'!$AE26+BB28+$K28+BQ28+$G28</f>
        <v>20.582807739643826</v>
      </c>
      <c r="CH28" s="8">
        <f>'Commodity Costs Avoided Detail'!$AE26+BC28+$K28+BR28+$G28</f>
        <v>16.475045182163704</v>
      </c>
      <c r="CI28" s="8">
        <f>'Commodity Costs Avoided Detail'!AE26+BD28+$K28+BS28+$G28</f>
        <v>22.208859702938465</v>
      </c>
      <c r="CJ28" s="8">
        <f>'Commodity Costs Avoided Detail'!AF26+BE28+$K28+BT28+$G28</f>
        <v>13.351918269900473</v>
      </c>
      <c r="CK28" s="8">
        <f>'Commodity Costs Avoided Detail'!AG26+BF28+$K28+BU28+$G28</f>
        <v>16.592938379080486</v>
      </c>
      <c r="CL28" s="8">
        <f>'Commodity Costs Avoided Detail'!AH26+BG28+$K28+BV28+$G28</f>
        <v>12.259935419080485</v>
      </c>
      <c r="CM28" s="8">
        <f>'Commodity Costs Avoided Detail'!AH26+$K28+BW28+$G28</f>
        <v>11.340731419080488</v>
      </c>
    </row>
    <row r="29" spans="1:111" ht="13.8" customHeight="1" x14ac:dyDescent="0.3">
      <c r="A29" s="89">
        <f t="shared" si="40"/>
        <v>2046</v>
      </c>
      <c r="B29" s="91">
        <v>8.8999999999999996E-2</v>
      </c>
      <c r="C29" s="167">
        <v>0.74663999999999997</v>
      </c>
      <c r="D29" s="168">
        <v>0.45084000000000002</v>
      </c>
      <c r="E29" s="170">
        <v>0.48499999999999999</v>
      </c>
      <c r="F29" s="87">
        <f>'Commodity Costs Avoided Detail'!N27</f>
        <v>3.6503973708593187</v>
      </c>
      <c r="G29" s="156">
        <v>0.5202</v>
      </c>
      <c r="H29" s="136">
        <v>7.7060000000000004</v>
      </c>
      <c r="I29" s="144">
        <f>'Greenhouse Gas Costs Avoided De'!J26</f>
        <v>5.9236489800000003</v>
      </c>
      <c r="J29" s="146">
        <v>13.48555371545914</v>
      </c>
      <c r="K29" s="174">
        <f>'Greenhouse Gas Costs Avoided De'!O26</f>
        <v>7.0691291609193003</v>
      </c>
      <c r="L29" s="150">
        <v>1.81</v>
      </c>
      <c r="M29" s="154">
        <f t="shared" si="41"/>
        <v>2.2598870056497196E-2</v>
      </c>
      <c r="N29" s="141">
        <v>130</v>
      </c>
      <c r="O29" s="21">
        <f t="shared" si="42"/>
        <v>2046</v>
      </c>
      <c r="P29" s="8">
        <f t="shared" si="58"/>
        <v>0.6442738338206585</v>
      </c>
      <c r="Q29" s="8">
        <f t="shared" si="58"/>
        <v>0.6442738338206585</v>
      </c>
      <c r="R29" s="8">
        <f t="shared" si="59"/>
        <v>0.57472154494229177</v>
      </c>
      <c r="S29" s="8">
        <f t="shared" si="60"/>
        <v>0.10720049999999999</v>
      </c>
      <c r="T29" s="8">
        <f t="shared" si="61"/>
        <v>0.11570000000000001</v>
      </c>
      <c r="U29" s="8">
        <f t="shared" si="62"/>
        <v>8.8999999999999996E-2</v>
      </c>
      <c r="V29" s="8">
        <f t="shared" si="63"/>
        <v>8.8999999999999996E-2</v>
      </c>
      <c r="W29" s="8">
        <f t="shared" si="64"/>
        <v>0.6442738338206585</v>
      </c>
      <c r="X29" s="8">
        <f t="shared" si="64"/>
        <v>0.6442738338206585</v>
      </c>
      <c r="Y29" s="8">
        <f t="shared" si="65"/>
        <v>0.57472154494229177</v>
      </c>
      <c r="Z29" s="8">
        <f t="shared" si="66"/>
        <v>0.10720049999999999</v>
      </c>
      <c r="AA29" s="8">
        <f t="shared" si="67"/>
        <v>0.11570000000000001</v>
      </c>
      <c r="AB29" s="8">
        <f t="shared" si="68"/>
        <v>8.8999999999999996E-2</v>
      </c>
      <c r="AC29" s="9">
        <f t="shared" si="69"/>
        <v>8.8999999999999996E-2</v>
      </c>
      <c r="AD29" s="50"/>
      <c r="AE29" s="7">
        <f t="shared" si="43"/>
        <v>2046</v>
      </c>
      <c r="AF29" s="8">
        <f t="shared" si="70"/>
        <v>4.5394336600280862</v>
      </c>
      <c r="AG29" s="8">
        <f t="shared" si="71"/>
        <v>2.2845515805370105</v>
      </c>
      <c r="AH29" s="8">
        <f t="shared" si="72"/>
        <v>5.4740229429750444</v>
      </c>
      <c r="AI29" s="8">
        <f t="shared" si="73"/>
        <v>1.0258634585384641</v>
      </c>
      <c r="AJ29" s="8">
        <f t="shared" si="74"/>
        <v>2.8132416000000005</v>
      </c>
      <c r="AK29" s="8">
        <f t="shared" si="75"/>
        <v>0.45084000000000002</v>
      </c>
      <c r="AL29" s="8">
        <f t="shared" si="76"/>
        <v>0.45084000000000002</v>
      </c>
      <c r="AM29" s="8">
        <f t="shared" si="77"/>
        <v>7.5177951111777359</v>
      </c>
      <c r="AN29" s="8">
        <f t="shared" si="78"/>
        <v>3.7834655134685327</v>
      </c>
      <c r="AO29" s="8">
        <f t="shared" si="79"/>
        <v>9.0655764575966806</v>
      </c>
      <c r="AP29" s="8">
        <f t="shared" si="80"/>
        <v>1.6989412933261441</v>
      </c>
      <c r="AQ29" s="8">
        <f t="shared" si="81"/>
        <v>4.6590335999999999</v>
      </c>
      <c r="AR29" s="8">
        <f t="shared" si="82"/>
        <v>0.74663999999999997</v>
      </c>
      <c r="AS29" s="8">
        <f t="shared" si="83"/>
        <v>0.74663999999999997</v>
      </c>
      <c r="AU29" s="7">
        <f t="shared" si="44"/>
        <v>2046</v>
      </c>
      <c r="AV29" s="8">
        <f t="shared" si="84"/>
        <v>5.1837074938487451</v>
      </c>
      <c r="AW29" s="8">
        <f t="shared" si="85"/>
        <v>2.9288254143576689</v>
      </c>
      <c r="AX29" s="8">
        <f t="shared" si="86"/>
        <v>6.048744487917336</v>
      </c>
      <c r="AY29" s="8">
        <f t="shared" si="87"/>
        <v>1.1330639585384641</v>
      </c>
      <c r="AZ29" s="8">
        <f t="shared" si="88"/>
        <v>2.9289416000000004</v>
      </c>
      <c r="BA29" s="8">
        <f t="shared" si="89"/>
        <v>0.53983999999999999</v>
      </c>
      <c r="BB29" s="8">
        <f t="shared" si="90"/>
        <v>8.1620689449983939</v>
      </c>
      <c r="BC29" s="8">
        <f t="shared" si="91"/>
        <v>4.4277393472891911</v>
      </c>
      <c r="BD29" s="8">
        <f t="shared" si="92"/>
        <v>9.6402980025389731</v>
      </c>
      <c r="BE29" s="8">
        <f t="shared" si="93"/>
        <v>1.8061417933261441</v>
      </c>
      <c r="BF29" s="8">
        <f t="shared" si="94"/>
        <v>4.7747336000000002</v>
      </c>
      <c r="BG29" s="8">
        <f t="shared" si="95"/>
        <v>0.83563999999999994</v>
      </c>
      <c r="BH29" s="50"/>
      <c r="BI29" s="7">
        <f t="shared" si="45"/>
        <v>2046</v>
      </c>
      <c r="BJ29" s="8">
        <f>(('Commodity Costs Avoided Detail'!$AE27+AV29)*0.1)</f>
        <v>0.90837583070626526</v>
      </c>
      <c r="BK29" s="8">
        <f>(('Commodity Costs Avoided Detail'!$AE27+AW29)*0.1)</f>
        <v>0.68288762275715764</v>
      </c>
      <c r="BL29" s="8">
        <f>(('Commodity Costs Avoided Detail'!AE27+AX29)*0.1)</f>
        <v>0.99487953011312436</v>
      </c>
      <c r="BM29" s="8">
        <f>(('Commodity Costs Avoided Detail'!AF27+AY29)*0.1)</f>
        <v>0.48078586507075055</v>
      </c>
      <c r="BN29" s="8">
        <f>(('Commodity Costs Avoided Detail'!AG27+AZ29)*0.1)</f>
        <v>0.65793389708593208</v>
      </c>
      <c r="BO29" s="8">
        <f>(('Commodity Costs Avoided Detail'!AH27+BA29)*0.1)</f>
        <v>0.41902373708593194</v>
      </c>
      <c r="BP29" s="8">
        <f>(('Commodity Costs Avoided Detail'!AH27)*0.1)</f>
        <v>0.36503973708593196</v>
      </c>
      <c r="BQ29" s="8">
        <f>(('Commodity Costs Avoided Detail'!AE27+BB29)*0.1)</f>
        <v>1.2062119758212302</v>
      </c>
      <c r="BR29" s="8">
        <f>(('Commodity Costs Avoided Detail'!AE27+BC29)*0.1)</f>
        <v>0.83277901605030991</v>
      </c>
      <c r="BS29" s="8">
        <f>(('Commodity Costs Avoided Detail'!AE27+BD29)*0.1)</f>
        <v>1.3540348815752881</v>
      </c>
      <c r="BT29" s="8">
        <f>(('Commodity Costs Avoided Detail'!AF27+BE29)*0.1)</f>
        <v>0.54809364854951859</v>
      </c>
      <c r="BU29" s="8">
        <f>(('Commodity Costs Avoided Detail'!AG27+BF29)*0.1)</f>
        <v>0.84251309708593203</v>
      </c>
      <c r="BV29" s="8">
        <f>(('Commodity Costs Avoided Detail'!AH27+BG29)*0.1)</f>
        <v>0.44860373708593193</v>
      </c>
      <c r="BW29" s="8">
        <f>(('Commodity Costs Avoided Detail'!AH27)*0.1)</f>
        <v>0.36503973708593196</v>
      </c>
      <c r="BX29" s="50"/>
      <c r="BY29" s="52">
        <f t="shared" si="46"/>
        <v>2046</v>
      </c>
      <c r="BZ29" s="8">
        <f>'Commodity Costs Avoided Detail'!$AE27+AV29+$H29+BJ29+$G29</f>
        <v>18.218334137768917</v>
      </c>
      <c r="CA29" s="8">
        <f>'Commodity Costs Avoided Detail'!$AE27+AW29+$H29+BK29+$G29</f>
        <v>15.737963850328732</v>
      </c>
      <c r="CB29" s="8">
        <f>'Commodity Costs Avoided Detail'!AE27+AX29+$H29+BL29+G29</f>
        <v>19.169874831244368</v>
      </c>
      <c r="CC29" s="8">
        <f>'Commodity Costs Avoided Detail'!AF27+AY29+$H29+BM29+$G29</f>
        <v>13.514844515778254</v>
      </c>
      <c r="CD29" s="8">
        <f>'Commodity Costs Avoided Detail'!AG27+AZ29+$H29+BN29+$G29</f>
        <v>15.463472867945253</v>
      </c>
      <c r="CE29" s="8">
        <f>'Commodity Costs Avoided Detail'!AH27+BA29+$H29+BO29+$G29</f>
        <v>12.83546110794525</v>
      </c>
      <c r="CF29" s="8">
        <f>'Commodity Costs Avoided Detail'!AH27+$H29+BP29+$G29</f>
        <v>12.241637107945252</v>
      </c>
      <c r="CG29" s="8">
        <f>'Commodity Costs Avoided Detail'!$AE27+BB29+$K29+BQ29+$G29</f>
        <v>20.857660894952829</v>
      </c>
      <c r="CH29" s="8">
        <f>'Commodity Costs Avoided Detail'!$AE27+BC29+$K29+BR29+$G29</f>
        <v>16.749898337472708</v>
      </c>
      <c r="CI29" s="8">
        <f>'Commodity Costs Avoided Detail'!AE27+BD29+$K29+BS29+$G29</f>
        <v>22.483712858247468</v>
      </c>
      <c r="CJ29" s="8">
        <f>'Commodity Costs Avoided Detail'!AF27+BE29+$K29+BT29+$G29</f>
        <v>13.618359294964002</v>
      </c>
      <c r="CK29" s="8">
        <f>'Commodity Costs Avoided Detail'!AG27+BF29+$K29+BU29+$G29</f>
        <v>16.85697322886455</v>
      </c>
      <c r="CL29" s="8">
        <f>'Commodity Costs Avoided Detail'!AH27+BG29+$K29+BV29+$G29</f>
        <v>12.523970268864552</v>
      </c>
      <c r="CM29" s="8">
        <f>'Commodity Costs Avoided Detail'!AH27+$K29+BW29+$G29</f>
        <v>11.604766268864552</v>
      </c>
    </row>
    <row r="30" spans="1:111" ht="13.8" customHeight="1" x14ac:dyDescent="0.3">
      <c r="A30" s="88">
        <f t="shared" si="40"/>
        <v>2047</v>
      </c>
      <c r="B30" s="91">
        <v>8.8999999999999996E-2</v>
      </c>
      <c r="C30" s="167">
        <v>0.74663999999999997</v>
      </c>
      <c r="D30" s="168">
        <v>0.45084000000000002</v>
      </c>
      <c r="E30" s="170">
        <v>0.48499999999999999</v>
      </c>
      <c r="F30" s="87">
        <f>'Commodity Costs Avoided Detail'!N28</f>
        <v>3.6554430843833843</v>
      </c>
      <c r="G30" s="156">
        <v>0.5202</v>
      </c>
      <c r="H30" s="136">
        <v>7.2619999999999996</v>
      </c>
      <c r="I30" s="144">
        <f>'Greenhouse Gas Costs Avoided De'!J27</f>
        <v>5.9994543600000014</v>
      </c>
      <c r="J30" s="146">
        <v>13.687837021191026</v>
      </c>
      <c r="K30" s="174">
        <f>'Greenhouse Gas Costs Avoided De'!O27</f>
        <v>7.1595933366531863</v>
      </c>
      <c r="L30" s="150">
        <v>1.85</v>
      </c>
      <c r="M30" s="154">
        <f t="shared" si="41"/>
        <v>2.2099447513812175E-2</v>
      </c>
      <c r="N30" s="141">
        <v>131</v>
      </c>
      <c r="O30" s="21">
        <f t="shared" si="42"/>
        <v>2047</v>
      </c>
      <c r="P30" s="8">
        <f t="shared" si="58"/>
        <v>0.6442738338206585</v>
      </c>
      <c r="Q30" s="8">
        <f t="shared" si="58"/>
        <v>0.6442738338206585</v>
      </c>
      <c r="R30" s="8">
        <f t="shared" si="59"/>
        <v>0.57472154494229177</v>
      </c>
      <c r="S30" s="8">
        <f t="shared" si="60"/>
        <v>0.10720049999999999</v>
      </c>
      <c r="T30" s="8">
        <f t="shared" si="61"/>
        <v>0.11570000000000001</v>
      </c>
      <c r="U30" s="8">
        <f t="shared" si="62"/>
        <v>8.8999999999999996E-2</v>
      </c>
      <c r="V30" s="8">
        <f t="shared" si="63"/>
        <v>8.8999999999999996E-2</v>
      </c>
      <c r="W30" s="8">
        <f t="shared" si="64"/>
        <v>0.6442738338206585</v>
      </c>
      <c r="X30" s="8">
        <f t="shared" si="64"/>
        <v>0.6442738338206585</v>
      </c>
      <c r="Y30" s="8">
        <f t="shared" si="65"/>
        <v>0.57472154494229177</v>
      </c>
      <c r="Z30" s="8">
        <f t="shared" si="66"/>
        <v>0.10720049999999999</v>
      </c>
      <c r="AA30" s="8">
        <f t="shared" si="67"/>
        <v>0.11570000000000001</v>
      </c>
      <c r="AB30" s="8">
        <f t="shared" si="68"/>
        <v>8.8999999999999996E-2</v>
      </c>
      <c r="AC30" s="9">
        <f t="shared" si="69"/>
        <v>8.8999999999999996E-2</v>
      </c>
      <c r="AD30" s="50"/>
      <c r="AE30" s="7">
        <f t="shared" si="43"/>
        <v>2047</v>
      </c>
      <c r="AF30" s="8">
        <f t="shared" si="70"/>
        <v>4.5394336600280862</v>
      </c>
      <c r="AG30" s="8">
        <f t="shared" si="71"/>
        <v>2.2845515805370105</v>
      </c>
      <c r="AH30" s="8">
        <f t="shared" si="72"/>
        <v>5.4740229429750444</v>
      </c>
      <c r="AI30" s="8">
        <f t="shared" si="73"/>
        <v>1.0258634585384641</v>
      </c>
      <c r="AJ30" s="8">
        <f t="shared" si="74"/>
        <v>2.8132416000000005</v>
      </c>
      <c r="AK30" s="8">
        <f t="shared" si="75"/>
        <v>0.45084000000000002</v>
      </c>
      <c r="AL30" s="8">
        <f t="shared" si="76"/>
        <v>0.45084000000000002</v>
      </c>
      <c r="AM30" s="8">
        <f t="shared" si="77"/>
        <v>7.5177951111777359</v>
      </c>
      <c r="AN30" s="8">
        <f t="shared" si="78"/>
        <v>3.7834655134685327</v>
      </c>
      <c r="AO30" s="8">
        <f t="shared" si="79"/>
        <v>9.0655764575966806</v>
      </c>
      <c r="AP30" s="8">
        <f t="shared" si="80"/>
        <v>1.6989412933261441</v>
      </c>
      <c r="AQ30" s="8">
        <f t="shared" si="81"/>
        <v>4.6590335999999999</v>
      </c>
      <c r="AR30" s="8">
        <f t="shared" si="82"/>
        <v>0.74663999999999997</v>
      </c>
      <c r="AS30" s="8">
        <f t="shared" si="83"/>
        <v>0.74663999999999997</v>
      </c>
      <c r="AU30" s="7">
        <f t="shared" si="44"/>
        <v>2047</v>
      </c>
      <c r="AV30" s="8">
        <f t="shared" si="84"/>
        <v>5.1837074938487451</v>
      </c>
      <c r="AW30" s="8">
        <f t="shared" si="85"/>
        <v>2.9288254143576689</v>
      </c>
      <c r="AX30" s="8">
        <f t="shared" si="86"/>
        <v>6.048744487917336</v>
      </c>
      <c r="AY30" s="8">
        <f t="shared" si="87"/>
        <v>1.1330639585384641</v>
      </c>
      <c r="AZ30" s="8">
        <f t="shared" si="88"/>
        <v>2.9289416000000004</v>
      </c>
      <c r="BA30" s="8">
        <f t="shared" si="89"/>
        <v>0.53983999999999999</v>
      </c>
      <c r="BB30" s="8">
        <f t="shared" si="90"/>
        <v>8.1620689449983939</v>
      </c>
      <c r="BC30" s="8">
        <f t="shared" si="91"/>
        <v>4.4277393472891911</v>
      </c>
      <c r="BD30" s="8">
        <f t="shared" si="92"/>
        <v>9.6402980025389731</v>
      </c>
      <c r="BE30" s="8">
        <f t="shared" si="93"/>
        <v>1.8061417933261441</v>
      </c>
      <c r="BF30" s="8">
        <f t="shared" si="94"/>
        <v>4.7747336000000002</v>
      </c>
      <c r="BG30" s="8">
        <f t="shared" si="95"/>
        <v>0.83563999999999994</v>
      </c>
      <c r="BH30" s="50"/>
      <c r="BI30" s="7">
        <f t="shared" si="45"/>
        <v>2047</v>
      </c>
      <c r="BJ30" s="8">
        <f>(('Commodity Costs Avoided Detail'!$AE28+AV30)*0.1)</f>
        <v>0.91156825644828532</v>
      </c>
      <c r="BK30" s="8">
        <f>(('Commodity Costs Avoided Detail'!$AE28+AW30)*0.1)</f>
        <v>0.6860800484991777</v>
      </c>
      <c r="BL30" s="8">
        <f>(('Commodity Costs Avoided Detail'!AE28+AX30)*0.1)</f>
        <v>0.99807195585514441</v>
      </c>
      <c r="BM30" s="8">
        <f>(('Commodity Costs Avoided Detail'!AF28+AY30)*0.1)</f>
        <v>0.48184423560485162</v>
      </c>
      <c r="BN30" s="8">
        <f>(('Commodity Costs Avoided Detail'!AG28+AZ30)*0.1)</f>
        <v>0.65843846843833864</v>
      </c>
      <c r="BO30" s="8">
        <f>(('Commodity Costs Avoided Detail'!AH28+BA30)*0.1)</f>
        <v>0.41952830843833849</v>
      </c>
      <c r="BP30" s="8">
        <f>(('Commodity Costs Avoided Detail'!AH28)*0.1)</f>
        <v>0.36554430843833852</v>
      </c>
      <c r="BQ30" s="8">
        <f>(('Commodity Costs Avoided Detail'!AE28+BB30)*0.1)</f>
        <v>1.2094044015632504</v>
      </c>
      <c r="BR30" s="8">
        <f>(('Commodity Costs Avoided Detail'!AE28+BC30)*0.1)</f>
        <v>0.83597144179233007</v>
      </c>
      <c r="BS30" s="8">
        <f>(('Commodity Costs Avoided Detail'!AE28+BD30)*0.1)</f>
        <v>1.3572273073173082</v>
      </c>
      <c r="BT30" s="8">
        <f>(('Commodity Costs Avoided Detail'!AF28+BE30)*0.1)</f>
        <v>0.54915201908361966</v>
      </c>
      <c r="BU30" s="8">
        <f>(('Commodity Costs Avoided Detail'!AG28+BF30)*0.1)</f>
        <v>0.84301766843833859</v>
      </c>
      <c r="BV30" s="8">
        <f>(('Commodity Costs Avoided Detail'!AH28+BG30)*0.1)</f>
        <v>0.44910830843833849</v>
      </c>
      <c r="BW30" s="8">
        <f>(('Commodity Costs Avoided Detail'!AH28)*0.1)</f>
        <v>0.36554430843833852</v>
      </c>
      <c r="BX30" s="50"/>
      <c r="BY30" s="52">
        <f t="shared" si="46"/>
        <v>2047</v>
      </c>
      <c r="BZ30" s="8">
        <f>'Commodity Costs Avoided Detail'!$AE28+AV30+$H30+BJ30+$G30</f>
        <v>17.809450820931136</v>
      </c>
      <c r="CA30" s="8">
        <f>'Commodity Costs Avoided Detail'!$AE28+AW30+$H30+BK30+$G30</f>
        <v>15.329080533490956</v>
      </c>
      <c r="CB30" s="8">
        <f>'Commodity Costs Avoided Detail'!AE28+AX30+$H30+BL30+G30</f>
        <v>18.760991514406587</v>
      </c>
      <c r="CC30" s="8">
        <f>'Commodity Costs Avoided Detail'!AF28+AY30+$H30+BM30+$G30</f>
        <v>13.082486591653367</v>
      </c>
      <c r="CD30" s="8">
        <f>'Commodity Costs Avoided Detail'!AG28+AZ30+$H30+BN30+$G30</f>
        <v>15.025023152821724</v>
      </c>
      <c r="CE30" s="8">
        <f>'Commodity Costs Avoided Detail'!AH28+BA30+$H30+BO30+$G30</f>
        <v>12.397011392821721</v>
      </c>
      <c r="CF30" s="8">
        <f>'Commodity Costs Avoided Detail'!AH28+$H30+BP30+$G30</f>
        <v>11.803187392821723</v>
      </c>
      <c r="CG30" s="8">
        <f>'Commodity Costs Avoided Detail'!$AE28+BB30+$K30+BQ30+$G30</f>
        <v>20.983241753848937</v>
      </c>
      <c r="CH30" s="8">
        <f>'Commodity Costs Avoided Detail'!$AE28+BC30+$K30+BR30+$G30</f>
        <v>16.875479196368815</v>
      </c>
      <c r="CI30" s="8">
        <f>'Commodity Costs Avoided Detail'!AE28+BD30+$K30+BS30+$G30</f>
        <v>22.609293717143576</v>
      </c>
      <c r="CJ30" s="8">
        <f>'Commodity Costs Avoided Detail'!AF28+BE30+$K30+BT30+$G30</f>
        <v>13.720465546573003</v>
      </c>
      <c r="CK30" s="8">
        <f>'Commodity Costs Avoided Detail'!AG28+BF30+$K30+BU30+$G30</f>
        <v>16.952987689474909</v>
      </c>
      <c r="CL30" s="8">
        <f>'Commodity Costs Avoided Detail'!AH28+BG30+$K30+BV30+$G30</f>
        <v>12.619984729474911</v>
      </c>
      <c r="CM30" s="8">
        <f>'Commodity Costs Avoided Detail'!AH28+$K30+BW30+$G30</f>
        <v>11.700780729474907</v>
      </c>
    </row>
    <row r="31" spans="1:111" ht="13.8" customHeight="1" x14ac:dyDescent="0.3">
      <c r="A31" s="89">
        <f t="shared" si="40"/>
        <v>2048</v>
      </c>
      <c r="B31" s="91">
        <v>8.8999999999999996E-2</v>
      </c>
      <c r="C31" s="167">
        <v>0.74663999999999997</v>
      </c>
      <c r="D31" s="168">
        <v>0.45084000000000002</v>
      </c>
      <c r="E31" s="170">
        <v>0.48499999999999999</v>
      </c>
      <c r="F31" s="87">
        <f>'Commodity Costs Avoided Detail'!N29</f>
        <v>3.6566639559901439</v>
      </c>
      <c r="G31" s="156">
        <v>0.5202</v>
      </c>
      <c r="H31" s="136">
        <v>6.8239999999999998</v>
      </c>
      <c r="I31" s="144">
        <f>'Greenhouse Gas Costs Avoided De'!J28</f>
        <v>6.0752597400000008</v>
      </c>
      <c r="J31" s="146">
        <v>13.890120326922913</v>
      </c>
      <c r="K31" s="174">
        <f>'Greenhouse Gas Costs Avoided De'!O28</f>
        <v>7.2500575123870705</v>
      </c>
      <c r="L31" s="150">
        <v>1.89</v>
      </c>
      <c r="M31" s="154">
        <f t="shared" si="41"/>
        <v>2.1621621621621519E-2</v>
      </c>
      <c r="N31" s="141">
        <v>132</v>
      </c>
      <c r="O31" s="21">
        <f t="shared" si="42"/>
        <v>2048</v>
      </c>
      <c r="P31" s="8">
        <f t="shared" si="58"/>
        <v>0.6442738338206585</v>
      </c>
      <c r="Q31" s="8">
        <f t="shared" si="58"/>
        <v>0.6442738338206585</v>
      </c>
      <c r="R31" s="8">
        <f t="shared" si="59"/>
        <v>0.57472154494229177</v>
      </c>
      <c r="S31" s="8">
        <f t="shared" si="60"/>
        <v>0.10720049999999999</v>
      </c>
      <c r="T31" s="8">
        <f t="shared" si="61"/>
        <v>0.11570000000000001</v>
      </c>
      <c r="U31" s="8">
        <f t="shared" si="62"/>
        <v>8.8999999999999996E-2</v>
      </c>
      <c r="V31" s="8">
        <f t="shared" si="63"/>
        <v>8.8999999999999996E-2</v>
      </c>
      <c r="W31" s="8">
        <f t="shared" si="64"/>
        <v>0.6442738338206585</v>
      </c>
      <c r="X31" s="8">
        <f t="shared" si="64"/>
        <v>0.6442738338206585</v>
      </c>
      <c r="Y31" s="8">
        <f t="shared" si="65"/>
        <v>0.57472154494229177</v>
      </c>
      <c r="Z31" s="8">
        <f t="shared" si="66"/>
        <v>0.10720049999999999</v>
      </c>
      <c r="AA31" s="8">
        <f t="shared" si="67"/>
        <v>0.11570000000000001</v>
      </c>
      <c r="AB31" s="8">
        <f t="shared" si="68"/>
        <v>8.8999999999999996E-2</v>
      </c>
      <c r="AC31" s="9">
        <f t="shared" si="69"/>
        <v>8.8999999999999996E-2</v>
      </c>
      <c r="AD31" s="50"/>
      <c r="AE31" s="7">
        <f t="shared" si="43"/>
        <v>2048</v>
      </c>
      <c r="AF31" s="8">
        <f t="shared" si="70"/>
        <v>4.5394336600280862</v>
      </c>
      <c r="AG31" s="8">
        <f t="shared" si="71"/>
        <v>2.2845515805370105</v>
      </c>
      <c r="AH31" s="8">
        <f t="shared" si="72"/>
        <v>5.4740229429750444</v>
      </c>
      <c r="AI31" s="8">
        <f t="shared" si="73"/>
        <v>1.0258634585384641</v>
      </c>
      <c r="AJ31" s="8">
        <f t="shared" si="74"/>
        <v>2.8132416000000005</v>
      </c>
      <c r="AK31" s="8">
        <f t="shared" si="75"/>
        <v>0.45084000000000002</v>
      </c>
      <c r="AL31" s="8">
        <f t="shared" si="76"/>
        <v>0.45084000000000002</v>
      </c>
      <c r="AM31" s="8">
        <f t="shared" si="77"/>
        <v>7.5177951111777359</v>
      </c>
      <c r="AN31" s="8">
        <f t="shared" si="78"/>
        <v>3.7834655134685327</v>
      </c>
      <c r="AO31" s="8">
        <f t="shared" si="79"/>
        <v>9.0655764575966806</v>
      </c>
      <c r="AP31" s="8">
        <f t="shared" si="80"/>
        <v>1.6989412933261441</v>
      </c>
      <c r="AQ31" s="8">
        <f t="shared" si="81"/>
        <v>4.6590335999999999</v>
      </c>
      <c r="AR31" s="8">
        <f t="shared" si="82"/>
        <v>0.74663999999999997</v>
      </c>
      <c r="AS31" s="8">
        <f t="shared" si="83"/>
        <v>0.74663999999999997</v>
      </c>
      <c r="AU31" s="7">
        <f t="shared" si="44"/>
        <v>2048</v>
      </c>
      <c r="AV31" s="8">
        <f t="shared" si="84"/>
        <v>5.1837074938487451</v>
      </c>
      <c r="AW31" s="8">
        <f t="shared" si="85"/>
        <v>2.9288254143576689</v>
      </c>
      <c r="AX31" s="8">
        <f t="shared" si="86"/>
        <v>6.048744487917336</v>
      </c>
      <c r="AY31" s="8">
        <f t="shared" si="87"/>
        <v>1.1330639585384641</v>
      </c>
      <c r="AZ31" s="8">
        <f t="shared" si="88"/>
        <v>2.9289416000000004</v>
      </c>
      <c r="BA31" s="8">
        <f t="shared" si="89"/>
        <v>0.53983999999999999</v>
      </c>
      <c r="BB31" s="8">
        <f t="shared" si="90"/>
        <v>8.1620689449983939</v>
      </c>
      <c r="BC31" s="8">
        <f t="shared" si="91"/>
        <v>4.4277393472891911</v>
      </c>
      <c r="BD31" s="8">
        <f t="shared" si="92"/>
        <v>9.6402980025389731</v>
      </c>
      <c r="BE31" s="8">
        <f t="shared" si="93"/>
        <v>1.8061417933261441</v>
      </c>
      <c r="BF31" s="8">
        <f t="shared" si="94"/>
        <v>4.7747336000000002</v>
      </c>
      <c r="BG31" s="8">
        <f t="shared" si="95"/>
        <v>0.83563999999999994</v>
      </c>
      <c r="BH31" s="50"/>
      <c r="BI31" s="7">
        <f t="shared" si="45"/>
        <v>2048</v>
      </c>
      <c r="BJ31" s="8">
        <f>(('Commodity Costs Avoided Detail'!$AE29+AV31)*0.1)</f>
        <v>0.90970563538021743</v>
      </c>
      <c r="BK31" s="8">
        <f>(('Commodity Costs Avoided Detail'!$AE29+AW31)*0.1)</f>
        <v>0.68421742743110969</v>
      </c>
      <c r="BL31" s="8">
        <f>(('Commodity Costs Avoided Detail'!AE29+AX31)*0.1)</f>
        <v>0.99620933478707652</v>
      </c>
      <c r="BM31" s="8">
        <f>(('Commodity Costs Avoided Detail'!AF29+AY31)*0.1)</f>
        <v>0.48166390088585775</v>
      </c>
      <c r="BN31" s="8">
        <f>(('Commodity Costs Avoided Detail'!AG29+AZ31)*0.1)</f>
        <v>0.65856055559901439</v>
      </c>
      <c r="BO31" s="8">
        <f>(('Commodity Costs Avoided Detail'!AH29+BA31)*0.1)</f>
        <v>0.4196503955990144</v>
      </c>
      <c r="BP31" s="8">
        <f>(('Commodity Costs Avoided Detail'!AH29)*0.1)</f>
        <v>0.36566639559901443</v>
      </c>
      <c r="BQ31" s="8">
        <f>(('Commodity Costs Avoided Detail'!AE29+BB31)*0.1)</f>
        <v>1.2075417804951822</v>
      </c>
      <c r="BR31" s="8">
        <f>(('Commodity Costs Avoided Detail'!AE29+BC31)*0.1)</f>
        <v>0.83410882072426196</v>
      </c>
      <c r="BS31" s="8">
        <f>(('Commodity Costs Avoided Detail'!AE29+BD31)*0.1)</f>
        <v>1.3553646862492403</v>
      </c>
      <c r="BT31" s="8">
        <f>(('Commodity Costs Avoided Detail'!AF29+BE31)*0.1)</f>
        <v>0.54897168436462573</v>
      </c>
      <c r="BU31" s="8">
        <f>(('Commodity Costs Avoided Detail'!AG29+BF31)*0.1)</f>
        <v>0.84313975559901455</v>
      </c>
      <c r="BV31" s="8">
        <f>(('Commodity Costs Avoided Detail'!AH29+BG31)*0.1)</f>
        <v>0.4492303955990144</v>
      </c>
      <c r="BW31" s="8">
        <f>(('Commodity Costs Avoided Detail'!AH29)*0.1)</f>
        <v>0.36566639559901443</v>
      </c>
      <c r="BX31" s="50"/>
      <c r="BY31" s="52">
        <f t="shared" si="46"/>
        <v>2048</v>
      </c>
      <c r="BZ31" s="8">
        <f>'Commodity Costs Avoided Detail'!$AE29+AV31+$H31+BJ31+$G31</f>
        <v>17.350961989182391</v>
      </c>
      <c r="CA31" s="8">
        <f>'Commodity Costs Avoided Detail'!$AE29+AW31+$H31+BK31+$G31</f>
        <v>14.870591701742207</v>
      </c>
      <c r="CB31" s="8">
        <f>'Commodity Costs Avoided Detail'!AE29+AX31+$H31+BL31+G31</f>
        <v>18.302502682657838</v>
      </c>
      <c r="CC31" s="8">
        <f>'Commodity Costs Avoided Detail'!AF29+AY31+$H31+BM31+$G31</f>
        <v>12.642502909744437</v>
      </c>
      <c r="CD31" s="8">
        <f>'Commodity Costs Avoided Detail'!AG29+AZ31+$H31+BN31+$G31</f>
        <v>14.588366111589156</v>
      </c>
      <c r="CE31" s="8">
        <f>'Commodity Costs Avoided Detail'!AH29+BA31+$H31+BO31+$G31</f>
        <v>11.960354351589157</v>
      </c>
      <c r="CF31" s="8">
        <f>'Commodity Costs Avoided Detail'!AH29+$H31+BP31+$G31</f>
        <v>11.366530351589159</v>
      </c>
      <c r="CG31" s="8">
        <f>'Commodity Costs Avoided Detail'!$AE29+BB31+$K31+BQ31+$G31</f>
        <v>21.053217097834075</v>
      </c>
      <c r="CH31" s="8">
        <f>'Commodity Costs Avoided Detail'!$AE29+BC31+$K31+BR31+$G31</f>
        <v>16.94545454035395</v>
      </c>
      <c r="CI31" s="8">
        <f>'Commodity Costs Avoided Detail'!AE29+BD31+$K31+BS31+$G31</f>
        <v>22.679269061128711</v>
      </c>
      <c r="CJ31" s="8">
        <f>'Commodity Costs Avoided Detail'!AF29+BE31+$K31+BT31+$G31</f>
        <v>13.808946040397952</v>
      </c>
      <c r="CK31" s="8">
        <f>'Commodity Costs Avoided Detail'!AG29+BF31+$K31+BU31+$G31</f>
        <v>17.044794823976229</v>
      </c>
      <c r="CL31" s="8">
        <f>'Commodity Costs Avoided Detail'!AH29+BG31+$K31+BV31+$G31</f>
        <v>12.711791863976231</v>
      </c>
      <c r="CM31" s="8">
        <f>'Commodity Costs Avoided Detail'!AH29+$K31+BW31+$G31</f>
        <v>11.792587863976227</v>
      </c>
    </row>
    <row r="32" spans="1:111" ht="13.8" customHeight="1" x14ac:dyDescent="0.3">
      <c r="A32" s="88">
        <f t="shared" si="40"/>
        <v>2049</v>
      </c>
      <c r="B32" s="91">
        <v>8.8999999999999996E-2</v>
      </c>
      <c r="C32" s="167">
        <v>0.74663999999999997</v>
      </c>
      <c r="D32" s="168">
        <v>0.45084000000000002</v>
      </c>
      <c r="E32" s="170">
        <v>0.48499999999999999</v>
      </c>
      <c r="F32" s="87">
        <f>'Commodity Costs Avoided Detail'!N30</f>
        <v>3.6946405399489248</v>
      </c>
      <c r="G32" s="156">
        <v>0.5202</v>
      </c>
      <c r="H32" s="136">
        <v>6.3360000000000003</v>
      </c>
      <c r="I32" s="144">
        <f>'Greenhouse Gas Costs Avoided De'!J29</f>
        <v>6.1510651200000019</v>
      </c>
      <c r="J32" s="146">
        <v>14.092403632654802</v>
      </c>
      <c r="K32" s="174">
        <f>'Greenhouse Gas Costs Avoided De'!O29</f>
        <v>7.3405216881209565</v>
      </c>
      <c r="L32" s="150">
        <v>1.93</v>
      </c>
      <c r="M32" s="154">
        <f t="shared" si="41"/>
        <v>2.1164021164021184E-2</v>
      </c>
      <c r="N32" s="141">
        <v>133</v>
      </c>
      <c r="O32" s="21">
        <f t="shared" si="42"/>
        <v>2049</v>
      </c>
      <c r="P32" s="8">
        <f t="shared" si="58"/>
        <v>0.6442738338206585</v>
      </c>
      <c r="Q32" s="8">
        <f t="shared" si="58"/>
        <v>0.6442738338206585</v>
      </c>
      <c r="R32" s="8">
        <f t="shared" si="59"/>
        <v>0.57472154494229177</v>
      </c>
      <c r="S32" s="8">
        <f t="shared" si="60"/>
        <v>0.10720049999999999</v>
      </c>
      <c r="T32" s="8">
        <f t="shared" si="61"/>
        <v>0.11570000000000001</v>
      </c>
      <c r="U32" s="8">
        <f t="shared" si="62"/>
        <v>8.8999999999999996E-2</v>
      </c>
      <c r="V32" s="8">
        <f t="shared" si="63"/>
        <v>8.8999999999999996E-2</v>
      </c>
      <c r="W32" s="8">
        <f t="shared" si="64"/>
        <v>0.6442738338206585</v>
      </c>
      <c r="X32" s="8">
        <f t="shared" si="64"/>
        <v>0.6442738338206585</v>
      </c>
      <c r="Y32" s="8">
        <f t="shared" si="65"/>
        <v>0.57472154494229177</v>
      </c>
      <c r="Z32" s="8">
        <f t="shared" si="66"/>
        <v>0.10720049999999999</v>
      </c>
      <c r="AA32" s="8">
        <f t="shared" si="67"/>
        <v>0.11570000000000001</v>
      </c>
      <c r="AB32" s="8">
        <f t="shared" si="68"/>
        <v>8.8999999999999996E-2</v>
      </c>
      <c r="AC32" s="9">
        <f t="shared" si="69"/>
        <v>8.8999999999999996E-2</v>
      </c>
      <c r="AD32" s="50"/>
      <c r="AE32" s="7">
        <f t="shared" si="43"/>
        <v>2049</v>
      </c>
      <c r="AF32" s="8">
        <f t="shared" si="70"/>
        <v>4.5394336600280862</v>
      </c>
      <c r="AG32" s="8">
        <f t="shared" si="71"/>
        <v>2.2845515805370105</v>
      </c>
      <c r="AH32" s="8">
        <f t="shared" si="72"/>
        <v>5.4740229429750444</v>
      </c>
      <c r="AI32" s="8">
        <f t="shared" si="73"/>
        <v>1.0258634585384641</v>
      </c>
      <c r="AJ32" s="8">
        <f t="shared" si="74"/>
        <v>2.8132416000000005</v>
      </c>
      <c r="AK32" s="8">
        <f t="shared" si="75"/>
        <v>0.45084000000000002</v>
      </c>
      <c r="AL32" s="8">
        <f t="shared" si="76"/>
        <v>0.45084000000000002</v>
      </c>
      <c r="AM32" s="8">
        <f t="shared" si="77"/>
        <v>7.5177951111777359</v>
      </c>
      <c r="AN32" s="8">
        <f t="shared" si="78"/>
        <v>3.7834655134685327</v>
      </c>
      <c r="AO32" s="8">
        <f t="shared" si="79"/>
        <v>9.0655764575966806</v>
      </c>
      <c r="AP32" s="8">
        <f t="shared" si="80"/>
        <v>1.6989412933261441</v>
      </c>
      <c r="AQ32" s="8">
        <f t="shared" si="81"/>
        <v>4.6590335999999999</v>
      </c>
      <c r="AR32" s="8">
        <f t="shared" si="82"/>
        <v>0.74663999999999997</v>
      </c>
      <c r="AS32" s="8">
        <f t="shared" si="83"/>
        <v>0.74663999999999997</v>
      </c>
      <c r="AU32" s="7">
        <f t="shared" si="44"/>
        <v>2049</v>
      </c>
      <c r="AV32" s="8">
        <f t="shared" si="84"/>
        <v>5.1837074938487451</v>
      </c>
      <c r="AW32" s="8">
        <f t="shared" si="85"/>
        <v>2.9288254143576689</v>
      </c>
      <c r="AX32" s="8">
        <f t="shared" si="86"/>
        <v>6.048744487917336</v>
      </c>
      <c r="AY32" s="8">
        <f t="shared" si="87"/>
        <v>1.1330639585384641</v>
      </c>
      <c r="AZ32" s="8">
        <f t="shared" si="88"/>
        <v>2.9289416000000004</v>
      </c>
      <c r="BA32" s="8">
        <f t="shared" si="89"/>
        <v>0.53983999999999999</v>
      </c>
      <c r="BB32" s="8">
        <f t="shared" si="90"/>
        <v>8.1620689449983939</v>
      </c>
      <c r="BC32" s="8">
        <f t="shared" si="91"/>
        <v>4.4277393472891911</v>
      </c>
      <c r="BD32" s="8">
        <f t="shared" si="92"/>
        <v>9.6402980025389731</v>
      </c>
      <c r="BE32" s="8">
        <f t="shared" si="93"/>
        <v>1.8061417933261441</v>
      </c>
      <c r="BF32" s="8">
        <f t="shared" si="94"/>
        <v>4.7747336000000002</v>
      </c>
      <c r="BG32" s="8">
        <f t="shared" si="95"/>
        <v>0.83563999999999994</v>
      </c>
      <c r="BH32" s="50"/>
      <c r="BI32" s="7">
        <f t="shared" si="45"/>
        <v>2049</v>
      </c>
      <c r="BJ32" s="8">
        <f>(('Commodity Costs Avoided Detail'!$AE30+AV32)*0.1)</f>
        <v>0.91173988513276116</v>
      </c>
      <c r="BK32" s="8">
        <f>(('Commodity Costs Avoided Detail'!$AE30+AW32)*0.1)</f>
        <v>0.68625167718365343</v>
      </c>
      <c r="BL32" s="8">
        <f>(('Commodity Costs Avoided Detail'!AE30+AX32)*0.1)</f>
        <v>0.99824358453962003</v>
      </c>
      <c r="BM32" s="8">
        <f>(('Commodity Costs Avoided Detail'!AF30+AY32)*0.1)</f>
        <v>0.48535832449725352</v>
      </c>
      <c r="BN32" s="8">
        <f>(('Commodity Costs Avoided Detail'!AG30+AZ32)*0.1)</f>
        <v>0.6623582139948927</v>
      </c>
      <c r="BO32" s="8">
        <f>(('Commodity Costs Avoided Detail'!AH30+BA32)*0.1)</f>
        <v>0.4234480539948926</v>
      </c>
      <c r="BP32" s="8">
        <f>(('Commodity Costs Avoided Detail'!AH30)*0.1)</f>
        <v>0.36946405399489263</v>
      </c>
      <c r="BQ32" s="8">
        <f>(('Commodity Costs Avoided Detail'!AE30+BB32)*0.1)</f>
        <v>1.2095760302477261</v>
      </c>
      <c r="BR32" s="8">
        <f>(('Commodity Costs Avoided Detail'!AE30+BC32)*0.1)</f>
        <v>0.83614307047680558</v>
      </c>
      <c r="BS32" s="8">
        <f>(('Commodity Costs Avoided Detail'!AE30+BD32)*0.1)</f>
        <v>1.3573989360017837</v>
      </c>
      <c r="BT32" s="8">
        <f>(('Commodity Costs Avoided Detail'!AF30+BE32)*0.1)</f>
        <v>0.55266610797602156</v>
      </c>
      <c r="BU32" s="8">
        <f>(('Commodity Costs Avoided Detail'!AG30+BF32)*0.1)</f>
        <v>0.84693741399489264</v>
      </c>
      <c r="BV32" s="8">
        <f>(('Commodity Costs Avoided Detail'!AH30+BG32)*0.1)</f>
        <v>0.4530280539948926</v>
      </c>
      <c r="BW32" s="8">
        <f>(('Commodity Costs Avoided Detail'!AH30)*0.1)</f>
        <v>0.36946405399489263</v>
      </c>
      <c r="BX32" s="50"/>
      <c r="BY32" s="52">
        <f t="shared" si="46"/>
        <v>2049</v>
      </c>
      <c r="BZ32" s="8">
        <f>'Commodity Costs Avoided Detail'!$AE30+AV32+$H32+BJ32+$G32</f>
        <v>16.885338736460373</v>
      </c>
      <c r="CA32" s="8">
        <f>'Commodity Costs Avoided Detail'!$AE30+AW32+$H32+BK32+$G32</f>
        <v>14.404968449020188</v>
      </c>
      <c r="CB32" s="8">
        <f>'Commodity Costs Avoided Detail'!AE30+AX32+$H32+BL32+G32</f>
        <v>17.83687942993582</v>
      </c>
      <c r="CC32" s="8">
        <f>'Commodity Costs Avoided Detail'!AF30+AY32+$H32+BM32+$G32</f>
        <v>12.19514156946979</v>
      </c>
      <c r="CD32" s="8">
        <f>'Commodity Costs Avoided Detail'!AG30+AZ32+$H32+BN32+$G32</f>
        <v>14.14214035394382</v>
      </c>
      <c r="CE32" s="8">
        <f>'Commodity Costs Avoided Detail'!AH30+BA32+$H32+BO32+$G32</f>
        <v>11.51412859394382</v>
      </c>
      <c r="CF32" s="8">
        <f>'Commodity Costs Avoided Detail'!AH30+$H32+BP32+$G32</f>
        <v>10.920304593943818</v>
      </c>
      <c r="CG32" s="8">
        <f>'Commodity Costs Avoided Detail'!$AE30+BB32+$K32+BQ32+$G32</f>
        <v>21.166058020845941</v>
      </c>
      <c r="CH32" s="8">
        <f>'Commodity Costs Avoided Detail'!$AE30+BC32+$K32+BR32+$G32</f>
        <v>17.058295463365816</v>
      </c>
      <c r="CI32" s="8">
        <f>'Commodity Costs Avoided Detail'!AE30+BD32+$K32+BS32+$G32</f>
        <v>22.792109984140573</v>
      </c>
      <c r="CJ32" s="8">
        <f>'Commodity Costs Avoided Detail'!AF30+BE32+$K32+BT32+$G32</f>
        <v>13.940048875857194</v>
      </c>
      <c r="CK32" s="8">
        <f>'Commodity Costs Avoided Detail'!AG30+BF32+$K32+BU32+$G32</f>
        <v>17.177033242064773</v>
      </c>
      <c r="CL32" s="8">
        <f>'Commodity Costs Avoided Detail'!AH30+BG32+$K32+BV32+$G32</f>
        <v>12.844030282064775</v>
      </c>
      <c r="CM32" s="8">
        <f>'Commodity Costs Avoided Detail'!AH30+$K32+BW32+$G32</f>
        <v>11.924826282064775</v>
      </c>
    </row>
    <row r="33" spans="1:144" ht="13.8" customHeight="1" thickBot="1" x14ac:dyDescent="0.35">
      <c r="A33" s="89">
        <f t="shared" si="40"/>
        <v>2050</v>
      </c>
      <c r="B33" s="91">
        <v>8.8999999999999996E-2</v>
      </c>
      <c r="C33" s="167">
        <v>0.74663999999999997</v>
      </c>
      <c r="D33" s="168">
        <v>0.45084000000000002</v>
      </c>
      <c r="E33" s="170">
        <v>0.48499999999999999</v>
      </c>
      <c r="F33" s="87">
        <f>'Commodity Costs Avoided Detail'!N31</f>
        <v>3.7485622910761642</v>
      </c>
      <c r="G33" s="156">
        <v>0.5202</v>
      </c>
      <c r="H33" s="31">
        <v>5.8319999999999999</v>
      </c>
      <c r="I33" s="144">
        <f>'Greenhouse Gas Costs Avoided De'!I30</f>
        <v>6.335026311896709E-2</v>
      </c>
      <c r="J33" s="148">
        <v>14.294686938386688</v>
      </c>
      <c r="K33" s="174">
        <f>'Greenhouse Gas Costs Avoided De'!O30</f>
        <v>7.4309858638548398</v>
      </c>
      <c r="L33" s="150">
        <v>1.98</v>
      </c>
      <c r="M33" s="154">
        <f t="shared" si="41"/>
        <v>2.5906735751295359E-2</v>
      </c>
      <c r="N33" s="141">
        <v>134</v>
      </c>
      <c r="O33" s="21">
        <f t="shared" si="42"/>
        <v>2050</v>
      </c>
      <c r="P33" s="8">
        <f t="shared" si="58"/>
        <v>0.6442738338206585</v>
      </c>
      <c r="Q33" s="8">
        <f t="shared" si="58"/>
        <v>0.6442738338206585</v>
      </c>
      <c r="R33" s="8">
        <f t="shared" si="59"/>
        <v>0.57472154494229177</v>
      </c>
      <c r="S33" s="8">
        <f t="shared" si="60"/>
        <v>0.10720049999999999</v>
      </c>
      <c r="T33" s="8">
        <f t="shared" si="61"/>
        <v>0.11570000000000001</v>
      </c>
      <c r="U33" s="8">
        <f t="shared" si="62"/>
        <v>8.8999999999999996E-2</v>
      </c>
      <c r="V33" s="8">
        <f t="shared" si="63"/>
        <v>8.8999999999999996E-2</v>
      </c>
      <c r="W33" s="8">
        <f t="shared" si="64"/>
        <v>0.6442738338206585</v>
      </c>
      <c r="X33" s="8">
        <f t="shared" si="64"/>
        <v>0.6442738338206585</v>
      </c>
      <c r="Y33" s="8">
        <f t="shared" si="65"/>
        <v>0.57472154494229177</v>
      </c>
      <c r="Z33" s="8">
        <f t="shared" si="66"/>
        <v>0.10720049999999999</v>
      </c>
      <c r="AA33" s="8">
        <f t="shared" si="67"/>
        <v>0.11570000000000001</v>
      </c>
      <c r="AB33" s="8">
        <f t="shared" si="68"/>
        <v>8.8999999999999996E-2</v>
      </c>
      <c r="AC33" s="9">
        <f t="shared" si="69"/>
        <v>8.8999999999999996E-2</v>
      </c>
      <c r="AD33" s="50"/>
      <c r="AE33" s="7">
        <f t="shared" si="43"/>
        <v>2050</v>
      </c>
      <c r="AF33" s="8">
        <f t="shared" si="70"/>
        <v>4.5394336600280862</v>
      </c>
      <c r="AG33" s="8">
        <f t="shared" si="71"/>
        <v>2.2845515805370105</v>
      </c>
      <c r="AH33" s="8">
        <f t="shared" si="72"/>
        <v>5.4740229429750444</v>
      </c>
      <c r="AI33" s="8">
        <f t="shared" si="73"/>
        <v>1.0258634585384641</v>
      </c>
      <c r="AJ33" s="8">
        <f t="shared" si="74"/>
        <v>2.8132416000000005</v>
      </c>
      <c r="AK33" s="8">
        <f t="shared" si="75"/>
        <v>0.45084000000000002</v>
      </c>
      <c r="AL33" s="8">
        <f t="shared" si="76"/>
        <v>0.45084000000000002</v>
      </c>
      <c r="AM33" s="8">
        <f t="shared" si="77"/>
        <v>7.5177951111777359</v>
      </c>
      <c r="AN33" s="8">
        <f t="shared" si="78"/>
        <v>3.7834655134685327</v>
      </c>
      <c r="AO33" s="8">
        <f t="shared" si="79"/>
        <v>9.0655764575966806</v>
      </c>
      <c r="AP33" s="8">
        <f t="shared" si="80"/>
        <v>1.6989412933261441</v>
      </c>
      <c r="AQ33" s="8">
        <f t="shared" si="81"/>
        <v>4.6590335999999999</v>
      </c>
      <c r="AR33" s="8">
        <f t="shared" si="82"/>
        <v>0.74663999999999997</v>
      </c>
      <c r="AS33" s="8">
        <f t="shared" si="83"/>
        <v>0.74663999999999997</v>
      </c>
      <c r="AU33" s="7">
        <f t="shared" si="44"/>
        <v>2050</v>
      </c>
      <c r="AV33" s="8">
        <f t="shared" si="84"/>
        <v>5.1837074938487451</v>
      </c>
      <c r="AW33" s="8">
        <f t="shared" si="85"/>
        <v>2.9288254143576689</v>
      </c>
      <c r="AX33" s="8">
        <f t="shared" si="86"/>
        <v>6.048744487917336</v>
      </c>
      <c r="AY33" s="8">
        <f t="shared" si="87"/>
        <v>1.1330639585384641</v>
      </c>
      <c r="AZ33" s="8">
        <f t="shared" si="88"/>
        <v>2.9289416000000004</v>
      </c>
      <c r="BA33" s="8">
        <f t="shared" si="89"/>
        <v>0.53983999999999999</v>
      </c>
      <c r="BB33" s="8">
        <f t="shared" si="90"/>
        <v>8.1620689449983939</v>
      </c>
      <c r="BC33" s="8">
        <f t="shared" si="91"/>
        <v>4.4277393472891911</v>
      </c>
      <c r="BD33" s="8">
        <f t="shared" si="92"/>
        <v>9.6402980025389731</v>
      </c>
      <c r="BE33" s="8">
        <f t="shared" si="93"/>
        <v>1.8061417933261441</v>
      </c>
      <c r="BF33" s="8">
        <f t="shared" si="94"/>
        <v>4.7747336000000002</v>
      </c>
      <c r="BG33" s="8">
        <f t="shared" si="95"/>
        <v>0.83563999999999994</v>
      </c>
      <c r="BH33" s="50"/>
      <c r="BI33" s="7">
        <f t="shared" si="45"/>
        <v>2050</v>
      </c>
      <c r="BJ33" s="8">
        <f>(('Commodity Costs Avoided Detail'!$AE31+AV33)*0.1)</f>
        <v>0.9160150309475269</v>
      </c>
      <c r="BK33" s="8">
        <f>(('Commodity Costs Avoided Detail'!$AE31+AW33)*0.1)</f>
        <v>0.69052682299841928</v>
      </c>
      <c r="BL33" s="8">
        <f>(('Commodity Costs Avoided Detail'!AE31+AX33)*0.1)</f>
        <v>1.0025187303543859</v>
      </c>
      <c r="BM33" s="8">
        <f>(('Commodity Costs Avoided Detail'!AF31+AY33)*0.1)</f>
        <v>0.49058220893691501</v>
      </c>
      <c r="BN33" s="8">
        <f>(('Commodity Costs Avoided Detail'!AG31+AZ33)*0.1)</f>
        <v>0.66775038910761664</v>
      </c>
      <c r="BO33" s="8">
        <f>(('Commodity Costs Avoided Detail'!AH31+BA33)*0.1)</f>
        <v>0.42884022910761654</v>
      </c>
      <c r="BP33" s="8">
        <f>(('Commodity Costs Avoided Detail'!AH31)*0.1)</f>
        <v>0.37485622910761657</v>
      </c>
      <c r="BQ33" s="8">
        <f>(('Commodity Costs Avoided Detail'!AE31+BB33)*0.1)</f>
        <v>1.2138511760624917</v>
      </c>
      <c r="BR33" s="8">
        <f>(('Commodity Costs Avoided Detail'!AE31+BC33)*0.1)</f>
        <v>0.84041821629157143</v>
      </c>
      <c r="BS33" s="8">
        <f>(('Commodity Costs Avoided Detail'!AE31+BD33)*0.1)</f>
        <v>1.3616740818165498</v>
      </c>
      <c r="BT33" s="8">
        <f>(('Commodity Costs Avoided Detail'!AF31+BE33)*0.1)</f>
        <v>0.55788999241568304</v>
      </c>
      <c r="BU33" s="8">
        <f>(('Commodity Costs Avoided Detail'!AG31+BF33)*0.1)</f>
        <v>0.85232958910761658</v>
      </c>
      <c r="BV33" s="8">
        <f>(('Commodity Costs Avoided Detail'!AH31+BG33)*0.1)</f>
        <v>0.45842022910761654</v>
      </c>
      <c r="BW33" s="8">
        <f>(('Commodity Costs Avoided Detail'!AH31)*0.1)</f>
        <v>0.37485622910761657</v>
      </c>
      <c r="BX33" s="50"/>
      <c r="BY33" s="52">
        <f t="shared" si="46"/>
        <v>2050</v>
      </c>
      <c r="BZ33" s="8">
        <f>'Commodity Costs Avoided Detail'!$AE31+AV33+$H33+BJ33+$G33</f>
        <v>16.428365340422793</v>
      </c>
      <c r="CA33" s="8">
        <f>'Commodity Costs Avoided Detail'!$AE31+AW33+$H33+BK33+$G33</f>
        <v>13.947995052982613</v>
      </c>
      <c r="CB33" s="8">
        <f>'Commodity Costs Avoided Detail'!AE31+AX33+$H33+BL33+G33</f>
        <v>17.379906033898244</v>
      </c>
      <c r="CC33" s="8">
        <f>'Commodity Costs Avoided Detail'!AF31+AY33+$H33+BM33+$G33</f>
        <v>11.748604298306066</v>
      </c>
      <c r="CD33" s="8">
        <f>'Commodity Costs Avoided Detail'!AG31+AZ33+$H33+BN33+$G33</f>
        <v>13.697454280183781</v>
      </c>
      <c r="CE33" s="8">
        <f>'Commodity Costs Avoided Detail'!AH31+BA33+$H33+BO33+$G33</f>
        <v>11.069442520183781</v>
      </c>
      <c r="CF33" s="8">
        <f>'Commodity Costs Avoided Detail'!AH31+$H33+BP33+$G33</f>
        <v>10.475618520183783</v>
      </c>
      <c r="CG33" s="8">
        <f>'Commodity Costs Avoided Detail'!$AE31+BB33+$K33+BQ33+$G33</f>
        <v>21.303548800542249</v>
      </c>
      <c r="CH33" s="8">
        <f>'Commodity Costs Avoided Detail'!$AE31+BC33+$K33+BR33+$G33</f>
        <v>17.195786243062123</v>
      </c>
      <c r="CI33" s="8">
        <f>'Commodity Costs Avoided Detail'!AE31+BD33+$K33+BS33+$G33</f>
        <v>22.929600763836884</v>
      </c>
      <c r="CJ33" s="8">
        <f>'Commodity Costs Avoided Detail'!AF31+BE33+$K33+BT33+$G33</f>
        <v>14.087975780427353</v>
      </c>
      <c r="CK33" s="8">
        <f>'Commodity Costs Avoided Detail'!AG31+BF33+$K33+BU33+$G33</f>
        <v>17.326811344038621</v>
      </c>
      <c r="CL33" s="8">
        <f>'Commodity Costs Avoided Detail'!AH31+BG33+$K33+BV33+$G33</f>
        <v>12.993808384038623</v>
      </c>
      <c r="CM33" s="8">
        <f>'Commodity Costs Avoided Detail'!AH31+$K33+BW33+$G33</f>
        <v>12.074604384038622</v>
      </c>
    </row>
    <row r="34" spans="1:144" ht="13.8" customHeight="1" thickBot="1" x14ac:dyDescent="0.35">
      <c r="A34" s="90" t="s">
        <v>29</v>
      </c>
      <c r="B34" s="23">
        <f>PMT($G$35,29,NPV($G$35,B5:B33))*-1</f>
        <v>8.8999999999999982E-2</v>
      </c>
      <c r="C34" s="23">
        <f>PMT($G$35,29,NPV($G$35,C5:C33))*-1</f>
        <v>0.74664000000000019</v>
      </c>
      <c r="D34" s="23">
        <f t="shared" ref="D34:K34" si="96">PMT($G$35,29,NPV($G$35,D5:D33))*-1</f>
        <v>0.45084000000000002</v>
      </c>
      <c r="E34" s="23">
        <f t="shared" si="96"/>
        <v>0.48499999999999988</v>
      </c>
      <c r="F34" s="23">
        <f t="shared" si="96"/>
        <v>3.3140146939569002</v>
      </c>
      <c r="G34" s="23">
        <f t="shared" si="96"/>
        <v>0.52020000000000011</v>
      </c>
      <c r="H34" s="23">
        <f t="shared" si="96"/>
        <v>7.5694291911940814</v>
      </c>
      <c r="I34" s="23">
        <f t="shared" si="96"/>
        <v>4.9393150154983614</v>
      </c>
      <c r="J34" s="23">
        <f>PMT($G$35,29,NPV($G$35,J5:J33))*-1</f>
        <v>10.982259272925615</v>
      </c>
      <c r="K34" s="23">
        <f t="shared" si="96"/>
        <v>6.0371505968575834</v>
      </c>
      <c r="L34" s="151"/>
      <c r="M34" s="151"/>
      <c r="N34" s="22"/>
      <c r="O34" s="24" t="s">
        <v>29</v>
      </c>
      <c r="P34" s="25">
        <f>PMT($B$35,29,NPV($B$35,P5:P33))*-1</f>
        <v>0.64427383382065839</v>
      </c>
      <c r="Q34" s="25">
        <f t="shared" ref="Q34:AC34" si="97">PMT($B$35,29,NPV($B$35,Q5:Q33))*-1</f>
        <v>0.64427383382065839</v>
      </c>
      <c r="R34" s="25">
        <f t="shared" si="97"/>
        <v>0.57472154494229166</v>
      </c>
      <c r="S34" s="25">
        <f t="shared" si="97"/>
        <v>0.10720049999999996</v>
      </c>
      <c r="T34" s="25">
        <f t="shared" si="97"/>
        <v>0.11570000000000003</v>
      </c>
      <c r="U34" s="25">
        <f t="shared" si="97"/>
        <v>8.8999999999999982E-2</v>
      </c>
      <c r="V34" s="25">
        <f t="shared" si="97"/>
        <v>8.8999999999999982E-2</v>
      </c>
      <c r="W34" s="25">
        <f t="shared" si="97"/>
        <v>0.64427383382065839</v>
      </c>
      <c r="X34" s="25">
        <f t="shared" si="97"/>
        <v>0.64427383382065839</v>
      </c>
      <c r="Y34" s="25">
        <f t="shared" si="97"/>
        <v>0.57472154494229166</v>
      </c>
      <c r="Z34" s="25">
        <f t="shared" si="97"/>
        <v>0.10720049999999996</v>
      </c>
      <c r="AA34" s="25">
        <f t="shared" si="97"/>
        <v>0.11570000000000003</v>
      </c>
      <c r="AB34" s="25">
        <f t="shared" si="97"/>
        <v>8.8999999999999982E-2</v>
      </c>
      <c r="AC34" s="25">
        <f t="shared" si="97"/>
        <v>8.8999999999999982E-2</v>
      </c>
      <c r="AD34" s="51"/>
      <c r="AE34" s="133" t="s">
        <v>29</v>
      </c>
      <c r="AF34" s="25">
        <f>PMT($B$35,29,NPV($B$35,AF5:AF33))*-1</f>
        <v>4.5394336600280862</v>
      </c>
      <c r="AG34" s="25">
        <f t="shared" ref="AG34:AS34" si="98">PMT($B$35,29,NPV($B$35,AG5:AG33))*-1</f>
        <v>2.2845515805370105</v>
      </c>
      <c r="AH34" s="25">
        <f t="shared" si="98"/>
        <v>5.4740229429750444</v>
      </c>
      <c r="AI34" s="25">
        <f t="shared" si="98"/>
        <v>1.0258634585384641</v>
      </c>
      <c r="AJ34" s="25">
        <f t="shared" si="98"/>
        <v>2.8132415999999996</v>
      </c>
      <c r="AK34" s="25">
        <f t="shared" si="98"/>
        <v>0.45084000000000002</v>
      </c>
      <c r="AL34" s="25">
        <f t="shared" si="98"/>
        <v>0.45084000000000002</v>
      </c>
      <c r="AM34" s="25">
        <f t="shared" si="98"/>
        <v>7.5177951111777368</v>
      </c>
      <c r="AN34" s="25">
        <f t="shared" si="98"/>
        <v>3.7834655134685313</v>
      </c>
      <c r="AO34" s="25">
        <f t="shared" si="98"/>
        <v>9.0655764575966788</v>
      </c>
      <c r="AP34" s="25">
        <f t="shared" si="98"/>
        <v>1.6989412933261439</v>
      </c>
      <c r="AQ34" s="25">
        <f t="shared" si="98"/>
        <v>4.659033599999999</v>
      </c>
      <c r="AR34" s="25">
        <f t="shared" si="98"/>
        <v>0.74664000000000019</v>
      </c>
      <c r="AS34" s="25">
        <f t="shared" si="98"/>
        <v>0.74664000000000019</v>
      </c>
      <c r="AT34" s="22"/>
      <c r="AU34" s="131" t="s">
        <v>29</v>
      </c>
      <c r="AV34" s="25">
        <f>PMT($B$35,29,NPV($B$35,AV5:AV33))*-1</f>
        <v>5.1837074938487424</v>
      </c>
      <c r="AW34" s="25">
        <f t="shared" ref="AW34:BG34" si="99">PMT($B$35,29,NPV($B$35,AW5:AW33))*-1</f>
        <v>2.9288254143576684</v>
      </c>
      <c r="AX34" s="25">
        <f t="shared" si="99"/>
        <v>6.0487444879173333</v>
      </c>
      <c r="AY34" s="25">
        <f t="shared" si="99"/>
        <v>1.1330639585384639</v>
      </c>
      <c r="AZ34" s="25">
        <f t="shared" si="99"/>
        <v>2.9289415999999999</v>
      </c>
      <c r="BA34" s="25">
        <f t="shared" si="99"/>
        <v>0.53983999999999965</v>
      </c>
      <c r="BB34" s="25">
        <f t="shared" si="99"/>
        <v>8.1620689449983885</v>
      </c>
      <c r="BC34" s="25">
        <f t="shared" si="99"/>
        <v>4.4277393472891911</v>
      </c>
      <c r="BD34" s="25">
        <f t="shared" si="99"/>
        <v>9.6402980025389713</v>
      </c>
      <c r="BE34" s="25">
        <f t="shared" si="99"/>
        <v>1.8061417933261439</v>
      </c>
      <c r="BF34" s="25">
        <f t="shared" si="99"/>
        <v>4.7747336000000011</v>
      </c>
      <c r="BG34" s="25">
        <f t="shared" si="99"/>
        <v>0.83564000000000005</v>
      </c>
      <c r="BH34" s="51"/>
      <c r="BI34" s="131" t="s">
        <v>29</v>
      </c>
      <c r="BJ34" s="25">
        <f>PMT($B$35,29,NPV($B$35,BJ5:BJ33))*-1</f>
        <v>0.87805950736962013</v>
      </c>
      <c r="BK34" s="25">
        <f t="shared" ref="BK34:BW34" si="100">PMT($B$35,29,NPV($B$35,BK5:BK33))*-1</f>
        <v>0.65257129942051273</v>
      </c>
      <c r="BL34" s="25">
        <f t="shared" si="100"/>
        <v>0.964563206776479</v>
      </c>
      <c r="BM34" s="25">
        <f t="shared" si="100"/>
        <v>0.44798439369127807</v>
      </c>
      <c r="BN34" s="25">
        <f t="shared" si="100"/>
        <v>0.62429562939568994</v>
      </c>
      <c r="BO34" s="25">
        <f t="shared" si="100"/>
        <v>0.38538546939568985</v>
      </c>
      <c r="BP34" s="25">
        <f t="shared" si="100"/>
        <v>0.33140146939568998</v>
      </c>
      <c r="BQ34" s="25">
        <f t="shared" si="100"/>
        <v>1.1758956524845847</v>
      </c>
      <c r="BR34" s="25">
        <f t="shared" si="100"/>
        <v>0.80246269271366455</v>
      </c>
      <c r="BS34" s="25">
        <f t="shared" si="100"/>
        <v>1.3237185582386428</v>
      </c>
      <c r="BT34" s="25">
        <f t="shared" si="100"/>
        <v>0.51529217717004594</v>
      </c>
      <c r="BU34" s="25">
        <f t="shared" si="100"/>
        <v>0.80887482939568967</v>
      </c>
      <c r="BV34" s="25">
        <f t="shared" si="100"/>
        <v>0.41496546939569001</v>
      </c>
      <c r="BW34" s="25">
        <f t="shared" si="100"/>
        <v>0.33140146939568998</v>
      </c>
      <c r="BX34" s="51"/>
      <c r="BY34" s="24" t="s">
        <v>29</v>
      </c>
      <c r="BZ34" s="25">
        <f>PMT($B$35,29,NPV($B$35,BZ5:BZ33))*-1</f>
        <v>17.748283772259903</v>
      </c>
      <c r="CA34" s="25">
        <f t="shared" ref="CA34:CM34" si="101">PMT($B$35,29,NPV($B$35,CA5:CA33))*-1</f>
        <v>15.267913484819719</v>
      </c>
      <c r="CB34" s="25">
        <f t="shared" si="101"/>
        <v>18.69982446573535</v>
      </c>
      <c r="CC34" s="25">
        <f t="shared" si="101"/>
        <v>13.017457521798139</v>
      </c>
      <c r="CD34" s="25">
        <f t="shared" si="101"/>
        <v>14.956881114546665</v>
      </c>
      <c r="CE34" s="25">
        <f t="shared" si="101"/>
        <v>12.328869354546672</v>
      </c>
      <c r="CF34" s="25">
        <f t="shared" si="101"/>
        <v>11.735045354546671</v>
      </c>
      <c r="CG34" s="25">
        <f t="shared" si="101"/>
        <v>19.492202774188016</v>
      </c>
      <c r="CH34" s="25">
        <f t="shared" si="101"/>
        <v>15.384440216707899</v>
      </c>
      <c r="CI34" s="25">
        <f t="shared" si="101"/>
        <v>21.118254737482651</v>
      </c>
      <c r="CJ34" s="25">
        <f t="shared" si="101"/>
        <v>12.225564545728091</v>
      </c>
      <c r="CK34" s="25">
        <f t="shared" si="101"/>
        <v>15.454973720210173</v>
      </c>
      <c r="CL34" s="25">
        <f t="shared" si="101"/>
        <v>11.121970760210175</v>
      </c>
      <c r="CM34" s="25">
        <f t="shared" si="101"/>
        <v>10.202766760210174</v>
      </c>
    </row>
    <row r="35" spans="1:144" s="22" customFormat="1" ht="13.8" customHeight="1" thickBot="1" x14ac:dyDescent="0.35">
      <c r="A35" s="159" t="s">
        <v>30</v>
      </c>
      <c r="B35" s="160">
        <v>3.8300000000000001E-2</v>
      </c>
      <c r="C35" s="161" t="s">
        <v>31</v>
      </c>
      <c r="D35" s="162">
        <v>3.8199999999999998E-2</v>
      </c>
      <c r="E35" s="163"/>
      <c r="F35" s="159" t="s">
        <v>32</v>
      </c>
      <c r="G35" s="157">
        <v>3.8300000000000001E-2</v>
      </c>
      <c r="H35" s="152"/>
      <c r="I35" s="26"/>
      <c r="J35" s="26"/>
      <c r="K35" s="26"/>
      <c r="L35" s="152"/>
      <c r="M35" s="15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</row>
    <row r="36" spans="1:144" ht="54.6" customHeight="1" thickBot="1" x14ac:dyDescent="0.35">
      <c r="A36" s="164" t="s">
        <v>116</v>
      </c>
      <c r="B36" s="165">
        <v>6.3500000000000001E-2</v>
      </c>
      <c r="C36" s="166"/>
      <c r="D36" s="158">
        <v>6.3399999999999998E-2</v>
      </c>
      <c r="E36" s="166"/>
      <c r="F36" s="166"/>
      <c r="G36" s="158">
        <v>6.3500000000000001E-2</v>
      </c>
      <c r="H36" s="155">
        <f>B36-B35</f>
        <v>2.52E-2</v>
      </c>
      <c r="CO36" s="175" t="s">
        <v>121</v>
      </c>
      <c r="CP36" s="176"/>
      <c r="CQ36" s="176"/>
      <c r="CR36" s="176"/>
      <c r="CS36" s="176"/>
      <c r="CT36" s="176"/>
      <c r="CU36" s="176"/>
      <c r="CV36" s="176"/>
      <c r="CW36" s="177"/>
      <c r="CX36" s="302" t="s">
        <v>122</v>
      </c>
      <c r="CY36" s="277" t="s">
        <v>123</v>
      </c>
      <c r="CZ36" s="278"/>
      <c r="DA36" s="278"/>
      <c r="DB36" s="278"/>
      <c r="DC36" s="278"/>
      <c r="DD36" s="279"/>
      <c r="DF36" s="175" t="s">
        <v>125</v>
      </c>
      <c r="DG36" s="176"/>
      <c r="DH36" s="176"/>
      <c r="DI36" s="176"/>
      <c r="DJ36" s="176"/>
      <c r="DK36" s="176"/>
      <c r="DL36" s="176"/>
      <c r="DM36" s="176"/>
      <c r="DN36" s="177"/>
      <c r="DP36" s="175" t="s">
        <v>126</v>
      </c>
      <c r="DQ36" s="176"/>
      <c r="DR36" s="176"/>
      <c r="DS36" s="176"/>
      <c r="DT36" s="176"/>
      <c r="DU36" s="176"/>
      <c r="DV36" s="176"/>
      <c r="DW36" s="176"/>
      <c r="DX36" s="177"/>
      <c r="DZ36" s="296" t="s">
        <v>99</v>
      </c>
      <c r="EA36" s="297"/>
      <c r="EB36" s="297"/>
      <c r="EC36" s="297"/>
      <c r="ED36" s="297"/>
      <c r="EE36" s="297"/>
      <c r="EF36" s="298"/>
      <c r="EH36" s="178" t="s">
        <v>98</v>
      </c>
      <c r="EI36" s="179"/>
      <c r="EJ36" s="179"/>
      <c r="EK36" s="179"/>
      <c r="EL36" s="179"/>
      <c r="EM36" s="179"/>
      <c r="EN36" s="179"/>
    </row>
    <row r="37" spans="1:144" ht="13.8" customHeight="1" thickBot="1" x14ac:dyDescent="0.35">
      <c r="M37" s="152" t="s">
        <v>38</v>
      </c>
      <c r="CO37" s="293"/>
      <c r="CP37" s="293"/>
      <c r="CQ37" s="96"/>
      <c r="CR37" s="96"/>
      <c r="CS37" s="96"/>
      <c r="CT37" s="189" t="s">
        <v>93</v>
      </c>
      <c r="CU37" s="189"/>
      <c r="CV37" s="189"/>
      <c r="CW37" s="189"/>
      <c r="CX37" s="302"/>
      <c r="CY37" s="306"/>
      <c r="CZ37" s="307"/>
      <c r="DA37" s="303" t="s">
        <v>120</v>
      </c>
      <c r="DB37" s="303" t="s">
        <v>97</v>
      </c>
      <c r="DC37" s="305" t="s">
        <v>95</v>
      </c>
      <c r="DD37" s="275" t="s">
        <v>124</v>
      </c>
      <c r="DE37" s="22"/>
      <c r="DF37" s="293"/>
      <c r="DG37" s="293"/>
      <c r="DH37" s="194" t="s">
        <v>16</v>
      </c>
      <c r="DI37" s="194" t="s">
        <v>17</v>
      </c>
      <c r="DJ37" s="194" t="s">
        <v>94</v>
      </c>
      <c r="DK37" s="189" t="s">
        <v>93</v>
      </c>
      <c r="DL37" s="189"/>
      <c r="DM37" s="189"/>
      <c r="DN37" s="189"/>
      <c r="DP37" s="288"/>
      <c r="DQ37" s="289"/>
      <c r="DR37" s="194" t="s">
        <v>102</v>
      </c>
      <c r="DS37" s="194" t="s">
        <v>103</v>
      </c>
      <c r="DT37" s="194" t="s">
        <v>100</v>
      </c>
      <c r="DU37" s="194" t="s">
        <v>104</v>
      </c>
      <c r="DV37" s="194" t="s">
        <v>101</v>
      </c>
      <c r="DW37" s="194" t="s">
        <v>20</v>
      </c>
      <c r="DX37" s="294" t="s">
        <v>113</v>
      </c>
      <c r="DZ37" s="190" t="s">
        <v>102</v>
      </c>
      <c r="EA37" s="190" t="s">
        <v>103</v>
      </c>
      <c r="EB37" s="190" t="s">
        <v>100</v>
      </c>
      <c r="EC37" s="190" t="s">
        <v>104</v>
      </c>
      <c r="ED37" s="190" t="s">
        <v>101</v>
      </c>
      <c r="EE37" s="190" t="s">
        <v>20</v>
      </c>
      <c r="EF37" s="287" t="s">
        <v>21</v>
      </c>
      <c r="EH37" s="178"/>
      <c r="EI37" s="179"/>
      <c r="EJ37" s="179"/>
      <c r="EK37" s="179"/>
      <c r="EL37" s="179"/>
      <c r="EM37" s="179"/>
      <c r="EN37" s="179"/>
    </row>
    <row r="38" spans="1:144" ht="13.8" customHeight="1" thickBot="1" x14ac:dyDescent="0.35">
      <c r="A38" s="248" t="s">
        <v>33</v>
      </c>
      <c r="B38" s="249"/>
      <c r="C38" s="249"/>
      <c r="D38" s="249"/>
      <c r="E38" s="249"/>
      <c r="F38" s="249"/>
      <c r="G38" s="249"/>
      <c r="H38" s="250"/>
      <c r="I38" s="1" t="s">
        <v>34</v>
      </c>
      <c r="M38" s="152" t="s">
        <v>39</v>
      </c>
      <c r="CO38" s="293"/>
      <c r="CP38" s="293"/>
      <c r="CQ38" s="189" t="s">
        <v>16</v>
      </c>
      <c r="CR38" s="189" t="s">
        <v>17</v>
      </c>
      <c r="CS38" s="189" t="s">
        <v>94</v>
      </c>
      <c r="CT38" s="189" t="s">
        <v>18</v>
      </c>
      <c r="CU38" s="189" t="s">
        <v>19</v>
      </c>
      <c r="CV38" s="189" t="s">
        <v>20</v>
      </c>
      <c r="CW38" s="195" t="s">
        <v>21</v>
      </c>
      <c r="CX38" s="302"/>
      <c r="CY38" s="306"/>
      <c r="CZ38" s="307"/>
      <c r="DA38" s="304"/>
      <c r="DB38" s="304"/>
      <c r="DC38" s="175"/>
      <c r="DD38" s="276"/>
      <c r="DF38" s="293"/>
      <c r="DG38" s="293"/>
      <c r="DH38" s="292"/>
      <c r="DI38" s="292"/>
      <c r="DJ38" s="292"/>
      <c r="DK38" s="189" t="s">
        <v>18</v>
      </c>
      <c r="DL38" s="189" t="s">
        <v>19</v>
      </c>
      <c r="DM38" s="189" t="s">
        <v>20</v>
      </c>
      <c r="DN38" s="195" t="s">
        <v>21</v>
      </c>
      <c r="DP38" s="290"/>
      <c r="DQ38" s="291"/>
      <c r="DR38" s="292"/>
      <c r="DS38" s="292"/>
      <c r="DT38" s="292"/>
      <c r="DU38" s="292"/>
      <c r="DV38" s="292"/>
      <c r="DW38" s="292"/>
      <c r="DX38" s="295"/>
      <c r="DZ38" s="189"/>
      <c r="EA38" s="189"/>
      <c r="EB38" s="189"/>
      <c r="EC38" s="189"/>
      <c r="ED38" s="189"/>
      <c r="EE38" s="189"/>
      <c r="EF38" s="195"/>
      <c r="EH38" s="178"/>
      <c r="EI38" s="179"/>
      <c r="EJ38" s="179"/>
      <c r="EK38" s="179"/>
      <c r="EL38" s="179"/>
      <c r="EM38" s="179"/>
      <c r="EN38" s="179"/>
    </row>
    <row r="39" spans="1:144" ht="13.8" customHeight="1" thickBot="1" x14ac:dyDescent="0.35">
      <c r="A39" s="240" t="s">
        <v>35</v>
      </c>
      <c r="B39" s="240"/>
      <c r="C39" s="240"/>
      <c r="D39" s="240"/>
      <c r="E39" s="240"/>
      <c r="F39" s="240"/>
      <c r="G39" s="240"/>
      <c r="H39" s="135">
        <v>1.9832963947072756E-2</v>
      </c>
      <c r="M39" s="152" t="s">
        <v>10</v>
      </c>
      <c r="CO39" s="293"/>
      <c r="CP39" s="293"/>
      <c r="CQ39" s="189"/>
      <c r="CR39" s="189"/>
      <c r="CS39" s="189"/>
      <c r="CT39" s="189"/>
      <c r="CU39" s="189"/>
      <c r="CV39" s="189"/>
      <c r="CW39" s="195"/>
      <c r="CX39" s="302"/>
      <c r="CY39" s="308"/>
      <c r="CZ39" s="285"/>
      <c r="DA39" s="304"/>
      <c r="DB39" s="304"/>
      <c r="DC39" s="175"/>
      <c r="DD39" s="276"/>
      <c r="DF39" s="293"/>
      <c r="DG39" s="293"/>
      <c r="DH39" s="190"/>
      <c r="DI39" s="190"/>
      <c r="DJ39" s="190"/>
      <c r="DK39" s="189"/>
      <c r="DL39" s="189"/>
      <c r="DM39" s="189"/>
      <c r="DN39" s="195"/>
      <c r="DP39" s="290"/>
      <c r="DQ39" s="291"/>
      <c r="DR39" s="292"/>
      <c r="DS39" s="292"/>
      <c r="DT39" s="292"/>
      <c r="DU39" s="292"/>
      <c r="DV39" s="292"/>
      <c r="DW39" s="292"/>
      <c r="DX39" s="295"/>
      <c r="DZ39" s="189"/>
      <c r="EA39" s="189"/>
      <c r="EB39" s="189"/>
      <c r="EC39" s="189"/>
      <c r="ED39" s="189"/>
      <c r="EE39" s="189"/>
      <c r="EF39" s="195"/>
      <c r="EH39" s="306"/>
      <c r="EI39" s="307"/>
      <c r="EJ39" s="139" t="s">
        <v>96</v>
      </c>
      <c r="EK39" s="139" t="s">
        <v>127</v>
      </c>
      <c r="EL39" s="138" t="s">
        <v>97</v>
      </c>
      <c r="EM39" s="138" t="s">
        <v>105</v>
      </c>
      <c r="EN39" s="140" t="s">
        <v>106</v>
      </c>
    </row>
    <row r="40" spans="1:144" ht="13.8" customHeight="1" x14ac:dyDescent="0.3">
      <c r="A40" s="244" t="s">
        <v>10</v>
      </c>
      <c r="B40" s="244"/>
      <c r="C40" s="244"/>
      <c r="D40" s="244"/>
      <c r="E40" s="244"/>
      <c r="F40" s="244"/>
      <c r="G40" s="244"/>
      <c r="H40" s="28">
        <v>1.7691905339150125E-2</v>
      </c>
      <c r="M40" s="152" t="s">
        <v>11</v>
      </c>
      <c r="N40" s="30"/>
      <c r="O40" s="30"/>
      <c r="P40" s="30"/>
      <c r="Q40" s="30"/>
      <c r="R40" s="30"/>
      <c r="S40" s="30"/>
      <c r="T40" s="30"/>
      <c r="CO40" s="251" t="s">
        <v>25</v>
      </c>
      <c r="CP40" s="16" t="s">
        <v>8</v>
      </c>
      <c r="CQ40" s="92">
        <v>3.7835151335193462</v>
      </c>
      <c r="CR40" s="92">
        <v>4.877598332779872</v>
      </c>
      <c r="CS40" s="280">
        <v>0.51</v>
      </c>
      <c r="CT40" s="95">
        <v>0.36404787329477722</v>
      </c>
      <c r="CU40" s="95">
        <v>3.9493583999999946</v>
      </c>
      <c r="CV40" s="95">
        <v>0.80454581316040341</v>
      </c>
      <c r="CW40" s="97">
        <v>14.289065552754394</v>
      </c>
      <c r="CX40" s="100">
        <f>CW40*1.02</f>
        <v>14.574846863809482</v>
      </c>
      <c r="CY40" s="300" t="s">
        <v>25</v>
      </c>
      <c r="CZ40" s="70" t="s">
        <v>8</v>
      </c>
      <c r="DA40" s="79">
        <f>CW5</f>
        <v>17.748283772259903</v>
      </c>
      <c r="DB40" s="79">
        <f>CX40</f>
        <v>14.574846863809482</v>
      </c>
      <c r="DC40" s="102">
        <f>(DA40-DB40)/DB40</f>
        <v>0.21773380798465339</v>
      </c>
      <c r="DD40" s="104">
        <f>DA40-DB40</f>
        <v>3.1734369084504213</v>
      </c>
      <c r="DF40" s="251" t="s">
        <v>25</v>
      </c>
      <c r="DG40" s="16" t="s">
        <v>8</v>
      </c>
      <c r="DH40" s="92">
        <f>CQ40*1.02</f>
        <v>3.8591854361897333</v>
      </c>
      <c r="DI40" s="92">
        <f>CR40*1.02</f>
        <v>4.9751502994354695</v>
      </c>
      <c r="DJ40" s="92">
        <f t="shared" ref="DJ40:DN45" si="102">CS40*(107/102)</f>
        <v>0.53500000000000003</v>
      </c>
      <c r="DK40" s="92">
        <f t="shared" si="102"/>
        <v>0.38189335727981533</v>
      </c>
      <c r="DL40" s="92">
        <f t="shared" si="102"/>
        <v>4.1429543999999945</v>
      </c>
      <c r="DM40" s="92">
        <f t="shared" si="102"/>
        <v>0.84398433341336443</v>
      </c>
      <c r="DN40" s="92">
        <f t="shared" si="102"/>
        <v>14.989509942595296</v>
      </c>
      <c r="DP40" s="209" t="s">
        <v>25</v>
      </c>
      <c r="DQ40" s="93" t="s">
        <v>8</v>
      </c>
      <c r="DR40" s="119">
        <f t="shared" ref="DR40:DR53" si="103">DA5-DH40</f>
        <v>-0.26229785634227643</v>
      </c>
      <c r="DS40" s="119">
        <f t="shared" ref="DS40:DS53" si="104">DB5-DI40</f>
        <v>2.5942788917586119</v>
      </c>
      <c r="DT40" s="119">
        <f t="shared" ref="DT40:DT53" si="105">DC5-DJ40</f>
        <v>-1.4799999999999924E-2</v>
      </c>
      <c r="DU40" s="119">
        <f t="shared" ref="DU40:DU53" si="106">DD5-DK40</f>
        <v>0.26238047654084307</v>
      </c>
      <c r="DV40" s="119">
        <f t="shared" ref="DV40:DV53" si="107">DE5-DL40</f>
        <v>0.39647926002809175</v>
      </c>
      <c r="DW40" s="119">
        <f t="shared" ref="DW40:DW53" si="108">DF5-DM40</f>
        <v>3.40751739562557E-2</v>
      </c>
      <c r="DX40" s="120">
        <f t="shared" ref="DX40:DX53" si="109">DG5-DN40</f>
        <v>2.7587738296646069</v>
      </c>
      <c r="DZ40" s="106">
        <f>DR40/$DX40</f>
        <v>-9.50776948519063E-2</v>
      </c>
      <c r="EA40" s="106">
        <f t="shared" ref="EA40:EF40" si="110">DS40/$DX40</f>
        <v>0.9403738950481515</v>
      </c>
      <c r="EB40" s="106">
        <f t="shared" si="110"/>
        <v>-5.364702187927891E-3</v>
      </c>
      <c r="EC40" s="106">
        <f t="shared" si="110"/>
        <v>9.5107643011366941E-2</v>
      </c>
      <c r="ED40" s="106">
        <f t="shared" si="110"/>
        <v>0.14371575363113148</v>
      </c>
      <c r="EE40" s="106">
        <f t="shared" si="110"/>
        <v>1.2351564883591175E-2</v>
      </c>
      <c r="EF40" s="106">
        <f t="shared" si="110"/>
        <v>1</v>
      </c>
      <c r="EG40" s="101"/>
      <c r="EH40" s="299" t="s">
        <v>25</v>
      </c>
      <c r="EI40" s="93" t="s">
        <v>8</v>
      </c>
      <c r="EJ40" s="76">
        <f>DA40</f>
        <v>17.748283772259903</v>
      </c>
      <c r="EK40" s="76">
        <f>DB40</f>
        <v>14.574846863809482</v>
      </c>
      <c r="EL40" s="76">
        <f>'[1]Avoided Costs'!$DG6*1.06</f>
        <v>9.451215464023214</v>
      </c>
      <c r="EM40" s="109">
        <f>'[2]Avoided Costs'!$DV6*(105/102)</f>
        <v>6.3453287986666806</v>
      </c>
      <c r="EN40" s="107">
        <f>'[2]Avoided Costs'!$DW$6*(105/102)</f>
        <v>4.8155872687828172</v>
      </c>
    </row>
    <row r="41" spans="1:144" ht="13.8" customHeight="1" x14ac:dyDescent="0.3">
      <c r="A41" s="185" t="s">
        <v>11</v>
      </c>
      <c r="B41" s="185"/>
      <c r="C41" s="185"/>
      <c r="D41" s="185"/>
      <c r="E41" s="185"/>
      <c r="F41" s="185"/>
      <c r="G41" s="185"/>
      <c r="H41" s="29">
        <v>3.3E-3</v>
      </c>
      <c r="M41" s="152" t="s">
        <v>12</v>
      </c>
      <c r="N41" s="30"/>
      <c r="O41" s="32"/>
      <c r="P41" s="32"/>
      <c r="Q41" s="32"/>
      <c r="R41" s="36"/>
      <c r="S41" s="36"/>
      <c r="T41" s="30"/>
      <c r="CO41" s="251"/>
      <c r="CP41" s="16" t="s">
        <v>9</v>
      </c>
      <c r="CQ41" s="92">
        <v>3.7835151335193462</v>
      </c>
      <c r="CR41" s="92">
        <v>4.877598332779872</v>
      </c>
      <c r="CS41" s="280"/>
      <c r="CT41" s="95">
        <v>0.36404787329477722</v>
      </c>
      <c r="CU41" s="95">
        <v>1.9875855999999974</v>
      </c>
      <c r="CV41" s="95">
        <v>0.60836853316040385</v>
      </c>
      <c r="CW41" s="97">
        <v>12.131115472754397</v>
      </c>
      <c r="CX41" s="100">
        <f t="shared" ref="CX41:CX53" si="111">CW41*1.02</f>
        <v>12.373737782209485</v>
      </c>
      <c r="CY41" s="300"/>
      <c r="CZ41" s="70" t="s">
        <v>9</v>
      </c>
      <c r="DA41" s="79">
        <f t="shared" ref="DA41:DA53" si="112">CW6</f>
        <v>15.267913484819722</v>
      </c>
      <c r="DB41" s="79">
        <f t="shared" ref="DB41:DB53" si="113">CX41</f>
        <v>12.373737782209485</v>
      </c>
      <c r="DC41" s="102">
        <f t="shared" ref="DC41:DC53" si="114">(DA41-DB41)/DB41</f>
        <v>0.23389664089790063</v>
      </c>
      <c r="DD41" s="104">
        <f t="shared" ref="DD41:DD53" si="115">DA41-DB41</f>
        <v>2.8941757026102373</v>
      </c>
      <c r="DF41" s="251"/>
      <c r="DG41" s="16" t="s">
        <v>9</v>
      </c>
      <c r="DH41" s="92">
        <f t="shared" ref="DH41:DH53" si="116">CQ41*1.02</f>
        <v>3.8591854361897333</v>
      </c>
      <c r="DI41" s="92">
        <f t="shared" ref="DI41:DI53" si="117">CR41*1.02</f>
        <v>4.9751502994354695</v>
      </c>
      <c r="DJ41" s="92">
        <f t="shared" si="102"/>
        <v>0</v>
      </c>
      <c r="DK41" s="92">
        <f t="shared" si="102"/>
        <v>0.38189335727981533</v>
      </c>
      <c r="DL41" s="92">
        <f t="shared" si="102"/>
        <v>2.0850162666666638</v>
      </c>
      <c r="DM41" s="92">
        <f t="shared" si="102"/>
        <v>0.63819052008003152</v>
      </c>
      <c r="DN41" s="92">
        <f t="shared" si="102"/>
        <v>12.725777995928633</v>
      </c>
      <c r="DP41" s="210"/>
      <c r="DQ41" s="16" t="s">
        <v>9</v>
      </c>
      <c r="DR41" s="115">
        <f t="shared" si="103"/>
        <v>-0.26229785634227643</v>
      </c>
      <c r="DS41" s="115">
        <f t="shared" si="104"/>
        <v>2.5942788917586119</v>
      </c>
      <c r="DT41" s="115">
        <f t="shared" si="105"/>
        <v>0.52020000000000011</v>
      </c>
      <c r="DU41" s="115">
        <f t="shared" si="106"/>
        <v>0.26238047654084307</v>
      </c>
      <c r="DV41" s="115">
        <f t="shared" si="107"/>
        <v>0.19953531387034662</v>
      </c>
      <c r="DW41" s="115">
        <f t="shared" si="108"/>
        <v>1.4380779340481209E-2</v>
      </c>
      <c r="DX41" s="121">
        <f t="shared" si="109"/>
        <v>2.5421354888910894</v>
      </c>
      <c r="DZ41" s="106">
        <f t="shared" ref="DZ41:DZ53" si="118">DR41/$DX41</f>
        <v>-0.10318012454036977</v>
      </c>
      <c r="EA41" s="106">
        <f t="shared" ref="EA41:EA53" si="119">DS41/$DX41</f>
        <v>1.0205116537239596</v>
      </c>
      <c r="EB41" s="106">
        <f t="shared" ref="EB41:EB53" si="120">DT41/$DX41</f>
        <v>0.20463110730062531</v>
      </c>
      <c r="EC41" s="106">
        <f t="shared" ref="EC41:EC53" si="121">DU41/$DX41</f>
        <v>0.10321262485316887</v>
      </c>
      <c r="ED41" s="106">
        <f t="shared" ref="ED41:ED53" si="122">DV41/$DX41</f>
        <v>7.8491219190439915E-2</v>
      </c>
      <c r="EE41" s="106">
        <f t="shared" ref="EE41:EE53" si="123">DW41/$DX41</f>
        <v>5.6569680897512985E-3</v>
      </c>
      <c r="EF41" s="106">
        <f t="shared" ref="EF41:EF53" si="124">DX41/$DX41</f>
        <v>1</v>
      </c>
      <c r="EG41" s="101"/>
      <c r="EH41" s="300"/>
      <c r="EI41" s="16" t="s">
        <v>9</v>
      </c>
      <c r="EJ41" s="79">
        <f t="shared" ref="EJ41:EJ53" si="125">DA41</f>
        <v>15.267913484819722</v>
      </c>
      <c r="EK41" s="79">
        <f t="shared" ref="EK41:EK53" si="126">DB41</f>
        <v>12.373737782209485</v>
      </c>
      <c r="EL41" s="79">
        <f>'[1]Avoided Costs'!$DG7*1.06</f>
        <v>8.1367211664232126</v>
      </c>
      <c r="EM41" s="108">
        <f>'[2]Avoided Costs'!$DV7*(105/102)</f>
        <v>6.3453287986666806</v>
      </c>
      <c r="EN41" s="104">
        <f>'[2]Avoided Costs'!$DW$6*(105/102)</f>
        <v>4.8155872687828172</v>
      </c>
    </row>
    <row r="42" spans="1:144" ht="13.8" customHeight="1" x14ac:dyDescent="0.3">
      <c r="A42" s="244" t="s">
        <v>12</v>
      </c>
      <c r="B42" s="244"/>
      <c r="C42" s="244"/>
      <c r="D42" s="244"/>
      <c r="E42" s="244"/>
      <c r="F42" s="244"/>
      <c r="G42" s="244"/>
      <c r="H42" s="28">
        <v>3.5616438356164386E-3</v>
      </c>
      <c r="M42" s="152" t="s">
        <v>13</v>
      </c>
      <c r="N42" s="30"/>
      <c r="O42" s="32"/>
      <c r="P42" s="32"/>
      <c r="Q42" s="32"/>
      <c r="R42" s="36"/>
      <c r="S42" s="36"/>
      <c r="T42" s="30"/>
      <c r="CO42" s="251"/>
      <c r="CP42" s="16" t="s">
        <v>10</v>
      </c>
      <c r="CQ42" s="92">
        <v>3.7835151335193462</v>
      </c>
      <c r="CR42" s="92">
        <v>4.877598332779872</v>
      </c>
      <c r="CS42" s="280"/>
      <c r="CT42" s="95">
        <v>0.3247472506095454</v>
      </c>
      <c r="CU42" s="95">
        <v>4.7624615999999929</v>
      </c>
      <c r="CV42" s="95">
        <v>0.88192607089188024</v>
      </c>
      <c r="CW42" s="97">
        <v>15.140248387800638</v>
      </c>
      <c r="CX42" s="100">
        <f t="shared" si="111"/>
        <v>15.44305335555665</v>
      </c>
      <c r="CY42" s="300"/>
      <c r="CZ42" s="70" t="s">
        <v>10</v>
      </c>
      <c r="DA42" s="79">
        <f t="shared" si="112"/>
        <v>18.699824465735354</v>
      </c>
      <c r="DB42" s="79">
        <f t="shared" si="113"/>
        <v>15.44305335555665</v>
      </c>
      <c r="DC42" s="102">
        <f t="shared" si="114"/>
        <v>0.21088906676650621</v>
      </c>
      <c r="DD42" s="104">
        <f t="shared" si="115"/>
        <v>3.256771110178704</v>
      </c>
      <c r="DF42" s="251"/>
      <c r="DG42" s="16" t="s">
        <v>10</v>
      </c>
      <c r="DH42" s="92">
        <f t="shared" si="116"/>
        <v>3.8591854361897333</v>
      </c>
      <c r="DI42" s="92">
        <f t="shared" si="117"/>
        <v>4.9751502994354695</v>
      </c>
      <c r="DJ42" s="92">
        <f t="shared" si="102"/>
        <v>0</v>
      </c>
      <c r="DK42" s="92">
        <f t="shared" si="102"/>
        <v>0.34066623348256236</v>
      </c>
      <c r="DL42" s="92">
        <f t="shared" si="102"/>
        <v>4.9959155999999929</v>
      </c>
      <c r="DM42" s="92">
        <f t="shared" si="102"/>
        <v>0.92515774103363912</v>
      </c>
      <c r="DN42" s="92">
        <f t="shared" si="102"/>
        <v>15.882417426418316</v>
      </c>
      <c r="DP42" s="210"/>
      <c r="DQ42" s="16" t="s">
        <v>10</v>
      </c>
      <c r="DR42" s="115">
        <f t="shared" si="103"/>
        <v>-0.26229785634227643</v>
      </c>
      <c r="DS42" s="115">
        <f t="shared" si="104"/>
        <v>2.5942788917586119</v>
      </c>
      <c r="DT42" s="115">
        <f t="shared" si="105"/>
        <v>0.52020000000000011</v>
      </c>
      <c r="DU42" s="115">
        <f t="shared" si="106"/>
        <v>0.2340553114597293</v>
      </c>
      <c r="DV42" s="115">
        <f t="shared" si="107"/>
        <v>0.47810734297505153</v>
      </c>
      <c r="DW42" s="115">
        <f t="shared" si="108"/>
        <v>3.9405465742839874E-2</v>
      </c>
      <c r="DX42" s="121">
        <f t="shared" si="109"/>
        <v>2.8174070393170378</v>
      </c>
      <c r="DZ42" s="106">
        <f t="shared" si="118"/>
        <v>-9.3099027823065117E-2</v>
      </c>
      <c r="EA42" s="106">
        <f t="shared" si="119"/>
        <v>0.92080372326587434</v>
      </c>
      <c r="EB42" s="106">
        <f t="shared" si="120"/>
        <v>0.18463785769701946</v>
      </c>
      <c r="EC42" s="106">
        <f t="shared" si="121"/>
        <v>8.3074723741893605E-2</v>
      </c>
      <c r="ED42" s="106">
        <f t="shared" si="122"/>
        <v>0.16969764620555097</v>
      </c>
      <c r="EE42" s="106">
        <f t="shared" si="123"/>
        <v>1.3986429789141179E-2</v>
      </c>
      <c r="EF42" s="106">
        <f t="shared" si="124"/>
        <v>1</v>
      </c>
      <c r="EG42" s="101"/>
      <c r="EH42" s="300"/>
      <c r="EI42" s="16" t="s">
        <v>10</v>
      </c>
      <c r="EJ42" s="79">
        <f t="shared" si="125"/>
        <v>18.699824465735354</v>
      </c>
      <c r="EK42" s="79">
        <f t="shared" si="126"/>
        <v>15.44305335555665</v>
      </c>
      <c r="EL42" s="79">
        <f>'[1]Avoided Costs'!$DG8*1.06</f>
        <v>9.838711118735711</v>
      </c>
      <c r="EM42" s="108">
        <f>'[2]Avoided Costs'!$DV8*(105/102)</f>
        <v>6.1517576114196029</v>
      </c>
      <c r="EN42" s="104">
        <f>'[2]Avoided Costs'!$DW$6*(105/102)</f>
        <v>4.8155872687828172</v>
      </c>
    </row>
    <row r="43" spans="1:144" ht="13.8" customHeight="1" x14ac:dyDescent="0.3">
      <c r="A43" s="185" t="s">
        <v>13</v>
      </c>
      <c r="B43" s="185"/>
      <c r="C43" s="185"/>
      <c r="D43" s="185"/>
      <c r="E43" s="185"/>
      <c r="F43" s="185"/>
      <c r="G43" s="185"/>
      <c r="H43" s="28">
        <v>2.7397260273972603E-3</v>
      </c>
      <c r="N43" s="30"/>
      <c r="O43" s="32"/>
      <c r="P43" s="32"/>
      <c r="Q43" s="32"/>
      <c r="R43" s="32"/>
      <c r="S43" s="32"/>
      <c r="T43" s="30"/>
      <c r="CO43" s="251"/>
      <c r="CP43" s="16" t="s">
        <v>11</v>
      </c>
      <c r="CQ43" s="92">
        <v>3.6069361933842154</v>
      </c>
      <c r="CR43" s="92">
        <v>4.877598332779872</v>
      </c>
      <c r="CS43" s="280"/>
      <c r="CT43" s="95">
        <v>6.8258976242770719E-2</v>
      </c>
      <c r="CU43" s="95">
        <v>1.0057484887631989</v>
      </c>
      <c r="CV43" s="95">
        <v>0.463639610080886</v>
      </c>
      <c r="CW43" s="97">
        <v>10.532181601250942</v>
      </c>
      <c r="CX43" s="100">
        <f t="shared" si="111"/>
        <v>10.74282523327596</v>
      </c>
      <c r="CY43" s="300"/>
      <c r="CZ43" s="70" t="s">
        <v>11</v>
      </c>
      <c r="DA43" s="79">
        <f t="shared" si="112"/>
        <v>13.017457521798139</v>
      </c>
      <c r="DB43" s="79">
        <f t="shared" si="113"/>
        <v>10.74282523327596</v>
      </c>
      <c r="DC43" s="102">
        <f t="shared" si="114"/>
        <v>0.21173501747719892</v>
      </c>
      <c r="DD43" s="104">
        <f t="shared" si="115"/>
        <v>2.274632288522179</v>
      </c>
      <c r="DF43" s="251"/>
      <c r="DG43" s="16" t="s">
        <v>11</v>
      </c>
      <c r="DH43" s="92">
        <f t="shared" si="116"/>
        <v>3.6790749172518997</v>
      </c>
      <c r="DI43" s="92">
        <f t="shared" si="117"/>
        <v>4.9751502994354695</v>
      </c>
      <c r="DJ43" s="92">
        <f t="shared" si="102"/>
        <v>0</v>
      </c>
      <c r="DK43" s="92">
        <f t="shared" si="102"/>
        <v>7.160500448996536E-2</v>
      </c>
      <c r="DL43" s="92">
        <f t="shared" si="102"/>
        <v>1.0550498852711989</v>
      </c>
      <c r="DM43" s="92">
        <f t="shared" si="102"/>
        <v>0.48636704194759611</v>
      </c>
      <c r="DN43" s="92">
        <f t="shared" si="102"/>
        <v>11.048465013076969</v>
      </c>
      <c r="DP43" s="210"/>
      <c r="DQ43" s="16" t="s">
        <v>11</v>
      </c>
      <c r="DR43" s="115">
        <f t="shared" si="103"/>
        <v>-0.33229493887758377</v>
      </c>
      <c r="DS43" s="115">
        <f t="shared" si="104"/>
        <v>2.5942788917586119</v>
      </c>
      <c r="DT43" s="115">
        <f t="shared" si="105"/>
        <v>0.52020000000000011</v>
      </c>
      <c r="DU43" s="115">
        <f t="shared" si="106"/>
        <v>3.5595495510034603E-2</v>
      </c>
      <c r="DV43" s="115">
        <f t="shared" si="107"/>
        <v>-2.918642673273486E-2</v>
      </c>
      <c r="DW43" s="115">
        <f t="shared" si="108"/>
        <v>-3.8382648256318042E-2</v>
      </c>
      <c r="DX43" s="121">
        <f t="shared" si="109"/>
        <v>1.9689925087211702</v>
      </c>
      <c r="DZ43" s="106">
        <f t="shared" si="118"/>
        <v>-0.16876394267919492</v>
      </c>
      <c r="EA43" s="106">
        <f t="shared" si="119"/>
        <v>1.3175666643056736</v>
      </c>
      <c r="EB43" s="106">
        <f t="shared" si="120"/>
        <v>0.26419602801732439</v>
      </c>
      <c r="EC43" s="106">
        <f t="shared" si="121"/>
        <v>1.8078024854017001E-2</v>
      </c>
      <c r="ED43" s="106">
        <f t="shared" si="122"/>
        <v>-1.482302578778778E-2</v>
      </c>
      <c r="EE43" s="106">
        <f t="shared" si="123"/>
        <v>-1.9493547124385439E-2</v>
      </c>
      <c r="EF43" s="106">
        <f t="shared" si="124"/>
        <v>1</v>
      </c>
      <c r="EG43" s="101"/>
      <c r="EH43" s="300"/>
      <c r="EI43" s="16" t="s">
        <v>11</v>
      </c>
      <c r="EJ43" s="79">
        <f t="shared" si="125"/>
        <v>13.017457521798139</v>
      </c>
      <c r="EK43" s="79">
        <f t="shared" si="126"/>
        <v>10.74282523327596</v>
      </c>
      <c r="EL43" s="79">
        <f>'[1]Avoided Costs'!$DG9*1.06</f>
        <v>6.1109393412649151</v>
      </c>
      <c r="EM43" s="108">
        <f>'[2]Avoided Costs'!$DV9*(105/102)</f>
        <v>4.7638811481747334</v>
      </c>
      <c r="EN43" s="104">
        <f>'[2]Avoided Costs'!$DW$6*(105/102)</f>
        <v>4.8155872687828172</v>
      </c>
    </row>
    <row r="44" spans="1:144" ht="15" customHeight="1" thickBot="1" x14ac:dyDescent="0.35">
      <c r="N44" s="30"/>
      <c r="O44" s="2"/>
      <c r="P44" s="2"/>
      <c r="Q44" s="33"/>
      <c r="R44" s="2"/>
      <c r="S44" s="33"/>
      <c r="T44" s="30"/>
      <c r="CO44" s="251"/>
      <c r="CP44" s="16" t="s">
        <v>12</v>
      </c>
      <c r="CQ44" s="92">
        <v>3.5825110887582117</v>
      </c>
      <c r="CR44" s="92">
        <v>4.877598332779872</v>
      </c>
      <c r="CS44" s="280"/>
      <c r="CT44" s="95">
        <v>7.3670958169864631E-2</v>
      </c>
      <c r="CU44" s="95">
        <v>2.7580799999999965</v>
      </c>
      <c r="CV44" s="95">
        <v>0.63698593815529847</v>
      </c>
      <c r="CW44" s="97">
        <v>12.438846317863243</v>
      </c>
      <c r="CX44" s="100">
        <f t="shared" si="111"/>
        <v>12.687623244220509</v>
      </c>
      <c r="CY44" s="300"/>
      <c r="CZ44" s="70" t="s">
        <v>12</v>
      </c>
      <c r="DA44" s="79">
        <f t="shared" si="112"/>
        <v>14.956881114546672</v>
      </c>
      <c r="DB44" s="79">
        <f t="shared" si="113"/>
        <v>12.687623244220509</v>
      </c>
      <c r="DC44" s="102">
        <f t="shared" si="114"/>
        <v>0.17885602580135404</v>
      </c>
      <c r="DD44" s="104">
        <f t="shared" si="115"/>
        <v>2.2692578703261628</v>
      </c>
      <c r="DF44" s="251"/>
      <c r="DG44" s="16" t="s">
        <v>12</v>
      </c>
      <c r="DH44" s="92">
        <f t="shared" si="116"/>
        <v>3.6541613105333761</v>
      </c>
      <c r="DI44" s="92">
        <f t="shared" si="117"/>
        <v>4.9751502994354695</v>
      </c>
      <c r="DJ44" s="92">
        <f t="shared" si="102"/>
        <v>0</v>
      </c>
      <c r="DK44" s="92">
        <f t="shared" si="102"/>
        <v>7.7282279648779567E-2</v>
      </c>
      <c r="DL44" s="92">
        <f t="shared" si="102"/>
        <v>2.8932799999999963</v>
      </c>
      <c r="DM44" s="92">
        <f t="shared" si="102"/>
        <v>0.66821073904526407</v>
      </c>
      <c r="DN44" s="92">
        <f t="shared" si="102"/>
        <v>13.048593686385951</v>
      </c>
      <c r="DP44" s="210"/>
      <c r="DQ44" s="16" t="s">
        <v>12</v>
      </c>
      <c r="DR44" s="115">
        <f t="shared" si="103"/>
        <v>-0.34014661657647549</v>
      </c>
      <c r="DS44" s="115">
        <f t="shared" si="104"/>
        <v>2.5942788917586119</v>
      </c>
      <c r="DT44" s="115">
        <f t="shared" si="105"/>
        <v>0.52020000000000011</v>
      </c>
      <c r="DU44" s="115">
        <f t="shared" si="106"/>
        <v>3.8417720351220458E-2</v>
      </c>
      <c r="DV44" s="115">
        <f t="shared" si="107"/>
        <v>-8.0038399999996734E-2</v>
      </c>
      <c r="DW44" s="115">
        <f t="shared" si="108"/>
        <v>-4.3915109649574124E-2</v>
      </c>
      <c r="DX44" s="121">
        <f t="shared" si="109"/>
        <v>1.9082874281607207</v>
      </c>
      <c r="DZ44" s="106">
        <f t="shared" si="118"/>
        <v>-0.17824705626464332</v>
      </c>
      <c r="EA44" s="106">
        <f t="shared" si="119"/>
        <v>1.3594801566444714</v>
      </c>
      <c r="EB44" s="106">
        <f t="shared" si="120"/>
        <v>0.27260044389716931</v>
      </c>
      <c r="EC44" s="106">
        <f t="shared" si="121"/>
        <v>2.0132040794425241E-2</v>
      </c>
      <c r="ED44" s="106">
        <f t="shared" si="122"/>
        <v>-4.1942528582887932E-2</v>
      </c>
      <c r="EE44" s="106">
        <f t="shared" si="123"/>
        <v>-2.3012838108932659E-2</v>
      </c>
      <c r="EF44" s="106">
        <f t="shared" si="124"/>
        <v>1</v>
      </c>
      <c r="EG44" s="101"/>
      <c r="EH44" s="300"/>
      <c r="EI44" s="16" t="s">
        <v>12</v>
      </c>
      <c r="EJ44" s="79">
        <f t="shared" si="125"/>
        <v>14.956881114546672</v>
      </c>
      <c r="EK44" s="79">
        <f t="shared" si="126"/>
        <v>12.687623244220509</v>
      </c>
      <c r="EL44" s="79">
        <f>'[1]Avoided Costs'!$DG10*1.06</f>
        <v>7.2824275597733745</v>
      </c>
      <c r="EM44" s="108">
        <f>'[2]Avoided Costs'!$DV10*(105/102)</f>
        <v>4.7638811481747334</v>
      </c>
      <c r="EN44" s="104">
        <f>'[2]Avoided Costs'!$DW$6*(105/102)</f>
        <v>4.8155872687828172</v>
      </c>
    </row>
    <row r="45" spans="1:144" ht="13.8" customHeight="1" thickBot="1" x14ac:dyDescent="0.35">
      <c r="A45" s="237" t="s">
        <v>36</v>
      </c>
      <c r="B45" s="238"/>
      <c r="C45" s="238"/>
      <c r="D45" s="238"/>
      <c r="E45" s="238"/>
      <c r="F45" s="238"/>
      <c r="G45" s="238"/>
      <c r="H45" s="239"/>
      <c r="I45" s="1" t="s">
        <v>37</v>
      </c>
      <c r="N45" s="30"/>
      <c r="O45" s="2"/>
      <c r="P45" s="2"/>
      <c r="Q45" s="33"/>
      <c r="R45" s="2"/>
      <c r="S45" s="33"/>
      <c r="T45" s="30"/>
      <c r="CO45" s="251"/>
      <c r="CP45" s="16" t="s">
        <v>13</v>
      </c>
      <c r="CQ45" s="92">
        <v>3.5825110887582117</v>
      </c>
      <c r="CR45" s="92">
        <v>4.877598332779872</v>
      </c>
      <c r="CS45" s="280"/>
      <c r="CT45" s="95">
        <v>5.6669967822972789E-2</v>
      </c>
      <c r="CU45" s="95">
        <v>0.44199999999999939</v>
      </c>
      <c r="CV45" s="95">
        <v>0.40367783912060973</v>
      </c>
      <c r="CW45" s="97">
        <v>9.8724572284816663</v>
      </c>
      <c r="CX45" s="100">
        <f t="shared" si="111"/>
        <v>10.0699063730513</v>
      </c>
      <c r="CY45" s="300"/>
      <c r="CZ45" s="70" t="s">
        <v>13</v>
      </c>
      <c r="DA45" s="79">
        <f t="shared" si="112"/>
        <v>12.328869354546672</v>
      </c>
      <c r="DB45" s="79">
        <f t="shared" si="113"/>
        <v>10.0699063730513</v>
      </c>
      <c r="DC45" s="102">
        <f t="shared" si="114"/>
        <v>0.22432810175283488</v>
      </c>
      <c r="DD45" s="104">
        <f t="shared" si="115"/>
        <v>2.2589629814953724</v>
      </c>
      <c r="DF45" s="251"/>
      <c r="DG45" s="16" t="s">
        <v>13</v>
      </c>
      <c r="DH45" s="92">
        <f t="shared" si="116"/>
        <v>3.6541613105333761</v>
      </c>
      <c r="DI45" s="92">
        <f t="shared" si="117"/>
        <v>4.9751502994354695</v>
      </c>
      <c r="DJ45" s="92">
        <f t="shared" si="102"/>
        <v>0</v>
      </c>
      <c r="DK45" s="92">
        <f t="shared" si="102"/>
        <v>5.9447907422138124E-2</v>
      </c>
      <c r="DL45" s="92">
        <f t="shared" si="102"/>
        <v>0.46366666666666606</v>
      </c>
      <c r="DM45" s="92">
        <f t="shared" si="102"/>
        <v>0.4234659684892671</v>
      </c>
      <c r="DN45" s="92">
        <f t="shared" si="102"/>
        <v>10.356401210269985</v>
      </c>
      <c r="DP45" s="210"/>
      <c r="DQ45" s="16" t="s">
        <v>13</v>
      </c>
      <c r="DR45" s="115">
        <f t="shared" si="103"/>
        <v>-0.34014661657647549</v>
      </c>
      <c r="DS45" s="115">
        <f t="shared" si="104"/>
        <v>2.5942788917586119</v>
      </c>
      <c r="DT45" s="115">
        <f t="shared" si="105"/>
        <v>0.52020000000000011</v>
      </c>
      <c r="DU45" s="115">
        <f t="shared" si="106"/>
        <v>2.9552092577861858E-2</v>
      </c>
      <c r="DV45" s="115">
        <f t="shared" si="107"/>
        <v>-1.2826666666666042E-2</v>
      </c>
      <c r="DW45" s="115">
        <f t="shared" si="108"/>
        <v>-3.8080499093577247E-2</v>
      </c>
      <c r="DX45" s="121">
        <f t="shared" si="109"/>
        <v>1.9724681442766876</v>
      </c>
      <c r="DZ45" s="106">
        <f t="shared" si="118"/>
        <v>-0.17244720405926184</v>
      </c>
      <c r="EA45" s="106">
        <f t="shared" si="119"/>
        <v>1.3152450138605127</v>
      </c>
      <c r="EB45" s="106">
        <f t="shared" si="120"/>
        <v>0.26373049496865747</v>
      </c>
      <c r="EC45" s="106">
        <f t="shared" si="121"/>
        <v>1.4982291431985957E-2</v>
      </c>
      <c r="ED45" s="106">
        <f t="shared" si="122"/>
        <v>-6.5028511126447803E-3</v>
      </c>
      <c r="EE45" s="106">
        <f t="shared" si="123"/>
        <v>-1.9306014753176927E-2</v>
      </c>
      <c r="EF45" s="106">
        <f t="shared" si="124"/>
        <v>1</v>
      </c>
      <c r="EG45" s="101"/>
      <c r="EH45" s="300"/>
      <c r="EI45" s="16" t="s">
        <v>13</v>
      </c>
      <c r="EJ45" s="79">
        <f t="shared" si="125"/>
        <v>12.328869354546672</v>
      </c>
      <c r="EK45" s="79">
        <f t="shared" si="126"/>
        <v>10.0699063730513</v>
      </c>
      <c r="EL45" s="79">
        <f>'[1]Avoided Costs'!$DG11*1.06</f>
        <v>5.6624701004132421</v>
      </c>
      <c r="EM45" s="108">
        <f>'[2]Avoided Costs'!$DV11*(105/102)</f>
        <v>4.7638811481747334</v>
      </c>
      <c r="EN45" s="104">
        <f>'[2]Avoided Costs'!$DW$6*(105/102)</f>
        <v>4.8155872687828172</v>
      </c>
    </row>
    <row r="46" spans="1:144" ht="13.8" customHeight="1" thickBot="1" x14ac:dyDescent="0.35">
      <c r="A46" s="240" t="s">
        <v>38</v>
      </c>
      <c r="B46" s="240"/>
      <c r="C46" s="240"/>
      <c r="D46" s="240"/>
      <c r="E46" s="240"/>
      <c r="F46" s="240"/>
      <c r="G46" s="240"/>
      <c r="H46" s="135">
        <v>1.1494104105689892E-3</v>
      </c>
      <c r="I46" s="27"/>
      <c r="J46" s="27"/>
      <c r="N46" s="30"/>
      <c r="O46" s="2"/>
      <c r="P46" s="2"/>
      <c r="Q46" s="33"/>
      <c r="R46" s="2"/>
      <c r="S46" s="33"/>
      <c r="T46" s="30"/>
      <c r="CO46" s="251"/>
      <c r="CP46" s="16" t="s">
        <v>26</v>
      </c>
      <c r="CQ46" s="92">
        <v>3.5825110887582117</v>
      </c>
      <c r="CR46" s="92">
        <v>4.877598332779872</v>
      </c>
      <c r="CS46" s="280"/>
      <c r="CT46" s="95" t="s">
        <v>27</v>
      </c>
      <c r="CU46" s="95" t="s">
        <v>27</v>
      </c>
      <c r="CV46" s="95">
        <v>0.3538108423383125</v>
      </c>
      <c r="CW46" s="97">
        <v>9.3239202638763956</v>
      </c>
      <c r="CX46" s="100">
        <f t="shared" si="111"/>
        <v>9.5103986691539237</v>
      </c>
      <c r="CY46" s="300"/>
      <c r="CZ46" s="70" t="s">
        <v>26</v>
      </c>
      <c r="DA46" s="79">
        <f t="shared" si="112"/>
        <v>11.735045354546672</v>
      </c>
      <c r="DB46" s="79">
        <f t="shared" si="113"/>
        <v>9.5103986691539237</v>
      </c>
      <c r="DC46" s="102">
        <f t="shared" si="114"/>
        <v>0.23391729019816795</v>
      </c>
      <c r="DD46" s="104">
        <f t="shared" si="115"/>
        <v>2.2246466853927487</v>
      </c>
      <c r="DF46" s="251"/>
      <c r="DG46" s="16" t="s">
        <v>26</v>
      </c>
      <c r="DH46" s="92">
        <f t="shared" si="116"/>
        <v>3.6541613105333761</v>
      </c>
      <c r="DI46" s="92">
        <f t="shared" si="117"/>
        <v>4.9751502994354695</v>
      </c>
      <c r="DJ46" s="92">
        <f t="shared" ref="DJ46:DJ53" si="127">CS46*(107/102)</f>
        <v>0</v>
      </c>
      <c r="DK46" s="92">
        <v>0</v>
      </c>
      <c r="DL46" s="92">
        <v>0</v>
      </c>
      <c r="DM46" s="92">
        <f t="shared" ref="DM46:DN53" si="128">CV46*(107/102)</f>
        <v>0.37115451108038666</v>
      </c>
      <c r="DN46" s="92">
        <f t="shared" si="128"/>
        <v>9.7809751787722981</v>
      </c>
      <c r="DP46" s="211"/>
      <c r="DQ46" s="110" t="s">
        <v>26</v>
      </c>
      <c r="DR46" s="122">
        <f t="shared" si="103"/>
        <v>-0.34014661657647549</v>
      </c>
      <c r="DS46" s="122">
        <f t="shared" si="104"/>
        <v>2.5942788917586119</v>
      </c>
      <c r="DT46" s="122">
        <f t="shared" si="105"/>
        <v>0.52020000000000011</v>
      </c>
      <c r="DU46" s="122">
        <f t="shared" si="106"/>
        <v>0</v>
      </c>
      <c r="DV46" s="122">
        <f t="shared" si="107"/>
        <v>0</v>
      </c>
      <c r="DW46" s="122">
        <f t="shared" si="108"/>
        <v>-3.9753041684696677E-2</v>
      </c>
      <c r="DX46" s="123">
        <f t="shared" si="109"/>
        <v>1.9540701757743744</v>
      </c>
      <c r="DZ46" s="106">
        <f t="shared" si="118"/>
        <v>-0.17407082959120418</v>
      </c>
      <c r="EA46" s="106">
        <f t="shared" si="119"/>
        <v>1.3276283134153719</v>
      </c>
      <c r="EB46" s="106">
        <f t="shared" si="120"/>
        <v>0.26621357126739376</v>
      </c>
      <c r="EC46" s="106">
        <f t="shared" si="121"/>
        <v>0</v>
      </c>
      <c r="ED46" s="106">
        <f t="shared" si="122"/>
        <v>0</v>
      </c>
      <c r="EE46" s="106">
        <f t="shared" si="123"/>
        <v>-2.0343712409889796E-2</v>
      </c>
      <c r="EF46" s="106">
        <f t="shared" si="124"/>
        <v>1</v>
      </c>
      <c r="EG46" s="101"/>
      <c r="EH46" s="301"/>
      <c r="EI46" s="110" t="s">
        <v>26</v>
      </c>
      <c r="EJ46" s="82">
        <f t="shared" si="125"/>
        <v>11.735045354546672</v>
      </c>
      <c r="EK46" s="82">
        <f t="shared" si="126"/>
        <v>9.5103986691539237</v>
      </c>
      <c r="EL46" s="82">
        <f>'[1]Avoided Costs'!$DG12*1.06</f>
        <v>5.1610943393614646</v>
      </c>
      <c r="EM46" s="111">
        <f>'[2]Avoided Costs'!$DV12*(105/102)</f>
        <v>4.5206095794339021</v>
      </c>
      <c r="EN46" s="105">
        <f>'[2]Avoided Costs'!$DW$6*(105/102)</f>
        <v>4.8155872687828172</v>
      </c>
    </row>
    <row r="47" spans="1:144" ht="13.8" customHeight="1" x14ac:dyDescent="0.3">
      <c r="A47" s="241" t="s">
        <v>39</v>
      </c>
      <c r="B47" s="242"/>
      <c r="C47" s="242"/>
      <c r="D47" s="242"/>
      <c r="E47" s="242"/>
      <c r="F47" s="242"/>
      <c r="G47" s="243"/>
      <c r="H47" s="28">
        <v>5.7846144845628855E-4</v>
      </c>
      <c r="I47"/>
      <c r="J47" s="134"/>
      <c r="N47" s="30"/>
      <c r="O47" s="2"/>
      <c r="P47" s="2"/>
      <c r="Q47" s="33"/>
      <c r="R47" s="2"/>
      <c r="S47" s="33"/>
      <c r="T47" s="30"/>
      <c r="CO47" s="251" t="s">
        <v>28</v>
      </c>
      <c r="CP47" s="16" t="s">
        <v>8</v>
      </c>
      <c r="CQ47" s="92">
        <v>3.5064760136995621</v>
      </c>
      <c r="CR47" s="92">
        <v>5.82</v>
      </c>
      <c r="CS47" s="280">
        <v>0.51</v>
      </c>
      <c r="CT47" s="95">
        <v>0.36404787329477722</v>
      </c>
      <c r="CU47" s="95">
        <v>6.5405663999999915</v>
      </c>
      <c r="CV47" s="95">
        <v>1.0636666131604031</v>
      </c>
      <c r="CW47" s="97">
        <v>17.80555633069519</v>
      </c>
      <c r="CX47" s="100">
        <f t="shared" si="111"/>
        <v>18.161667457309093</v>
      </c>
      <c r="CY47" s="300" t="s">
        <v>28</v>
      </c>
      <c r="CZ47" s="70" t="s">
        <v>8</v>
      </c>
      <c r="DA47" s="79">
        <f t="shared" si="112"/>
        <v>19.492109742838437</v>
      </c>
      <c r="DB47" s="79">
        <f t="shared" si="113"/>
        <v>18.161667457309093</v>
      </c>
      <c r="DC47" s="102">
        <f t="shared" si="114"/>
        <v>7.3255514046641823E-2</v>
      </c>
      <c r="DD47" s="104">
        <f t="shared" si="115"/>
        <v>1.3304422855293438</v>
      </c>
      <c r="DF47" s="251" t="s">
        <v>28</v>
      </c>
      <c r="DG47" s="16" t="s">
        <v>8</v>
      </c>
      <c r="DH47" s="92">
        <f t="shared" si="116"/>
        <v>3.5766055339735532</v>
      </c>
      <c r="DI47" s="92">
        <f>CR47*1.02</f>
        <v>5.9364000000000008</v>
      </c>
      <c r="DJ47" s="92">
        <f t="shared" si="127"/>
        <v>0.53500000000000003</v>
      </c>
      <c r="DK47" s="92">
        <f t="shared" ref="DK47:DL52" si="129">CT47*(107/102)</f>
        <v>0.38189335727981533</v>
      </c>
      <c r="DL47" s="92">
        <f t="shared" si="129"/>
        <v>6.8611823999999917</v>
      </c>
      <c r="DM47" s="92">
        <f t="shared" si="128"/>
        <v>1.1158071334133641</v>
      </c>
      <c r="DN47" s="92">
        <f t="shared" si="128"/>
        <v>18.678377719454758</v>
      </c>
      <c r="DP47" s="209" t="s">
        <v>28</v>
      </c>
      <c r="DQ47" s="93" t="s">
        <v>8</v>
      </c>
      <c r="DR47" s="119">
        <f t="shared" si="103"/>
        <v>2.0189014524319759E-2</v>
      </c>
      <c r="DS47" s="119">
        <f t="shared" si="104"/>
        <v>0.10075059685758259</v>
      </c>
      <c r="DT47" s="119">
        <f t="shared" si="105"/>
        <v>-1.4799999999999924E-2</v>
      </c>
      <c r="DU47" s="119">
        <f t="shared" si="106"/>
        <v>0.26238047654084307</v>
      </c>
      <c r="DV47" s="119">
        <f t="shared" si="107"/>
        <v>0.65661271117774511</v>
      </c>
      <c r="DW47" s="119">
        <f t="shared" si="108"/>
        <v>6.0088519071220592E-2</v>
      </c>
      <c r="DX47" s="120">
        <f t="shared" si="109"/>
        <v>0.81373202338367889</v>
      </c>
      <c r="DZ47" s="106">
        <f t="shared" si="118"/>
        <v>2.4810396966275634E-2</v>
      </c>
      <c r="EA47" s="106">
        <f t="shared" si="119"/>
        <v>0.12381299243777967</v>
      </c>
      <c r="EB47" s="106">
        <f t="shared" si="120"/>
        <v>-1.8187805782127427E-2</v>
      </c>
      <c r="EC47" s="106">
        <f t="shared" si="121"/>
        <v>0.32244088840181889</v>
      </c>
      <c r="ED47" s="106">
        <f t="shared" si="122"/>
        <v>0.80691516655250128</v>
      </c>
      <c r="EE47" s="106">
        <f t="shared" si="123"/>
        <v>7.3843129365069288E-2</v>
      </c>
      <c r="EF47" s="106">
        <f t="shared" si="124"/>
        <v>1</v>
      </c>
      <c r="EG47" s="101"/>
      <c r="EH47" s="299" t="s">
        <v>28</v>
      </c>
      <c r="EI47" s="93" t="s">
        <v>8</v>
      </c>
      <c r="EJ47" s="76">
        <f t="shared" si="125"/>
        <v>19.492109742838437</v>
      </c>
      <c r="EK47" s="76">
        <f>DB47</f>
        <v>18.161667457309093</v>
      </c>
      <c r="EL47" s="76">
        <f>'[1]Avoided Costs'!$DG13*1.06</f>
        <v>11.65449038291074</v>
      </c>
      <c r="EM47" s="109">
        <f>'[2]Avoided Costs'!$DV14*(105/102)</f>
        <v>7.3755722083679132</v>
      </c>
      <c r="EN47" s="107">
        <v>4.82</v>
      </c>
    </row>
    <row r="48" spans="1:144" ht="13.8" customHeight="1" x14ac:dyDescent="0.3">
      <c r="A48" s="244" t="s">
        <v>10</v>
      </c>
      <c r="B48" s="244"/>
      <c r="C48" s="244"/>
      <c r="D48" s="244"/>
      <c r="E48" s="244"/>
      <c r="F48" s="244"/>
      <c r="G48" s="244"/>
      <c r="H48" s="28">
        <v>1.3860537303920163E-3</v>
      </c>
      <c r="N48" s="30"/>
      <c r="O48" s="2"/>
      <c r="P48" s="2"/>
      <c r="Q48" s="33"/>
      <c r="R48" s="2"/>
      <c r="S48" s="33"/>
      <c r="T48" s="30"/>
      <c r="CO48" s="251"/>
      <c r="CP48" s="16" t="s">
        <v>9</v>
      </c>
      <c r="CQ48" s="92">
        <v>3.5064760136995621</v>
      </c>
      <c r="CR48" s="92">
        <v>5.82</v>
      </c>
      <c r="CS48" s="280"/>
      <c r="CT48" s="95">
        <v>0.36404787329477722</v>
      </c>
      <c r="CU48" s="95">
        <v>3.2916575999999953</v>
      </c>
      <c r="CV48" s="95">
        <v>0.73877573316040324</v>
      </c>
      <c r="CW48" s="97">
        <v>14.231756650695193</v>
      </c>
      <c r="CX48" s="100">
        <f t="shared" si="111"/>
        <v>14.516391783709096</v>
      </c>
      <c r="CY48" s="300"/>
      <c r="CZ48" s="70" t="s">
        <v>9</v>
      </c>
      <c r="DA48" s="79">
        <f t="shared" si="112"/>
        <v>15.384347185358312</v>
      </c>
      <c r="DB48" s="79">
        <f t="shared" si="113"/>
        <v>14.516391783709096</v>
      </c>
      <c r="DC48" s="102">
        <f t="shared" si="114"/>
        <v>5.9791400961172143E-2</v>
      </c>
      <c r="DD48" s="104">
        <f t="shared" si="115"/>
        <v>0.86795540164921547</v>
      </c>
      <c r="DF48" s="251"/>
      <c r="DG48" s="16" t="s">
        <v>9</v>
      </c>
      <c r="DH48" s="92">
        <f t="shared" si="116"/>
        <v>3.5766055339735532</v>
      </c>
      <c r="DI48" s="92">
        <f t="shared" si="117"/>
        <v>5.9364000000000008</v>
      </c>
      <c r="DJ48" s="92">
        <f t="shared" si="127"/>
        <v>0</v>
      </c>
      <c r="DK48" s="92">
        <f t="shared" si="129"/>
        <v>0.38189335727981533</v>
      </c>
      <c r="DL48" s="92">
        <f t="shared" si="129"/>
        <v>3.4530133647058774</v>
      </c>
      <c r="DM48" s="92">
        <f t="shared" si="128"/>
        <v>0.7749902298839525</v>
      </c>
      <c r="DN48" s="92">
        <f t="shared" si="128"/>
        <v>14.929391780631232</v>
      </c>
      <c r="DP48" s="210"/>
      <c r="DQ48" s="16" t="s">
        <v>9</v>
      </c>
      <c r="DR48" s="115">
        <f t="shared" si="103"/>
        <v>2.0189014524319759E-2</v>
      </c>
      <c r="DS48" s="115">
        <f t="shared" si="104"/>
        <v>0.10075059685758259</v>
      </c>
      <c r="DT48" s="115">
        <f t="shared" si="105"/>
        <v>0.52020000000000011</v>
      </c>
      <c r="DU48" s="115">
        <f t="shared" si="106"/>
        <v>0.26238047654084307</v>
      </c>
      <c r="DV48" s="115">
        <f t="shared" si="107"/>
        <v>0.33045214876265394</v>
      </c>
      <c r="DW48" s="115">
        <f t="shared" si="108"/>
        <v>2.7472462829712052E-2</v>
      </c>
      <c r="DX48" s="121">
        <f t="shared" si="109"/>
        <v>0.45495540472708029</v>
      </c>
      <c r="DZ48" s="106">
        <f t="shared" si="118"/>
        <v>4.4375809836638365E-2</v>
      </c>
      <c r="EA48" s="106">
        <f t="shared" si="119"/>
        <v>0.22145158802547052</v>
      </c>
      <c r="EB48" s="106">
        <f t="shared" si="120"/>
        <v>1.143408770606998</v>
      </c>
      <c r="EC48" s="106">
        <f t="shared" si="121"/>
        <v>0.57671691294279814</v>
      </c>
      <c r="ED48" s="106">
        <f t="shared" si="122"/>
        <v>0.72633964852200483</v>
      </c>
      <c r="EE48" s="106">
        <f t="shared" si="123"/>
        <v>6.0384957611817572E-2</v>
      </c>
      <c r="EF48" s="106">
        <f t="shared" si="124"/>
        <v>1</v>
      </c>
      <c r="EG48" s="101"/>
      <c r="EH48" s="300"/>
      <c r="EI48" s="16" t="s">
        <v>9</v>
      </c>
      <c r="EJ48" s="79">
        <f t="shared" si="125"/>
        <v>15.384347185358312</v>
      </c>
      <c r="EK48" s="79">
        <f t="shared" si="126"/>
        <v>14.516391783709096</v>
      </c>
      <c r="EL48" s="79">
        <f>'[1]Avoided Costs'!$DG14*1.06</f>
        <v>9.2881288155602224</v>
      </c>
      <c r="EM48" s="108">
        <f>'[2]Avoided Costs'!$DV15*(105/102)</f>
        <v>7.3755722083679132</v>
      </c>
      <c r="EN48" s="104">
        <v>4.82</v>
      </c>
    </row>
    <row r="49" spans="1:144" ht="13.8" customHeight="1" x14ac:dyDescent="0.3">
      <c r="A49" s="185" t="s">
        <v>11</v>
      </c>
      <c r="B49" s="185"/>
      <c r="C49" s="185"/>
      <c r="D49" s="185"/>
      <c r="E49" s="185"/>
      <c r="F49" s="185"/>
      <c r="G49" s="185"/>
      <c r="H49" s="29">
        <v>2.5975446000000001E-4</v>
      </c>
      <c r="N49" s="30"/>
      <c r="O49" s="2"/>
      <c r="P49" s="2"/>
      <c r="Q49" s="33"/>
      <c r="R49" s="2"/>
      <c r="S49" s="33"/>
      <c r="T49" s="30"/>
      <c r="CO49" s="251"/>
      <c r="CP49" s="16" t="s">
        <v>10</v>
      </c>
      <c r="CQ49" s="92">
        <v>3.5064760136995621</v>
      </c>
      <c r="CR49" s="92">
        <v>5.82</v>
      </c>
      <c r="CS49" s="280"/>
      <c r="CT49" s="95">
        <v>0.3247472506095454</v>
      </c>
      <c r="CU49" s="95">
        <v>7.8871535999999907</v>
      </c>
      <c r="CV49" s="95">
        <v>1.1943952708918795</v>
      </c>
      <c r="CW49" s="97">
        <v>19.24357156574143</v>
      </c>
      <c r="CX49" s="100">
        <f t="shared" si="111"/>
        <v>19.628442997056258</v>
      </c>
      <c r="CY49" s="300"/>
      <c r="CZ49" s="70" t="s">
        <v>10</v>
      </c>
      <c r="DA49" s="79">
        <f t="shared" si="112"/>
        <v>21.118161706133069</v>
      </c>
      <c r="DB49" s="79">
        <f t="shared" si="113"/>
        <v>19.628442997056258</v>
      </c>
      <c r="DC49" s="102">
        <f t="shared" si="114"/>
        <v>7.5895918453655717E-2</v>
      </c>
      <c r="DD49" s="104">
        <f t="shared" si="115"/>
        <v>1.4897187090768114</v>
      </c>
      <c r="DF49" s="251"/>
      <c r="DG49" s="16" t="s">
        <v>10</v>
      </c>
      <c r="DH49" s="92">
        <f t="shared" si="116"/>
        <v>3.5766055339735532</v>
      </c>
      <c r="DI49" s="92">
        <f t="shared" si="117"/>
        <v>5.9364000000000008</v>
      </c>
      <c r="DJ49" s="92">
        <f t="shared" si="127"/>
        <v>0</v>
      </c>
      <c r="DK49" s="92">
        <f t="shared" si="129"/>
        <v>0.34066623348256236</v>
      </c>
      <c r="DL49" s="92">
        <f t="shared" si="129"/>
        <v>8.2737787764705786</v>
      </c>
      <c r="DM49" s="92">
        <f t="shared" si="128"/>
        <v>1.2529440586806972</v>
      </c>
      <c r="DN49" s="92">
        <f t="shared" si="128"/>
        <v>20.186883897395422</v>
      </c>
      <c r="DP49" s="210"/>
      <c r="DQ49" s="16" t="s">
        <v>10</v>
      </c>
      <c r="DR49" s="115">
        <f t="shared" si="103"/>
        <v>2.0189014524319759E-2</v>
      </c>
      <c r="DS49" s="115">
        <f t="shared" si="104"/>
        <v>0.10075059685758259</v>
      </c>
      <c r="DT49" s="115">
        <f t="shared" si="105"/>
        <v>0.52020000000000011</v>
      </c>
      <c r="DU49" s="115">
        <f t="shared" si="106"/>
        <v>0.2340553114597293</v>
      </c>
      <c r="DV49" s="115">
        <f t="shared" si="107"/>
        <v>0.79179768112610027</v>
      </c>
      <c r="DW49" s="115">
        <f t="shared" si="108"/>
        <v>7.0774499557945569E-2</v>
      </c>
      <c r="DX49" s="121">
        <f t="shared" si="109"/>
        <v>0.93127780873764721</v>
      </c>
      <c r="DZ49" s="106">
        <f t="shared" si="118"/>
        <v>2.1678831316388921E-2</v>
      </c>
      <c r="EA49" s="106">
        <f t="shared" si="119"/>
        <v>0.10818532978268927</v>
      </c>
      <c r="EB49" s="106">
        <f t="shared" si="120"/>
        <v>0.55858734646016572</v>
      </c>
      <c r="EC49" s="106">
        <f t="shared" si="121"/>
        <v>0.25132705758015722</v>
      </c>
      <c r="ED49" s="106">
        <f t="shared" si="122"/>
        <v>0.85022715423594908</v>
      </c>
      <c r="EE49" s="106">
        <f t="shared" si="123"/>
        <v>7.5997193204765431E-2</v>
      </c>
      <c r="EF49" s="106">
        <f t="shared" si="124"/>
        <v>1</v>
      </c>
      <c r="EG49" s="101"/>
      <c r="EH49" s="300"/>
      <c r="EI49" s="16" t="s">
        <v>10</v>
      </c>
      <c r="EJ49" s="79">
        <f t="shared" si="125"/>
        <v>21.118161706133069</v>
      </c>
      <c r="EK49" s="79">
        <f t="shared" si="126"/>
        <v>19.628442997056258</v>
      </c>
      <c r="EL49" s="79">
        <f>'[1]Avoided Costs'!$DG15*1.06</f>
        <v>12.482834871960865</v>
      </c>
      <c r="EM49" s="108">
        <f>'[2]Avoided Costs'!$DV16*(105/102)</f>
        <v>7.117350489799553</v>
      </c>
      <c r="EN49" s="104">
        <v>4.82</v>
      </c>
    </row>
    <row r="50" spans="1:144" ht="13.8" customHeight="1" x14ac:dyDescent="0.3">
      <c r="A50" s="244" t="s">
        <v>12</v>
      </c>
      <c r="B50" s="244"/>
      <c r="C50" s="244"/>
      <c r="D50" s="244"/>
      <c r="E50" s="244"/>
      <c r="F50" s="244"/>
      <c r="G50" s="244"/>
      <c r="H50" s="28">
        <v>7.1232876712328777E-4</v>
      </c>
      <c r="L50" s="153"/>
      <c r="M50" s="153"/>
      <c r="N50" s="30"/>
      <c r="O50" s="2"/>
      <c r="P50" s="2"/>
      <c r="Q50" s="33"/>
      <c r="R50" s="2"/>
      <c r="S50" s="33"/>
      <c r="T50" s="30"/>
      <c r="CO50" s="251"/>
      <c r="CP50" s="16" t="s">
        <v>11</v>
      </c>
      <c r="CQ50" s="92">
        <v>3.3356109604112452</v>
      </c>
      <c r="CR50" s="92">
        <v>5.82</v>
      </c>
      <c r="CS50" s="280"/>
      <c r="CT50" s="95">
        <v>6.8258976242770719E-2</v>
      </c>
      <c r="CU50" s="95">
        <v>1.6656287189471974</v>
      </c>
      <c r="CV50" s="95">
        <v>0.52962763309928607</v>
      </c>
      <c r="CW50" s="97">
        <v>11.929925719240952</v>
      </c>
      <c r="CX50" s="100">
        <f t="shared" si="111"/>
        <v>12.168524233625771</v>
      </c>
      <c r="CY50" s="300"/>
      <c r="CZ50" s="70" t="s">
        <v>11</v>
      </c>
      <c r="DA50" s="79">
        <f t="shared" si="112"/>
        <v>12.176793015388782</v>
      </c>
      <c r="DB50" s="79">
        <f t="shared" si="113"/>
        <v>12.168524233625771</v>
      </c>
      <c r="DC50" s="102">
        <f t="shared" si="114"/>
        <v>6.7952215110534764E-4</v>
      </c>
      <c r="DD50" s="104">
        <f t="shared" si="115"/>
        <v>8.268781763010935E-3</v>
      </c>
      <c r="DF50" s="251"/>
      <c r="DG50" s="16" t="s">
        <v>11</v>
      </c>
      <c r="DH50" s="92">
        <f t="shared" si="116"/>
        <v>3.40232317961947</v>
      </c>
      <c r="DI50" s="92">
        <f t="shared" si="117"/>
        <v>5.9364000000000008</v>
      </c>
      <c r="DJ50" s="92">
        <f t="shared" si="127"/>
        <v>0</v>
      </c>
      <c r="DK50" s="92">
        <f t="shared" si="129"/>
        <v>7.160500448996536E-2</v>
      </c>
      <c r="DL50" s="92">
        <f t="shared" si="129"/>
        <v>1.7472771855622562</v>
      </c>
      <c r="DM50" s="92">
        <f t="shared" si="128"/>
        <v>0.55558977197670212</v>
      </c>
      <c r="DN50" s="92">
        <f t="shared" si="128"/>
        <v>12.514725999595901</v>
      </c>
      <c r="DP50" s="210"/>
      <c r="DQ50" s="16" t="s">
        <v>11</v>
      </c>
      <c r="DR50" s="115">
        <f t="shared" si="103"/>
        <v>-0.10431473158446103</v>
      </c>
      <c r="DS50" s="115">
        <f t="shared" si="104"/>
        <v>0.10075059685758259</v>
      </c>
      <c r="DT50" s="115">
        <f t="shared" si="105"/>
        <v>0.52020000000000011</v>
      </c>
      <c r="DU50" s="115">
        <f t="shared" si="106"/>
        <v>3.5595495510034603E-2</v>
      </c>
      <c r="DV50" s="115">
        <f t="shared" si="107"/>
        <v>-4.8335892236112343E-2</v>
      </c>
      <c r="DW50" s="115">
        <f t="shared" si="108"/>
        <v>-4.0297594806656178E-2</v>
      </c>
      <c r="DX50" s="121">
        <f t="shared" si="109"/>
        <v>-0.3379329842071197</v>
      </c>
      <c r="DZ50" s="106">
        <f t="shared" si="118"/>
        <v>0.30868466962232471</v>
      </c>
      <c r="EA50" s="106">
        <f t="shared" si="119"/>
        <v>-0.29813780117963379</v>
      </c>
      <c r="EB50" s="106">
        <f t="shared" si="120"/>
        <v>-1.5393584654677233</v>
      </c>
      <c r="EC50" s="106">
        <f t="shared" si="121"/>
        <v>-0.10533300143385253</v>
      </c>
      <c r="ED50" s="106">
        <f t="shared" si="122"/>
        <v>0.14303395790002907</v>
      </c>
      <c r="EE50" s="106">
        <f t="shared" si="123"/>
        <v>0.11924729662363386</v>
      </c>
      <c r="EF50" s="106">
        <f t="shared" si="124"/>
        <v>1</v>
      </c>
      <c r="EG50" s="101"/>
      <c r="EH50" s="300"/>
      <c r="EI50" s="16" t="s">
        <v>11</v>
      </c>
      <c r="EJ50" s="79">
        <f t="shared" si="125"/>
        <v>12.176793015388782</v>
      </c>
      <c r="EK50" s="79">
        <f t="shared" si="126"/>
        <v>12.168524233625771</v>
      </c>
      <c r="EL50" s="79">
        <f>'[1]Avoided Costs'!$DG16*1.06</f>
        <v>6.9564135949538466</v>
      </c>
      <c r="EM50" s="108">
        <f>'[2]Avoided Costs'!$DV17*(105/102)</f>
        <v>5.2659393857170809</v>
      </c>
      <c r="EN50" s="104">
        <v>4.82</v>
      </c>
    </row>
    <row r="51" spans="1:144" ht="13.8" customHeight="1" x14ac:dyDescent="0.3">
      <c r="A51" s="185" t="s">
        <v>13</v>
      </c>
      <c r="B51" s="185"/>
      <c r="C51" s="185"/>
      <c r="D51" s="185"/>
      <c r="E51" s="185"/>
      <c r="F51" s="185"/>
      <c r="G51" s="185"/>
      <c r="H51" s="28">
        <v>1.1415525114155251E-4</v>
      </c>
      <c r="N51" s="30"/>
      <c r="O51" s="2"/>
      <c r="P51" s="2"/>
      <c r="Q51" s="33"/>
      <c r="R51" s="2"/>
      <c r="S51" s="33"/>
      <c r="T51" s="30"/>
      <c r="CO51" s="251"/>
      <c r="CP51" s="16" t="s">
        <v>12</v>
      </c>
      <c r="CQ51" s="92">
        <v>3.312132811500335</v>
      </c>
      <c r="CR51" s="92">
        <v>5.82</v>
      </c>
      <c r="CS51" s="280"/>
      <c r="CT51" s="95">
        <v>7.3670958169864631E-2</v>
      </c>
      <c r="CU51" s="95">
        <v>4.5676799999999949</v>
      </c>
      <c r="CV51" s="95">
        <v>0.81794593815529837</v>
      </c>
      <c r="CW51" s="97">
        <v>15.102229138365947</v>
      </c>
      <c r="CX51" s="100">
        <f t="shared" si="111"/>
        <v>15.404273721133267</v>
      </c>
      <c r="CY51" s="300"/>
      <c r="CZ51" s="70" t="s">
        <v>12</v>
      </c>
      <c r="DA51" s="79">
        <f t="shared" si="112"/>
        <v>15.404407132086254</v>
      </c>
      <c r="DB51" s="79">
        <f t="shared" si="113"/>
        <v>15.404273721133267</v>
      </c>
      <c r="DC51" s="102">
        <f t="shared" si="114"/>
        <v>8.6606454417975176E-6</v>
      </c>
      <c r="DD51" s="104">
        <f t="shared" si="115"/>
        <v>1.3341095298713412E-4</v>
      </c>
      <c r="DF51" s="251"/>
      <c r="DG51" s="16" t="s">
        <v>12</v>
      </c>
      <c r="DH51" s="92">
        <f t="shared" si="116"/>
        <v>3.3783754677303417</v>
      </c>
      <c r="DI51" s="92">
        <f t="shared" si="117"/>
        <v>5.9364000000000008</v>
      </c>
      <c r="DJ51" s="92">
        <f t="shared" si="127"/>
        <v>0</v>
      </c>
      <c r="DK51" s="92">
        <f t="shared" si="129"/>
        <v>7.7282279648779567E-2</v>
      </c>
      <c r="DL51" s="92">
        <f t="shared" si="129"/>
        <v>4.791585882352936</v>
      </c>
      <c r="DM51" s="92">
        <f t="shared" si="128"/>
        <v>0.85804132728055815</v>
      </c>
      <c r="DN51" s="92">
        <f t="shared" si="128"/>
        <v>15.842534488285848</v>
      </c>
      <c r="DP51" s="210"/>
      <c r="DQ51" s="16" t="s">
        <v>12</v>
      </c>
      <c r="DR51" s="115">
        <f t="shared" si="103"/>
        <v>-0.11492736189736075</v>
      </c>
      <c r="DS51" s="115">
        <f t="shared" si="104"/>
        <v>0.10075059685758259</v>
      </c>
      <c r="DT51" s="115">
        <f t="shared" si="105"/>
        <v>0.52020000000000011</v>
      </c>
      <c r="DU51" s="115">
        <f t="shared" si="106"/>
        <v>3.8417720351220458E-2</v>
      </c>
      <c r="DV51" s="115">
        <f t="shared" si="107"/>
        <v>-0.13255228235293703</v>
      </c>
      <c r="DW51" s="115">
        <f t="shared" si="108"/>
        <v>-4.9166497884868487E-2</v>
      </c>
      <c r="DX51" s="121">
        <f t="shared" si="109"/>
        <v>-0.43812735619959398</v>
      </c>
      <c r="DZ51" s="106">
        <f t="shared" si="118"/>
        <v>0.26231496452142161</v>
      </c>
      <c r="EA51" s="106">
        <f t="shared" si="119"/>
        <v>-0.22995732960277535</v>
      </c>
      <c r="EB51" s="106">
        <f t="shared" si="120"/>
        <v>-1.1873259969711112</v>
      </c>
      <c r="EC51" s="106">
        <f t="shared" si="121"/>
        <v>-8.7686193997251388E-2</v>
      </c>
      <c r="ED51" s="106">
        <f t="shared" si="122"/>
        <v>0.30254281198673044</v>
      </c>
      <c r="EE51" s="106">
        <f t="shared" si="123"/>
        <v>0.11221964844046424</v>
      </c>
      <c r="EF51" s="106">
        <f t="shared" si="124"/>
        <v>1</v>
      </c>
      <c r="EG51" s="101"/>
      <c r="EH51" s="300"/>
      <c r="EI51" s="16" t="s">
        <v>12</v>
      </c>
      <c r="EJ51" s="79">
        <f t="shared" si="125"/>
        <v>15.404407132086254</v>
      </c>
      <c r="EK51" s="79">
        <f t="shared" si="126"/>
        <v>15.404273721133267</v>
      </c>
      <c r="EL51" s="79">
        <f>'[1]Avoided Costs'!$DG17*1.06</f>
        <v>8.8829986123030462</v>
      </c>
      <c r="EM51" s="108">
        <f>'[2]Avoided Costs'!$DV18*(105/102)</f>
        <v>5.2659393857170809</v>
      </c>
      <c r="EN51" s="104">
        <v>4.82</v>
      </c>
    </row>
    <row r="52" spans="1:144" ht="13.8" customHeight="1" x14ac:dyDescent="0.3">
      <c r="N52" s="30"/>
      <c r="O52" s="2"/>
      <c r="P52" s="2"/>
      <c r="Q52" s="33"/>
      <c r="R52" s="2"/>
      <c r="S52" s="33"/>
      <c r="T52" s="30"/>
      <c r="CO52" s="251"/>
      <c r="CP52" s="16" t="s">
        <v>13</v>
      </c>
      <c r="CQ52" s="92">
        <v>3.312132811500335</v>
      </c>
      <c r="CR52" s="92">
        <v>5.82</v>
      </c>
      <c r="CS52" s="280"/>
      <c r="CT52" s="95">
        <v>5.6669967822972789E-2</v>
      </c>
      <c r="CU52" s="95">
        <v>0.73199999999999898</v>
      </c>
      <c r="CV52" s="95">
        <v>0.43267783912060964</v>
      </c>
      <c r="CW52" s="97">
        <v>10.864280048984371</v>
      </c>
      <c r="CX52" s="100">
        <f t="shared" si="111"/>
        <v>11.081565649964059</v>
      </c>
      <c r="CY52" s="300"/>
      <c r="CZ52" s="70" t="s">
        <v>13</v>
      </c>
      <c r="DA52" s="79">
        <f t="shared" si="112"/>
        <v>11.071404172086256</v>
      </c>
      <c r="DB52" s="79">
        <f t="shared" si="113"/>
        <v>11.081565649964059</v>
      </c>
      <c r="DC52" s="102">
        <f t="shared" si="114"/>
        <v>-9.1697131964707079E-4</v>
      </c>
      <c r="DD52" s="104">
        <f t="shared" si="115"/>
        <v>-1.0161477877803193E-2</v>
      </c>
      <c r="DF52" s="251"/>
      <c r="DG52" s="16" t="s">
        <v>13</v>
      </c>
      <c r="DH52" s="92">
        <f t="shared" si="116"/>
        <v>3.3783754677303417</v>
      </c>
      <c r="DI52" s="92">
        <f t="shared" si="117"/>
        <v>5.9364000000000008</v>
      </c>
      <c r="DJ52" s="92">
        <f t="shared" si="127"/>
        <v>0</v>
      </c>
      <c r="DK52" s="92">
        <f t="shared" si="129"/>
        <v>5.9447907422138124E-2</v>
      </c>
      <c r="DL52" s="92">
        <f t="shared" si="129"/>
        <v>0.76788235294117546</v>
      </c>
      <c r="DM52" s="92">
        <f t="shared" si="128"/>
        <v>0.45388753711671798</v>
      </c>
      <c r="DN52" s="92">
        <f t="shared" si="128"/>
        <v>11.396842796483606</v>
      </c>
      <c r="DP52" s="210"/>
      <c r="DQ52" s="16" t="s">
        <v>13</v>
      </c>
      <c r="DR52" s="115">
        <f t="shared" si="103"/>
        <v>-0.11492736189735986</v>
      </c>
      <c r="DS52" s="115">
        <f t="shared" si="104"/>
        <v>0.10075059685758259</v>
      </c>
      <c r="DT52" s="115">
        <f t="shared" si="105"/>
        <v>0.52020000000000011</v>
      </c>
      <c r="DU52" s="115">
        <f t="shared" si="106"/>
        <v>2.9552092577861858E-2</v>
      </c>
      <c r="DV52" s="115">
        <f t="shared" si="107"/>
        <v>-2.1242352941175269E-2</v>
      </c>
      <c r="DW52" s="115">
        <f t="shared" si="108"/>
        <v>-3.8922067721027964E-2</v>
      </c>
      <c r="DX52" s="121">
        <f t="shared" si="109"/>
        <v>-0.32543862439734994</v>
      </c>
      <c r="DZ52" s="106">
        <f t="shared" si="118"/>
        <v>0.35314604131634142</v>
      </c>
      <c r="EA52" s="106">
        <f t="shared" si="119"/>
        <v>-0.30958401770580679</v>
      </c>
      <c r="EB52" s="106">
        <f t="shared" si="120"/>
        <v>-1.5984580839576463</v>
      </c>
      <c r="EC52" s="106">
        <f t="shared" si="121"/>
        <v>-9.0806961320546012E-2</v>
      </c>
      <c r="ED52" s="106">
        <f t="shared" si="122"/>
        <v>6.527299265879101E-2</v>
      </c>
      <c r="EE52" s="106">
        <f t="shared" si="123"/>
        <v>0.11959879621880834</v>
      </c>
      <c r="EF52" s="106">
        <f t="shared" si="124"/>
        <v>1</v>
      </c>
      <c r="EG52" s="101"/>
      <c r="EH52" s="300"/>
      <c r="EI52" s="16" t="s">
        <v>13</v>
      </c>
      <c r="EJ52" s="79">
        <f t="shared" si="125"/>
        <v>11.071404172086256</v>
      </c>
      <c r="EK52" s="79">
        <f t="shared" si="126"/>
        <v>11.081565649964059</v>
      </c>
      <c r="EL52" s="79">
        <f>'[1]Avoided Costs'!$DG18*1.06</f>
        <v>6.0233107022073105</v>
      </c>
      <c r="EM52" s="108">
        <f>'[2]Avoided Costs'!$DV19*(105/102)</f>
        <v>5.2659393857170809</v>
      </c>
      <c r="EN52" s="104">
        <v>4.82</v>
      </c>
    </row>
    <row r="53" spans="1:144" ht="13.8" customHeight="1" thickBot="1" x14ac:dyDescent="0.35">
      <c r="N53" s="30"/>
      <c r="O53" s="2"/>
      <c r="P53" s="2"/>
      <c r="Q53" s="33"/>
      <c r="R53" s="2"/>
      <c r="S53" s="33"/>
      <c r="T53" s="30"/>
      <c r="CO53" s="251"/>
      <c r="CP53" s="98" t="s">
        <v>26</v>
      </c>
      <c r="CQ53" s="92">
        <v>3.312132811500335</v>
      </c>
      <c r="CR53" s="92">
        <v>5.82</v>
      </c>
      <c r="CS53" s="280"/>
      <c r="CT53" s="79" t="s">
        <v>27</v>
      </c>
      <c r="CU53" s="79" t="s">
        <v>27</v>
      </c>
      <c r="CV53" s="79">
        <v>0.3538108423383125</v>
      </c>
      <c r="CW53" s="99">
        <v>9.9967430843791014</v>
      </c>
      <c r="CX53" s="100">
        <f t="shared" si="111"/>
        <v>10.196677946066684</v>
      </c>
      <c r="CY53" s="301"/>
      <c r="CZ53" s="71" t="s">
        <v>26</v>
      </c>
      <c r="DA53" s="82">
        <f t="shared" si="112"/>
        <v>10.152200172086255</v>
      </c>
      <c r="DB53" s="82">
        <f t="shared" si="113"/>
        <v>10.196677946066684</v>
      </c>
      <c r="DC53" s="103">
        <f t="shared" si="114"/>
        <v>-4.3619867387873924E-3</v>
      </c>
      <c r="DD53" s="105">
        <f t="shared" si="115"/>
        <v>-4.4477773980428736E-2</v>
      </c>
      <c r="DF53" s="251"/>
      <c r="DG53" s="98" t="s">
        <v>26</v>
      </c>
      <c r="DH53" s="92">
        <f t="shared" si="116"/>
        <v>3.3783754677303417</v>
      </c>
      <c r="DI53" s="92">
        <f t="shared" si="117"/>
        <v>5.9364000000000008</v>
      </c>
      <c r="DJ53" s="92">
        <f t="shared" si="127"/>
        <v>0</v>
      </c>
      <c r="DK53" s="92">
        <v>0</v>
      </c>
      <c r="DL53" s="92">
        <v>0</v>
      </c>
      <c r="DM53" s="92">
        <f t="shared" si="128"/>
        <v>0.37115451108038666</v>
      </c>
      <c r="DN53" s="92">
        <f t="shared" si="128"/>
        <v>10.486779510083959</v>
      </c>
      <c r="DP53" s="211"/>
      <c r="DQ53" s="94" t="s">
        <v>26</v>
      </c>
      <c r="DR53" s="122">
        <f t="shared" si="103"/>
        <v>-0.11492736189735986</v>
      </c>
      <c r="DS53" s="122">
        <f t="shared" si="104"/>
        <v>0.10075059685758259</v>
      </c>
      <c r="DT53" s="122">
        <f t="shared" si="105"/>
        <v>0.52020000000000011</v>
      </c>
      <c r="DU53" s="122">
        <f t="shared" si="106"/>
        <v>0</v>
      </c>
      <c r="DV53" s="122">
        <f t="shared" si="107"/>
        <v>0</v>
      </c>
      <c r="DW53" s="122">
        <f t="shared" si="108"/>
        <v>-3.9753041684696677E-2</v>
      </c>
      <c r="DX53" s="123">
        <f t="shared" si="109"/>
        <v>-0.33457933799770423</v>
      </c>
      <c r="DZ53" s="106">
        <f t="shared" si="118"/>
        <v>0.34349808504357926</v>
      </c>
      <c r="EA53" s="106">
        <f t="shared" si="119"/>
        <v>-0.30112617671051134</v>
      </c>
      <c r="EB53" s="106">
        <f t="shared" si="120"/>
        <v>-1.5547881800267342</v>
      </c>
      <c r="EC53" s="106">
        <f t="shared" si="121"/>
        <v>0</v>
      </c>
      <c r="ED53" s="106">
        <f t="shared" si="122"/>
        <v>0</v>
      </c>
      <c r="EE53" s="106">
        <f t="shared" si="123"/>
        <v>0.11881499294785935</v>
      </c>
      <c r="EF53" s="106">
        <f t="shared" si="124"/>
        <v>1</v>
      </c>
      <c r="EG53" s="101"/>
      <c r="EH53" s="301"/>
      <c r="EI53" s="94" t="s">
        <v>26</v>
      </c>
      <c r="EJ53" s="82">
        <f t="shared" si="125"/>
        <v>10.152200172086255</v>
      </c>
      <c r="EK53" s="82">
        <f t="shared" si="126"/>
        <v>10.196677946066684</v>
      </c>
      <c r="EL53" s="82">
        <f>'[1]Avoided Costs'!$DG19*1.06</f>
        <v>5.2940501522178387</v>
      </c>
      <c r="EM53" s="111">
        <f>'[2]Avoided Costs'!$DV20*(105/102)</f>
        <v>4.9414179347074532</v>
      </c>
      <c r="EN53" s="105">
        <v>4.82</v>
      </c>
    </row>
    <row r="54" spans="1:144" ht="13.8" customHeight="1" x14ac:dyDescent="0.3">
      <c r="N54" s="30"/>
      <c r="O54" s="2"/>
      <c r="P54" s="2"/>
      <c r="Q54" s="33"/>
      <c r="R54" s="2"/>
      <c r="S54" s="33"/>
      <c r="T54" s="30"/>
    </row>
    <row r="55" spans="1:144" ht="13.8" customHeight="1" x14ac:dyDescent="0.3">
      <c r="N55" s="30"/>
      <c r="O55" s="2"/>
      <c r="P55" s="2"/>
      <c r="Q55" s="33"/>
      <c r="R55" s="2"/>
      <c r="S55" s="33"/>
      <c r="T55" s="30"/>
    </row>
    <row r="56" spans="1:144" ht="13.8" customHeight="1" x14ac:dyDescent="0.3">
      <c r="N56" s="30"/>
      <c r="O56" s="2"/>
      <c r="P56" s="2"/>
      <c r="Q56" s="33"/>
      <c r="R56" s="2"/>
      <c r="S56" s="33"/>
      <c r="T56" s="30"/>
    </row>
    <row r="57" spans="1:144" ht="13.8" customHeight="1" x14ac:dyDescent="0.3">
      <c r="N57" s="30"/>
      <c r="O57" s="2"/>
      <c r="P57" s="2"/>
      <c r="Q57" s="33"/>
      <c r="R57" s="2"/>
      <c r="S57" s="33"/>
      <c r="T57" s="30"/>
    </row>
    <row r="58" spans="1:144" ht="13.8" customHeight="1" x14ac:dyDescent="0.3">
      <c r="N58" s="30"/>
      <c r="O58" s="2"/>
      <c r="P58" s="2"/>
      <c r="Q58" s="33"/>
      <c r="R58" s="2"/>
      <c r="S58" s="33"/>
      <c r="T58" s="30"/>
    </row>
    <row r="59" spans="1:144" ht="13.8" customHeight="1" x14ac:dyDescent="0.3">
      <c r="N59" s="30"/>
      <c r="O59" s="2"/>
      <c r="P59" s="2"/>
      <c r="Q59" s="33"/>
      <c r="R59" s="2"/>
      <c r="S59" s="33"/>
      <c r="T59" s="30"/>
    </row>
    <row r="60" spans="1:144" ht="13.8" customHeight="1" x14ac:dyDescent="0.3">
      <c r="N60" s="30"/>
      <c r="O60" s="2"/>
      <c r="P60" s="2"/>
      <c r="Q60" s="33"/>
      <c r="R60" s="2"/>
      <c r="S60" s="33"/>
      <c r="T60" s="30"/>
    </row>
    <row r="61" spans="1:144" ht="13.8" customHeight="1" x14ac:dyDescent="0.3">
      <c r="N61" s="30"/>
      <c r="O61" s="2"/>
      <c r="P61" s="2"/>
      <c r="Q61" s="33"/>
      <c r="R61" s="2"/>
      <c r="S61" s="33"/>
      <c r="T61" s="30"/>
    </row>
    <row r="62" spans="1:144" ht="13.8" customHeight="1" x14ac:dyDescent="0.3">
      <c r="N62" s="30"/>
      <c r="O62" s="2"/>
      <c r="P62" s="2"/>
      <c r="Q62" s="33"/>
      <c r="R62" s="2"/>
      <c r="S62" s="33"/>
      <c r="T62" s="30"/>
    </row>
    <row r="63" spans="1:144" ht="13.8" customHeight="1" x14ac:dyDescent="0.3">
      <c r="N63" s="30"/>
      <c r="O63" s="2"/>
      <c r="P63" s="2"/>
      <c r="Q63" s="33"/>
      <c r="R63" s="2"/>
      <c r="S63" s="33"/>
      <c r="T63" s="30"/>
    </row>
    <row r="64" spans="1:144" ht="13.8" customHeight="1" x14ac:dyDescent="0.3">
      <c r="N64" s="30"/>
      <c r="O64" s="34"/>
      <c r="P64" s="34"/>
      <c r="Q64" s="35"/>
      <c r="R64" s="34"/>
      <c r="S64" s="35"/>
      <c r="T64" s="30"/>
    </row>
    <row r="65" spans="14:20" ht="13.8" customHeight="1" x14ac:dyDescent="0.3">
      <c r="N65" s="30"/>
      <c r="O65" s="30"/>
      <c r="P65" s="30"/>
      <c r="Q65" s="30"/>
      <c r="R65" s="30"/>
      <c r="S65" s="30"/>
      <c r="T65" s="30"/>
    </row>
    <row r="112" spans="1:10" ht="13.8" customHeight="1" x14ac:dyDescent="0.3">
      <c r="A112" s="30"/>
      <c r="B112" s="30"/>
      <c r="C112" s="30"/>
      <c r="D112" s="30"/>
      <c r="E112" s="30"/>
      <c r="F112" s="30"/>
      <c r="G112" s="30"/>
      <c r="H112" s="30"/>
      <c r="I112" s="30"/>
      <c r="J112" s="30"/>
    </row>
    <row r="113" spans="1:10" ht="13.8" customHeight="1" x14ac:dyDescent="0.3">
      <c r="A113" s="30"/>
      <c r="B113" s="30"/>
      <c r="C113" s="30"/>
      <c r="D113" s="30"/>
      <c r="E113" s="30"/>
      <c r="F113" s="30"/>
      <c r="G113" s="30"/>
      <c r="H113" s="30"/>
      <c r="I113" s="30"/>
      <c r="J113" s="30"/>
    </row>
    <row r="114" spans="1:10" ht="13.8" customHeight="1" x14ac:dyDescent="0.3">
      <c r="A114" s="30"/>
      <c r="B114" s="30"/>
      <c r="C114" s="30"/>
      <c r="D114" s="30"/>
      <c r="E114" s="30"/>
      <c r="F114" s="30"/>
      <c r="G114" s="30"/>
      <c r="H114" s="30"/>
      <c r="I114" s="30"/>
      <c r="J114" s="30"/>
    </row>
    <row r="115" spans="1:10" ht="13.8" customHeight="1" x14ac:dyDescent="0.3">
      <c r="I115" s="30"/>
      <c r="J115" s="30"/>
    </row>
    <row r="116" spans="1:10" ht="13.8" customHeight="1" x14ac:dyDescent="0.3">
      <c r="I116" s="30"/>
      <c r="J116" s="30"/>
    </row>
    <row r="117" spans="1:10" ht="13.8" customHeight="1" x14ac:dyDescent="0.3">
      <c r="I117" s="30"/>
      <c r="J117" s="30"/>
    </row>
    <row r="118" spans="1:10" ht="13.8" customHeight="1" x14ac:dyDescent="0.3">
      <c r="I118" s="30"/>
      <c r="J118" s="30"/>
    </row>
    <row r="119" spans="1:10" ht="13.8" customHeight="1" x14ac:dyDescent="0.3">
      <c r="I119" s="30"/>
      <c r="J119" s="30"/>
    </row>
    <row r="120" spans="1:10" ht="13.8" customHeight="1" x14ac:dyDescent="0.3">
      <c r="I120" s="30"/>
      <c r="J120" s="30"/>
    </row>
    <row r="121" spans="1:10" ht="13.8" customHeight="1" x14ac:dyDescent="0.3">
      <c r="I121" s="30"/>
      <c r="J121" s="30"/>
    </row>
    <row r="122" spans="1:10" ht="13.8" customHeight="1" x14ac:dyDescent="0.3">
      <c r="I122" s="30"/>
      <c r="J122" s="30"/>
    </row>
    <row r="123" spans="1:10" ht="13.8" customHeight="1" x14ac:dyDescent="0.3">
      <c r="I123" s="30"/>
      <c r="J123" s="30"/>
    </row>
    <row r="124" spans="1:10" ht="13.8" customHeight="1" x14ac:dyDescent="0.3">
      <c r="I124" s="30"/>
      <c r="J124" s="30"/>
    </row>
    <row r="125" spans="1:10" ht="13.8" customHeight="1" x14ac:dyDescent="0.3">
      <c r="I125" s="30"/>
      <c r="J125" s="30"/>
    </row>
    <row r="126" spans="1:10" ht="13.8" customHeight="1" x14ac:dyDescent="0.3">
      <c r="I126" s="30"/>
      <c r="J126" s="30"/>
    </row>
    <row r="127" spans="1:10" ht="13.8" customHeight="1" x14ac:dyDescent="0.3">
      <c r="I127" s="30"/>
      <c r="J127" s="30"/>
    </row>
    <row r="128" spans="1:10" ht="13.8" customHeight="1" x14ac:dyDescent="0.3">
      <c r="I128" s="30"/>
      <c r="J128" s="30"/>
    </row>
    <row r="129" spans="9:10" ht="13.8" customHeight="1" x14ac:dyDescent="0.3">
      <c r="I129" s="30"/>
      <c r="J129" s="30"/>
    </row>
    <row r="130" spans="9:10" ht="13.8" customHeight="1" x14ac:dyDescent="0.3">
      <c r="I130" s="30"/>
      <c r="J130" s="30"/>
    </row>
    <row r="131" spans="9:10" ht="13.8" customHeight="1" x14ac:dyDescent="0.3">
      <c r="I131" s="30"/>
      <c r="J131" s="30"/>
    </row>
    <row r="132" spans="9:10" ht="13.8" customHeight="1" x14ac:dyDescent="0.3">
      <c r="I132" s="30"/>
      <c r="J132" s="30"/>
    </row>
    <row r="133" spans="9:10" ht="13.8" customHeight="1" x14ac:dyDescent="0.3">
      <c r="I133" s="30"/>
      <c r="J133" s="30"/>
    </row>
    <row r="134" spans="9:10" ht="13.8" customHeight="1" x14ac:dyDescent="0.3">
      <c r="I134" s="30"/>
      <c r="J134" s="30"/>
    </row>
    <row r="135" spans="9:10" ht="13.8" customHeight="1" x14ac:dyDescent="0.3">
      <c r="I135" s="30"/>
      <c r="J135" s="30"/>
    </row>
    <row r="136" spans="9:10" ht="13.8" customHeight="1" x14ac:dyDescent="0.3">
      <c r="I136" s="30"/>
      <c r="J136" s="30"/>
    </row>
    <row r="137" spans="9:10" ht="13.8" customHeight="1" x14ac:dyDescent="0.3">
      <c r="I137" s="30"/>
      <c r="J137" s="30"/>
    </row>
    <row r="138" spans="9:10" ht="13.8" customHeight="1" x14ac:dyDescent="0.3">
      <c r="I138" s="30"/>
      <c r="J138" s="30"/>
    </row>
    <row r="139" spans="9:10" ht="13.8" customHeight="1" x14ac:dyDescent="0.3">
      <c r="I139" s="30"/>
      <c r="J139" s="30"/>
    </row>
    <row r="140" spans="9:10" ht="13.8" customHeight="1" x14ac:dyDescent="0.3">
      <c r="I140" s="30"/>
      <c r="J140" s="30"/>
    </row>
    <row r="141" spans="9:10" ht="13.8" customHeight="1" x14ac:dyDescent="0.3">
      <c r="I141" s="30"/>
      <c r="J141" s="30"/>
    </row>
  </sheetData>
  <mergeCells count="192">
    <mergeCell ref="EH40:EH46"/>
    <mergeCell ref="DF40:DF46"/>
    <mergeCell ref="CS47:CS53"/>
    <mergeCell ref="CO36:CW36"/>
    <mergeCell ref="CX36:CX39"/>
    <mergeCell ref="CY40:CY46"/>
    <mergeCell ref="CY47:CY53"/>
    <mergeCell ref="DA37:DA39"/>
    <mergeCell ref="DB37:DB39"/>
    <mergeCell ref="DC37:DC39"/>
    <mergeCell ref="CY37:CZ39"/>
    <mergeCell ref="CO37:CP39"/>
    <mergeCell ref="CT37:CW37"/>
    <mergeCell ref="CQ38:CQ39"/>
    <mergeCell ref="CR38:CR39"/>
    <mergeCell ref="CS38:CS39"/>
    <mergeCell ref="CT38:CT39"/>
    <mergeCell ref="DL38:DL39"/>
    <mergeCell ref="EH47:EH53"/>
    <mergeCell ref="EH39:EI39"/>
    <mergeCell ref="DZ37:DZ39"/>
    <mergeCell ref="EA37:EA39"/>
    <mergeCell ref="EB37:EB39"/>
    <mergeCell ref="DF47:DF53"/>
    <mergeCell ref="DP36:DX36"/>
    <mergeCell ref="DP37:DQ39"/>
    <mergeCell ref="DP40:DP46"/>
    <mergeCell ref="DP47:DP53"/>
    <mergeCell ref="DR37:DR39"/>
    <mergeCell ref="DU37:DU39"/>
    <mergeCell ref="DV37:DV39"/>
    <mergeCell ref="DW37:DW39"/>
    <mergeCell ref="DF37:DG39"/>
    <mergeCell ref="DK37:DN37"/>
    <mergeCell ref="DK38:DK39"/>
    <mergeCell ref="DM38:DM39"/>
    <mergeCell ref="DN38:DN39"/>
    <mergeCell ref="DX37:DX39"/>
    <mergeCell ref="DH37:DH39"/>
    <mergeCell ref="DI37:DI39"/>
    <mergeCell ref="DJ37:DJ39"/>
    <mergeCell ref="DS37:DS39"/>
    <mergeCell ref="DT37:DT39"/>
    <mergeCell ref="DE3:DE4"/>
    <mergeCell ref="DF3:DF4"/>
    <mergeCell ref="DG3:DG4"/>
    <mergeCell ref="DA3:DA4"/>
    <mergeCell ref="DB3:DB4"/>
    <mergeCell ref="EC37:EC39"/>
    <mergeCell ref="ED37:ED39"/>
    <mergeCell ref="EE37:EE39"/>
    <mergeCell ref="EF37:EF39"/>
    <mergeCell ref="DZ36:EF36"/>
    <mergeCell ref="DD37:DD39"/>
    <mergeCell ref="CY36:DD36"/>
    <mergeCell ref="CS40:CS46"/>
    <mergeCell ref="AY3:AY4"/>
    <mergeCell ref="AP3:AP4"/>
    <mergeCell ref="AQ3:AQ4"/>
    <mergeCell ref="CQ3:CQ4"/>
    <mergeCell ref="CR3:CR4"/>
    <mergeCell ref="CB3:CB4"/>
    <mergeCell ref="CC3:CC4"/>
    <mergeCell ref="CO40:CO46"/>
    <mergeCell ref="BW3:BW4"/>
    <mergeCell ref="DD3:DD4"/>
    <mergeCell ref="CO47:CO53"/>
    <mergeCell ref="K3:K4"/>
    <mergeCell ref="A42:G42"/>
    <mergeCell ref="AS3:AS4"/>
    <mergeCell ref="AV3:AV4"/>
    <mergeCell ref="AW3:AW4"/>
    <mergeCell ref="AX3:AX4"/>
    <mergeCell ref="CU38:CU39"/>
    <mergeCell ref="CV38:CV39"/>
    <mergeCell ref="L1:L4"/>
    <mergeCell ref="Y3:Y4"/>
    <mergeCell ref="Z3:Z4"/>
    <mergeCell ref="AA3:AA4"/>
    <mergeCell ref="AB3:AB4"/>
    <mergeCell ref="AC3:AC4"/>
    <mergeCell ref="R3:R4"/>
    <mergeCell ref="A1:A4"/>
    <mergeCell ref="B1:K1"/>
    <mergeCell ref="E3:E4"/>
    <mergeCell ref="B2:E2"/>
    <mergeCell ref="F2:G2"/>
    <mergeCell ref="B3:B4"/>
    <mergeCell ref="C3:C4"/>
    <mergeCell ref="D3:D4"/>
    <mergeCell ref="F3:F4"/>
    <mergeCell ref="G3:G4"/>
    <mergeCell ref="A51:G51"/>
    <mergeCell ref="A45:H45"/>
    <mergeCell ref="A46:G46"/>
    <mergeCell ref="A47:G47"/>
    <mergeCell ref="A48:G48"/>
    <mergeCell ref="A49:G49"/>
    <mergeCell ref="A50:G50"/>
    <mergeCell ref="A39:G39"/>
    <mergeCell ref="A40:G40"/>
    <mergeCell ref="A41:G41"/>
    <mergeCell ref="A43:G43"/>
    <mergeCell ref="H3:J3"/>
    <mergeCell ref="A38:H38"/>
    <mergeCell ref="H2:K2"/>
    <mergeCell ref="CO5:CO11"/>
    <mergeCell ref="CR5:CR11"/>
    <mergeCell ref="CS5:CS11"/>
    <mergeCell ref="CY5:CY11"/>
    <mergeCell ref="CO12:CO18"/>
    <mergeCell ref="CR12:CR18"/>
    <mergeCell ref="CS12:CS18"/>
    <mergeCell ref="CY12:CY18"/>
    <mergeCell ref="CS3:CS4"/>
    <mergeCell ref="CT3:CT4"/>
    <mergeCell ref="CU3:CU4"/>
    <mergeCell ref="CY1:DG2"/>
    <mergeCell ref="AL3:AL4"/>
    <mergeCell ref="AM3:AM4"/>
    <mergeCell ref="AN3:AN4"/>
    <mergeCell ref="AO3:AO4"/>
    <mergeCell ref="CT2:CU2"/>
    <mergeCell ref="CQ2:CS2"/>
    <mergeCell ref="CY3:CZ4"/>
    <mergeCell ref="CW2:CW4"/>
    <mergeCell ref="CV2:CV4"/>
    <mergeCell ref="BE3:BE4"/>
    <mergeCell ref="AR3:AR4"/>
    <mergeCell ref="AM2:AS2"/>
    <mergeCell ref="CI3:CI4"/>
    <mergeCell ref="CJ3:CJ4"/>
    <mergeCell ref="CK3:CK4"/>
    <mergeCell ref="CL3:CL4"/>
    <mergeCell ref="BL3:BL4"/>
    <mergeCell ref="BM3:BM4"/>
    <mergeCell ref="BN3:BN4"/>
    <mergeCell ref="BO3:BO4"/>
    <mergeCell ref="BQ3:BQ4"/>
    <mergeCell ref="BR3:BR4"/>
    <mergeCell ref="BA3:BA4"/>
    <mergeCell ref="BB3:BB4"/>
    <mergeCell ref="BC3:BC4"/>
    <mergeCell ref="BD3:BD4"/>
    <mergeCell ref="CF3:CF4"/>
    <mergeCell ref="BP3:BP4"/>
    <mergeCell ref="AV2:BA2"/>
    <mergeCell ref="AZ3:AZ4"/>
    <mergeCell ref="BJ2:BP2"/>
    <mergeCell ref="BQ2:BW2"/>
    <mergeCell ref="S3:S4"/>
    <mergeCell ref="AF3:AF4"/>
    <mergeCell ref="M1:M4"/>
    <mergeCell ref="P2:V2"/>
    <mergeCell ref="W2:AC2"/>
    <mergeCell ref="AF2:AL2"/>
    <mergeCell ref="P3:P4"/>
    <mergeCell ref="Q3:Q4"/>
    <mergeCell ref="AG3:AG4"/>
    <mergeCell ref="AH3:AH4"/>
    <mergeCell ref="AI3:AI4"/>
    <mergeCell ref="AJ3:AJ4"/>
    <mergeCell ref="AK3:AK4"/>
    <mergeCell ref="T3:T4"/>
    <mergeCell ref="U3:U4"/>
    <mergeCell ref="V3:V4"/>
    <mergeCell ref="W3:W4"/>
    <mergeCell ref="X3:X4"/>
    <mergeCell ref="DF36:DN36"/>
    <mergeCell ref="EH36:EN38"/>
    <mergeCell ref="CO1:CW1"/>
    <mergeCell ref="CG2:CM2"/>
    <mergeCell ref="BB2:BG2"/>
    <mergeCell ref="CO2:CP4"/>
    <mergeCell ref="BF3:BF4"/>
    <mergeCell ref="BG3:BG4"/>
    <mergeCell ref="BJ3:BJ4"/>
    <mergeCell ref="BK3:BK4"/>
    <mergeCell ref="CD3:CD4"/>
    <mergeCell ref="CE3:CE4"/>
    <mergeCell ref="CG3:CG4"/>
    <mergeCell ref="CH3:CH4"/>
    <mergeCell ref="BS3:BS4"/>
    <mergeCell ref="BT3:BT4"/>
    <mergeCell ref="BU3:BU4"/>
    <mergeCell ref="BV3:BV4"/>
    <mergeCell ref="BZ3:BZ4"/>
    <mergeCell ref="CA3:CA4"/>
    <mergeCell ref="BZ2:CF2"/>
    <mergeCell ref="DC3:DC4"/>
    <mergeCell ref="CM3:CM4"/>
    <mergeCell ref="CW38:CW3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67"/>
  <sheetViews>
    <sheetView zoomScale="90" zoomScaleNormal="90" workbookViewId="0">
      <selection activeCell="A2" sqref="A2"/>
    </sheetView>
  </sheetViews>
  <sheetFormatPr defaultRowHeight="14.4" x14ac:dyDescent="0.3"/>
  <cols>
    <col min="1" max="1" width="12.109375" customWidth="1"/>
    <col min="2" max="2" width="9.21875" customWidth="1"/>
    <col min="16" max="16" width="13.109375" customWidth="1"/>
    <col min="17" max="28" width="6.5546875" customWidth="1"/>
    <col min="30" max="30" width="8.77734375" customWidth="1"/>
    <col min="31" max="32" width="11.5546875" customWidth="1"/>
    <col min="33" max="33" width="10.6640625" customWidth="1"/>
  </cols>
  <sheetData>
    <row r="1" spans="1:35" ht="14.4" customHeight="1" thickBot="1" x14ac:dyDescent="0.35">
      <c r="A1" t="s">
        <v>128</v>
      </c>
      <c r="Q1" s="46" t="s">
        <v>58</v>
      </c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309" t="s">
        <v>117</v>
      </c>
      <c r="AE1" s="310"/>
      <c r="AF1" s="310"/>
      <c r="AG1" s="310"/>
      <c r="AH1" s="311"/>
      <c r="AI1" s="127"/>
    </row>
    <row r="2" spans="1:35" ht="28.8" customHeight="1" x14ac:dyDescent="0.3">
      <c r="A2" s="42" t="s">
        <v>43</v>
      </c>
      <c r="B2" s="42" t="s">
        <v>44</v>
      </c>
      <c r="C2" s="42" t="s">
        <v>45</v>
      </c>
      <c r="D2" s="42" t="s">
        <v>46</v>
      </c>
      <c r="E2" s="42" t="s">
        <v>47</v>
      </c>
      <c r="F2" s="42" t="s">
        <v>48</v>
      </c>
      <c r="G2" s="42" t="s">
        <v>49</v>
      </c>
      <c r="H2" s="42" t="s">
        <v>50</v>
      </c>
      <c r="I2" s="42" t="s">
        <v>51</v>
      </c>
      <c r="J2" s="42" t="s">
        <v>52</v>
      </c>
      <c r="K2" s="42" t="s">
        <v>53</v>
      </c>
      <c r="L2" s="42" t="s">
        <v>54</v>
      </c>
      <c r="M2" s="42" t="s">
        <v>55</v>
      </c>
      <c r="N2" s="43" t="s">
        <v>56</v>
      </c>
      <c r="P2" s="47"/>
      <c r="Q2" s="48" t="s">
        <v>59</v>
      </c>
      <c r="R2" s="48" t="s">
        <v>60</v>
      </c>
      <c r="S2" s="48" t="s">
        <v>61</v>
      </c>
      <c r="T2" s="48" t="s">
        <v>62</v>
      </c>
      <c r="U2" s="48" t="s">
        <v>63</v>
      </c>
      <c r="V2" s="48" t="s">
        <v>64</v>
      </c>
      <c r="W2" s="48" t="s">
        <v>65</v>
      </c>
      <c r="X2" s="48" t="s">
        <v>66</v>
      </c>
      <c r="Y2" s="48" t="s">
        <v>67</v>
      </c>
      <c r="Z2" s="48" t="s">
        <v>68</v>
      </c>
      <c r="AA2" s="48" t="s">
        <v>69</v>
      </c>
      <c r="AB2" s="48" t="s">
        <v>70</v>
      </c>
      <c r="AD2" s="128"/>
      <c r="AE2" s="114" t="s">
        <v>73</v>
      </c>
      <c r="AF2" s="114" t="s">
        <v>11</v>
      </c>
      <c r="AG2" s="114" t="s">
        <v>114</v>
      </c>
      <c r="AH2" s="114" t="s">
        <v>13</v>
      </c>
    </row>
    <row r="3" spans="1:35" x14ac:dyDescent="0.3">
      <c r="A3" s="37">
        <v>2022</v>
      </c>
      <c r="B3" s="38">
        <v>5.2304495332258059</v>
      </c>
      <c r="C3" s="38">
        <v>5.0853212325000001</v>
      </c>
      <c r="D3" s="38">
        <v>4.5958852961290342</v>
      </c>
      <c r="E3" s="38">
        <v>5.4117810799999981</v>
      </c>
      <c r="F3" s="38">
        <v>5.4442551000000003</v>
      </c>
      <c r="G3" s="38">
        <v>5.459418699999997</v>
      </c>
      <c r="H3" s="38">
        <v>5.3432024399999998</v>
      </c>
      <c r="I3" s="38">
        <v>5.3581106000000025</v>
      </c>
      <c r="J3" s="38">
        <v>4.9580577300000046</v>
      </c>
      <c r="K3" s="38">
        <v>5.2889030700000026</v>
      </c>
      <c r="L3" s="38">
        <v>5.8227776873333319</v>
      </c>
      <c r="M3" s="38">
        <v>6.5255660219354867</v>
      </c>
      <c r="N3" s="53">
        <f>AVERAGE(B3:M3)</f>
        <v>5.3769773742603055</v>
      </c>
      <c r="P3" s="48" t="s">
        <v>71</v>
      </c>
      <c r="Q3" s="86">
        <v>0.20357644474883524</v>
      </c>
      <c r="R3" s="86">
        <v>0.14547860941347318</v>
      </c>
      <c r="S3" s="86">
        <v>0.12279570006497546</v>
      </c>
      <c r="T3" s="86">
        <v>7.0390014268996839E-2</v>
      </c>
      <c r="U3" s="86">
        <v>3.3400491491967242E-2</v>
      </c>
      <c r="V3" s="86">
        <v>5.9916737644436684E-3</v>
      </c>
      <c r="W3" s="86">
        <v>2.4068309470860662E-4</v>
      </c>
      <c r="X3" s="86">
        <v>1.3157560344665095E-3</v>
      </c>
      <c r="Y3" s="86">
        <v>8.1595836194615964E-3</v>
      </c>
      <c r="Z3" s="86">
        <v>6.2406758042658522E-2</v>
      </c>
      <c r="AA3" s="86">
        <v>0.1285372060784663</v>
      </c>
      <c r="AB3" s="86">
        <v>0.21770707937754671</v>
      </c>
      <c r="AD3" s="37">
        <v>2022</v>
      </c>
      <c r="AE3" s="49">
        <f t="shared" ref="AE3:AE31" si="0">SUMPRODUCT(B3:M3,Q$3:AB$3)</f>
        <v>5.5124043946367651</v>
      </c>
      <c r="AF3" s="38">
        <f t="shared" ref="AF3:AF31" si="1">SUMPRODUCT(B3:M3,Q$4:AB$4)</f>
        <v>5.3838705250692378</v>
      </c>
      <c r="AG3" s="38">
        <f t="shared" ref="AG3:AG31" si="2">SUMPRODUCT(B3:M3,Q$5:AB$5)</f>
        <v>5.3769773742603064</v>
      </c>
      <c r="AH3" s="38">
        <f t="shared" ref="AH3:AH31" si="3">SUMPRODUCT(B3:M3,Q$6:AB$6)</f>
        <v>5.3769773742603064</v>
      </c>
    </row>
    <row r="4" spans="1:35" x14ac:dyDescent="0.3">
      <c r="A4" s="37">
        <v>2023</v>
      </c>
      <c r="B4" s="38">
        <v>6.6697785599999984</v>
      </c>
      <c r="C4" s="38">
        <v>5.0237262500000002</v>
      </c>
      <c r="D4" s="38">
        <v>5.0377430199999962</v>
      </c>
      <c r="E4" s="38">
        <v>4.3110963169999978</v>
      </c>
      <c r="F4" s="38">
        <v>3.6854257380645143</v>
      </c>
      <c r="G4" s="38">
        <v>3.5998390053333358</v>
      </c>
      <c r="H4" s="38">
        <v>3.6074226899999973</v>
      </c>
      <c r="I4" s="38">
        <v>3.6174878300000013</v>
      </c>
      <c r="J4" s="38">
        <v>3.6275810500000025</v>
      </c>
      <c r="K4" s="38">
        <v>3.6377024199999974</v>
      </c>
      <c r="L4" s="38">
        <v>3.9808426869999987</v>
      </c>
      <c r="M4" s="38">
        <v>4.4574260045161296</v>
      </c>
      <c r="N4" s="53">
        <f t="shared" ref="N4:N31" si="4">AVERAGE(B4:M4)</f>
        <v>4.2713392976594973</v>
      </c>
      <c r="P4" s="48" t="s">
        <v>11</v>
      </c>
      <c r="Q4" s="86">
        <v>0.10050761421319797</v>
      </c>
      <c r="R4" s="86">
        <v>9.6446700507614197E-2</v>
      </c>
      <c r="S4" s="86">
        <v>9.2385786802030453E-2</v>
      </c>
      <c r="T4" s="86">
        <v>8.8324873096446682E-2</v>
      </c>
      <c r="U4" s="86">
        <v>8.3248730964466999E-2</v>
      </c>
      <c r="V4" s="86">
        <v>7.918781725888327E-2</v>
      </c>
      <c r="W4" s="86">
        <v>7.3096446700507592E-2</v>
      </c>
      <c r="X4" s="86">
        <v>6.8020304568527937E-2</v>
      </c>
      <c r="Y4" s="86">
        <v>6.9035532994923848E-2</v>
      </c>
      <c r="Z4" s="86">
        <v>7.3096446700507592E-2</v>
      </c>
      <c r="AA4" s="86">
        <v>8.1218274111675121E-2</v>
      </c>
      <c r="AB4" s="86">
        <v>9.5431472081218258E-2</v>
      </c>
      <c r="AD4" s="129">
        <v>2023</v>
      </c>
      <c r="AE4" s="49">
        <f t="shared" si="0"/>
        <v>4.8997342560992125</v>
      </c>
      <c r="AF4" s="38">
        <f t="shared" si="1"/>
        <v>4.3677320627825429</v>
      </c>
      <c r="AG4" s="38">
        <f t="shared" si="2"/>
        <v>4.2713392976594982</v>
      </c>
      <c r="AH4" s="38">
        <f t="shared" si="3"/>
        <v>4.2713392976594982</v>
      </c>
    </row>
    <row r="5" spans="1:35" x14ac:dyDescent="0.3">
      <c r="A5" s="37">
        <v>2024</v>
      </c>
      <c r="B5" s="38">
        <v>4.4970931800000038</v>
      </c>
      <c r="C5" s="38">
        <v>3.5199532999999983</v>
      </c>
      <c r="D5" s="38">
        <v>3.5297743699999988</v>
      </c>
      <c r="E5" s="38">
        <v>2.8688898163333354</v>
      </c>
      <c r="F5" s="38">
        <v>2.5442053561290332</v>
      </c>
      <c r="G5" s="38">
        <v>2.4812985233333342</v>
      </c>
      <c r="H5" s="38">
        <v>2.495882809999999</v>
      </c>
      <c r="I5" s="38">
        <v>2.5028466200000001</v>
      </c>
      <c r="J5" s="38">
        <v>2.5111431466666678</v>
      </c>
      <c r="K5" s="38">
        <v>2.5247892051612904</v>
      </c>
      <c r="L5" s="38">
        <v>3.0513333109999992</v>
      </c>
      <c r="M5" s="38">
        <v>3.3975202370967739</v>
      </c>
      <c r="N5" s="53">
        <f t="shared" si="4"/>
        <v>2.9937274896433692</v>
      </c>
      <c r="P5" s="48" t="s">
        <v>114</v>
      </c>
      <c r="Q5" s="86">
        <v>8.3333333333333343E-2</v>
      </c>
      <c r="R5" s="86">
        <v>8.3333333333333343E-2</v>
      </c>
      <c r="S5" s="86">
        <v>8.3333333333333343E-2</v>
      </c>
      <c r="T5" s="86">
        <v>8.3333333333333343E-2</v>
      </c>
      <c r="U5" s="86">
        <v>8.3333333333333343E-2</v>
      </c>
      <c r="V5" s="86">
        <v>8.3333333333333343E-2</v>
      </c>
      <c r="W5" s="86">
        <v>8.3333333333333343E-2</v>
      </c>
      <c r="X5" s="86">
        <v>8.3333333333333343E-2</v>
      </c>
      <c r="Y5" s="86">
        <v>8.3333333333333343E-2</v>
      </c>
      <c r="Z5" s="86">
        <v>8.3333333333333315E-2</v>
      </c>
      <c r="AA5" s="86">
        <v>8.3333333333333343E-2</v>
      </c>
      <c r="AB5" s="86">
        <v>8.3333333333333343E-2</v>
      </c>
      <c r="AD5" s="129">
        <v>2024</v>
      </c>
      <c r="AE5" s="49">
        <f t="shared" si="0"/>
        <v>3.4766290135494313</v>
      </c>
      <c r="AF5" s="38">
        <f t="shared" si="1"/>
        <v>3.0619159429498719</v>
      </c>
      <c r="AG5" s="38">
        <f t="shared" si="2"/>
        <v>2.9937274896433701</v>
      </c>
      <c r="AH5" s="38">
        <f t="shared" si="3"/>
        <v>2.9937274896433701</v>
      </c>
    </row>
    <row r="6" spans="1:35" x14ac:dyDescent="0.3">
      <c r="A6" s="37">
        <v>2025</v>
      </c>
      <c r="B6" s="38">
        <v>3.4337369783870946</v>
      </c>
      <c r="C6" s="38">
        <v>3.4417632457142853</v>
      </c>
      <c r="D6" s="38">
        <v>3.4607465999999971</v>
      </c>
      <c r="E6" s="38">
        <v>3.4647669910000003</v>
      </c>
      <c r="F6" s="38">
        <v>3.2231281961290339</v>
      </c>
      <c r="G6" s="38">
        <v>3.1269203290000007</v>
      </c>
      <c r="H6" s="38">
        <v>3.147486743225806</v>
      </c>
      <c r="I6" s="38">
        <v>3.1562686000000006</v>
      </c>
      <c r="J6" s="38">
        <v>3.1666484486666655</v>
      </c>
      <c r="K6" s="38">
        <v>3.3245566619354832</v>
      </c>
      <c r="L6" s="38">
        <v>3.5589228313333323</v>
      </c>
      <c r="M6" s="38">
        <v>3.6315755900000024</v>
      </c>
      <c r="N6" s="53">
        <f t="shared" si="4"/>
        <v>3.3447101012826419</v>
      </c>
      <c r="P6" s="48" t="s">
        <v>72</v>
      </c>
      <c r="Q6" s="86">
        <v>8.3333333333333343E-2</v>
      </c>
      <c r="R6" s="86">
        <v>8.3333333333333343E-2</v>
      </c>
      <c r="S6" s="86">
        <v>8.3333333333333343E-2</v>
      </c>
      <c r="T6" s="86">
        <v>8.3333333333333343E-2</v>
      </c>
      <c r="U6" s="86">
        <v>8.3333333333333343E-2</v>
      </c>
      <c r="V6" s="86">
        <v>8.3333333333333356E-2</v>
      </c>
      <c r="W6" s="86">
        <v>8.3333333333333343E-2</v>
      </c>
      <c r="X6" s="86">
        <v>8.3333333333333343E-2</v>
      </c>
      <c r="Y6" s="86">
        <v>8.3333333333333343E-2</v>
      </c>
      <c r="Z6" s="86">
        <v>8.3333333333333343E-2</v>
      </c>
      <c r="AA6" s="86">
        <v>8.3333333333333343E-2</v>
      </c>
      <c r="AB6" s="86">
        <v>8.3333333333333329E-2</v>
      </c>
      <c r="AD6" s="129">
        <v>2025</v>
      </c>
      <c r="AE6" s="49">
        <f t="shared" si="0"/>
        <v>3.4812677239441485</v>
      </c>
      <c r="AF6" s="38">
        <f t="shared" si="1"/>
        <v>3.3607488158501249</v>
      </c>
      <c r="AG6" s="38">
        <f t="shared" si="2"/>
        <v>3.3447101012826423</v>
      </c>
      <c r="AH6" s="38">
        <f t="shared" si="3"/>
        <v>3.3447101012826423</v>
      </c>
    </row>
    <row r="7" spans="1:35" x14ac:dyDescent="0.3">
      <c r="A7" s="37">
        <v>2026</v>
      </c>
      <c r="B7" s="38">
        <v>3.6427459100000013</v>
      </c>
      <c r="C7" s="38">
        <v>2.9951768600000004</v>
      </c>
      <c r="D7" s="38">
        <v>3.0020902916129044</v>
      </c>
      <c r="E7" s="38">
        <v>2.7492370546666667</v>
      </c>
      <c r="F7" s="38">
        <v>2.6069735538709677</v>
      </c>
      <c r="G7" s="38">
        <v>2.6077455819999993</v>
      </c>
      <c r="H7" s="38">
        <v>2.6136660899999997</v>
      </c>
      <c r="I7" s="38">
        <v>2.6209585303225804</v>
      </c>
      <c r="J7" s="38">
        <v>2.6282713200000005</v>
      </c>
      <c r="K7" s="38">
        <v>2.725452596774192</v>
      </c>
      <c r="L7" s="38">
        <v>3.0824690286666661</v>
      </c>
      <c r="M7" s="38">
        <v>3.2354677303225805</v>
      </c>
      <c r="N7" s="53">
        <f t="shared" si="4"/>
        <v>2.87585454568638</v>
      </c>
      <c r="AD7" s="129">
        <v>2026</v>
      </c>
      <c r="AE7" s="49">
        <f t="shared" si="0"/>
        <v>3.1383790537152283</v>
      </c>
      <c r="AF7" s="38">
        <f t="shared" si="1"/>
        <v>2.9078154107403082</v>
      </c>
      <c r="AG7" s="38">
        <f t="shared" si="2"/>
        <v>2.87585454568638</v>
      </c>
      <c r="AH7" s="38">
        <f t="shared" si="3"/>
        <v>2.87585454568638</v>
      </c>
    </row>
    <row r="8" spans="1:35" x14ac:dyDescent="0.3">
      <c r="A8" s="37">
        <v>2027</v>
      </c>
      <c r="B8" s="38">
        <v>3.2503715499999979</v>
      </c>
      <c r="C8" s="38">
        <v>2.8186588499999998</v>
      </c>
      <c r="D8" s="38">
        <v>2.8251469929032273</v>
      </c>
      <c r="E8" s="38">
        <v>2.7097901740000001</v>
      </c>
      <c r="F8" s="38">
        <v>2.6346375480645161</v>
      </c>
      <c r="G8" s="38">
        <v>2.6340713100000004</v>
      </c>
      <c r="H8" s="38">
        <v>2.6414206796774198</v>
      </c>
      <c r="I8" s="38">
        <v>2.6487905574193547</v>
      </c>
      <c r="J8" s="38">
        <v>2.6561810000000023</v>
      </c>
      <c r="K8" s="38">
        <v>2.7305218590322591</v>
      </c>
      <c r="L8" s="38">
        <v>3.1602824176666666</v>
      </c>
      <c r="M8" s="38">
        <v>3.3832619825806463</v>
      </c>
      <c r="N8" s="53">
        <f t="shared" si="4"/>
        <v>2.8410945767786742</v>
      </c>
      <c r="AD8" s="129">
        <v>2027</v>
      </c>
      <c r="AE8" s="49">
        <f t="shared" si="0"/>
        <v>3.0521636237457574</v>
      </c>
      <c r="AF8" s="38">
        <f t="shared" si="1"/>
        <v>2.8625540047955247</v>
      </c>
      <c r="AG8" s="38">
        <f t="shared" si="2"/>
        <v>2.8410945767786751</v>
      </c>
      <c r="AH8" s="38">
        <f t="shared" si="3"/>
        <v>2.8410945767786751</v>
      </c>
    </row>
    <row r="9" spans="1:35" x14ac:dyDescent="0.3">
      <c r="A9" s="37">
        <v>2028</v>
      </c>
      <c r="B9" s="38">
        <v>3.3946119099999987</v>
      </c>
      <c r="C9" s="38">
        <v>3.0642950000000009</v>
      </c>
      <c r="D9" s="38">
        <v>3.0699051506451602</v>
      </c>
      <c r="E9" s="38">
        <v>2.7236824646666675</v>
      </c>
      <c r="F9" s="38">
        <v>2.680470349999998</v>
      </c>
      <c r="G9" s="38">
        <v>2.6880024899999997</v>
      </c>
      <c r="H9" s="38">
        <v>2.6954488700000017</v>
      </c>
      <c r="I9" s="38">
        <v>2.7029694999999996</v>
      </c>
      <c r="J9" s="38">
        <v>2.7105111000000006</v>
      </c>
      <c r="K9" s="38">
        <v>2.7861072522580659</v>
      </c>
      <c r="L9" s="38">
        <v>3.1691960166666662</v>
      </c>
      <c r="M9" s="38">
        <v>3.484100584516129</v>
      </c>
      <c r="N9" s="53">
        <f t="shared" si="4"/>
        <v>2.9307750573960578</v>
      </c>
      <c r="AD9" s="129">
        <v>2028</v>
      </c>
      <c r="AE9" s="49">
        <f t="shared" si="0"/>
        <v>3.1772449847096049</v>
      </c>
      <c r="AF9" s="38">
        <f t="shared" si="1"/>
        <v>2.9584629426651166</v>
      </c>
      <c r="AG9" s="38">
        <f t="shared" si="2"/>
        <v>2.9307750573960578</v>
      </c>
      <c r="AH9" s="38">
        <f t="shared" si="3"/>
        <v>2.9307750573960578</v>
      </c>
    </row>
    <row r="10" spans="1:35" x14ac:dyDescent="0.3">
      <c r="A10" s="37">
        <v>2029</v>
      </c>
      <c r="B10" s="38">
        <v>3.5005227599999986</v>
      </c>
      <c r="C10" s="38">
        <v>3.07737127</v>
      </c>
      <c r="D10" s="38">
        <v>3.0830079712903218</v>
      </c>
      <c r="E10" s="38">
        <v>2.6730765710000006</v>
      </c>
      <c r="F10" s="38">
        <v>2.6545389970967737</v>
      </c>
      <c r="G10" s="38">
        <v>2.6522226179999988</v>
      </c>
      <c r="H10" s="38">
        <v>2.6643315212903227</v>
      </c>
      <c r="I10" s="38">
        <v>2.6717653200000009</v>
      </c>
      <c r="J10" s="38">
        <v>2.6792198600000021</v>
      </c>
      <c r="K10" s="38">
        <v>2.7710753183870973</v>
      </c>
      <c r="L10" s="38">
        <v>3.1619469609999999</v>
      </c>
      <c r="M10" s="38">
        <v>3.5909008896774206</v>
      </c>
      <c r="N10" s="53">
        <f t="shared" si="4"/>
        <v>2.9316650048118285</v>
      </c>
      <c r="AD10" s="129">
        <v>2029</v>
      </c>
      <c r="AE10" s="49">
        <f t="shared" si="0"/>
        <v>3.2187520206870643</v>
      </c>
      <c r="AF10" s="38">
        <f t="shared" si="1"/>
        <v>2.9640649064028488</v>
      </c>
      <c r="AG10" s="38">
        <f t="shared" si="2"/>
        <v>2.9316650048118285</v>
      </c>
      <c r="AH10" s="38">
        <f t="shared" si="3"/>
        <v>2.9316650048118285</v>
      </c>
    </row>
    <row r="11" spans="1:35" x14ac:dyDescent="0.3">
      <c r="A11" s="37">
        <v>2030</v>
      </c>
      <c r="B11" s="38">
        <v>3.6034075700000012</v>
      </c>
      <c r="C11" s="38">
        <v>3.0522247400000002</v>
      </c>
      <c r="D11" s="38">
        <v>3.0578104061290312</v>
      </c>
      <c r="E11" s="38">
        <v>2.748452522</v>
      </c>
      <c r="F11" s="38">
        <v>2.614818327741935</v>
      </c>
      <c r="G11" s="38">
        <v>2.6144318639999984</v>
      </c>
      <c r="H11" s="38">
        <v>2.6229759699999993</v>
      </c>
      <c r="I11" s="38">
        <v>2.6302943900000018</v>
      </c>
      <c r="J11" s="38">
        <v>2.6376332199999992</v>
      </c>
      <c r="K11" s="38">
        <v>2.7288714832258076</v>
      </c>
      <c r="L11" s="38">
        <v>3.2482689113333318</v>
      </c>
      <c r="M11" s="38">
        <v>3.6061245938709665</v>
      </c>
      <c r="N11" s="53">
        <f t="shared" si="4"/>
        <v>2.9304428331917562</v>
      </c>
      <c r="AD11" s="129">
        <v>2030</v>
      </c>
      <c r="AE11" s="49">
        <f t="shared" si="0"/>
        <v>3.2480693412659334</v>
      </c>
      <c r="AF11" s="38">
        <f t="shared" si="1"/>
        <v>2.9666747500724631</v>
      </c>
      <c r="AG11" s="38">
        <f t="shared" si="2"/>
        <v>2.9304428331917567</v>
      </c>
      <c r="AH11" s="38">
        <f t="shared" si="3"/>
        <v>2.9304428331917562</v>
      </c>
    </row>
    <row r="12" spans="1:35" x14ac:dyDescent="0.3">
      <c r="A12" s="37">
        <v>2031</v>
      </c>
      <c r="B12" s="38">
        <v>3.6185377900000018</v>
      </c>
      <c r="C12" s="38">
        <v>3.0552423303571423</v>
      </c>
      <c r="D12" s="38">
        <v>3.0608341461290332</v>
      </c>
      <c r="E12" s="38">
        <v>2.8315174506666674</v>
      </c>
      <c r="F12" s="38">
        <v>2.7507540887096789</v>
      </c>
      <c r="G12" s="38">
        <v>2.7510775003333325</v>
      </c>
      <c r="H12" s="38">
        <v>2.7587533316129038</v>
      </c>
      <c r="I12" s="38">
        <v>2.7664505799999985</v>
      </c>
      <c r="J12" s="38">
        <v>2.7741693100000004</v>
      </c>
      <c r="K12" s="38">
        <v>2.8306704403225802</v>
      </c>
      <c r="L12" s="38">
        <v>3.2116117606666665</v>
      </c>
      <c r="M12" s="38">
        <v>3.6797246416129052</v>
      </c>
      <c r="N12" s="53">
        <f t="shared" si="4"/>
        <v>3.0074452808675756</v>
      </c>
      <c r="AD12" s="129">
        <v>2031</v>
      </c>
      <c r="AE12" s="49">
        <f t="shared" si="0"/>
        <v>3.2821560854754779</v>
      </c>
      <c r="AF12" s="38">
        <f t="shared" si="1"/>
        <v>3.0383394305422993</v>
      </c>
      <c r="AG12" s="38">
        <f t="shared" si="2"/>
        <v>3.007445280867576</v>
      </c>
      <c r="AH12" s="38">
        <f t="shared" si="3"/>
        <v>3.007445280867576</v>
      </c>
    </row>
    <row r="13" spans="1:35" x14ac:dyDescent="0.3">
      <c r="A13" s="37">
        <v>2032</v>
      </c>
      <c r="B13" s="38">
        <v>3.6941884400000018</v>
      </c>
      <c r="C13" s="38">
        <v>3.0441776300000014</v>
      </c>
      <c r="D13" s="38">
        <v>3.052671230000001</v>
      </c>
      <c r="E13" s="38">
        <v>2.7361188173333342</v>
      </c>
      <c r="F13" s="38">
        <v>2.6362036545161267</v>
      </c>
      <c r="G13" s="38">
        <v>2.6117021226666681</v>
      </c>
      <c r="H13" s="38">
        <v>2.6492015400000017</v>
      </c>
      <c r="I13" s="38">
        <v>2.6565931199999979</v>
      </c>
      <c r="J13" s="38">
        <v>2.6640053300000002</v>
      </c>
      <c r="K13" s="38">
        <v>2.7622714212903232</v>
      </c>
      <c r="L13" s="38">
        <v>3.3301003856666669</v>
      </c>
      <c r="M13" s="38">
        <v>3.5812166500000013</v>
      </c>
      <c r="N13" s="53">
        <f t="shared" si="4"/>
        <v>2.9515375284560936</v>
      </c>
      <c r="AD13" s="129">
        <v>2032</v>
      </c>
      <c r="AE13" s="49">
        <f t="shared" si="0"/>
        <v>3.2720144274074721</v>
      </c>
      <c r="AF13" s="38">
        <f t="shared" si="1"/>
        <v>2.9872598632817859</v>
      </c>
      <c r="AG13" s="38">
        <f t="shared" si="2"/>
        <v>2.9515375284560936</v>
      </c>
      <c r="AH13" s="38">
        <f t="shared" si="3"/>
        <v>2.9515375284560941</v>
      </c>
    </row>
    <row r="14" spans="1:35" x14ac:dyDescent="0.3">
      <c r="A14" s="37">
        <v>2033</v>
      </c>
      <c r="B14" s="38">
        <v>3.5899427448387122</v>
      </c>
      <c r="C14" s="38">
        <v>3.1518056299999988</v>
      </c>
      <c r="D14" s="38">
        <v>3.1605995299999994</v>
      </c>
      <c r="E14" s="38">
        <v>2.8713010620000001</v>
      </c>
      <c r="F14" s="38">
        <v>2.8127102106451596</v>
      </c>
      <c r="G14" s="38">
        <v>2.8136153639999999</v>
      </c>
      <c r="H14" s="38">
        <v>2.8214656800000015</v>
      </c>
      <c r="I14" s="38">
        <v>2.8293379119354851</v>
      </c>
      <c r="J14" s="38">
        <v>2.8372320999999996</v>
      </c>
      <c r="K14" s="38">
        <v>2.9052761819354829</v>
      </c>
      <c r="L14" s="38">
        <v>3.3986641129999997</v>
      </c>
      <c r="M14" s="38">
        <v>3.6381863767741924</v>
      </c>
      <c r="N14" s="53">
        <f t="shared" si="4"/>
        <v>3.0691780754274198</v>
      </c>
      <c r="AD14" s="129">
        <v>2033</v>
      </c>
      <c r="AE14" s="49">
        <f t="shared" si="0"/>
        <v>3.3281462221224056</v>
      </c>
      <c r="AF14" s="38">
        <f t="shared" si="1"/>
        <v>3.0975160784708038</v>
      </c>
      <c r="AG14" s="38">
        <f t="shared" si="2"/>
        <v>3.0691780754274198</v>
      </c>
      <c r="AH14" s="38">
        <f t="shared" si="3"/>
        <v>3.0691780754274203</v>
      </c>
    </row>
    <row r="15" spans="1:35" x14ac:dyDescent="0.3">
      <c r="A15" s="37">
        <v>2034</v>
      </c>
      <c r="B15" s="38">
        <v>3.652832649999997</v>
      </c>
      <c r="C15" s="38">
        <v>3.1668935200000012</v>
      </c>
      <c r="D15" s="38">
        <v>3.1757295099999978</v>
      </c>
      <c r="E15" s="38">
        <v>2.8201652873333329</v>
      </c>
      <c r="F15" s="38">
        <v>2.759296789677419</v>
      </c>
      <c r="G15" s="38">
        <v>2.7601556399999989</v>
      </c>
      <c r="H15" s="38">
        <v>2.7678567990322587</v>
      </c>
      <c r="I15" s="38">
        <v>2.7755794480645157</v>
      </c>
      <c r="J15" s="38">
        <v>2.7833236499999998</v>
      </c>
      <c r="K15" s="38">
        <v>2.8442054506451622</v>
      </c>
      <c r="L15" s="38">
        <v>3.265539227000001</v>
      </c>
      <c r="M15" s="38">
        <v>3.6120991612903248</v>
      </c>
      <c r="N15" s="53">
        <f t="shared" si="4"/>
        <v>3.0319730944202505</v>
      </c>
      <c r="AD15" s="129">
        <v>2034</v>
      </c>
      <c r="AE15" s="49">
        <f t="shared" si="0"/>
        <v>3.3121725864918554</v>
      </c>
      <c r="AF15" s="38">
        <f t="shared" si="1"/>
        <v>3.0644307932486656</v>
      </c>
      <c r="AG15" s="38">
        <f t="shared" si="2"/>
        <v>3.031973094420251</v>
      </c>
      <c r="AH15" s="38">
        <f t="shared" si="3"/>
        <v>3.031973094420251</v>
      </c>
    </row>
    <row r="16" spans="1:35" x14ac:dyDescent="0.3">
      <c r="A16" s="37">
        <v>2035</v>
      </c>
      <c r="B16" s="38">
        <v>3.6296331300000015</v>
      </c>
      <c r="C16" s="38">
        <v>3.1226354100000004</v>
      </c>
      <c r="D16" s="38">
        <v>3.1313479199999996</v>
      </c>
      <c r="E16" s="38">
        <v>2.7946428373333325</v>
      </c>
      <c r="F16" s="38">
        <v>2.721000254193549</v>
      </c>
      <c r="G16" s="38">
        <v>2.7218258899999999</v>
      </c>
      <c r="H16" s="38">
        <v>2.7294201100000017</v>
      </c>
      <c r="I16" s="38">
        <v>2.7370355177419361</v>
      </c>
      <c r="J16" s="38">
        <v>2.7446721700000007</v>
      </c>
      <c r="K16" s="38">
        <v>2.8150481761290305</v>
      </c>
      <c r="L16" s="38">
        <v>3.2567242763333342</v>
      </c>
      <c r="M16" s="38">
        <v>3.5902947900000011</v>
      </c>
      <c r="N16" s="53">
        <f t="shared" si="4"/>
        <v>2.9995233734775995</v>
      </c>
      <c r="AD16" s="129">
        <v>2035</v>
      </c>
      <c r="AE16" s="49">
        <f t="shared" si="0"/>
        <v>3.2841809543426477</v>
      </c>
      <c r="AF16" s="38">
        <f t="shared" si="1"/>
        <v>3.0322249013893781</v>
      </c>
      <c r="AG16" s="38">
        <f t="shared" si="2"/>
        <v>2.9995233734775995</v>
      </c>
      <c r="AH16" s="38">
        <f t="shared" si="3"/>
        <v>2.9995233734775995</v>
      </c>
    </row>
    <row r="17" spans="1:35" x14ac:dyDescent="0.3">
      <c r="A17" s="37">
        <v>2036</v>
      </c>
      <c r="B17" s="38">
        <v>3.5997937516129022</v>
      </c>
      <c r="C17" s="38">
        <v>3.1105649099999986</v>
      </c>
      <c r="D17" s="38">
        <v>3.1192437400000013</v>
      </c>
      <c r="E17" s="38">
        <v>2.8232350693333337</v>
      </c>
      <c r="F17" s="38">
        <v>2.7502265187096788</v>
      </c>
      <c r="G17" s="38">
        <v>2.7510774999999992</v>
      </c>
      <c r="H17" s="38">
        <v>2.7587533283870971</v>
      </c>
      <c r="I17" s="38">
        <v>2.7664505777419346</v>
      </c>
      <c r="J17" s="38">
        <v>2.7741693100000004</v>
      </c>
      <c r="K17" s="38">
        <v>2.843811040645162</v>
      </c>
      <c r="L17" s="38">
        <v>3.3093808003333347</v>
      </c>
      <c r="M17" s="38">
        <v>3.6521493603225821</v>
      </c>
      <c r="N17" s="53">
        <f t="shared" si="4"/>
        <v>3.0215713255905019</v>
      </c>
      <c r="AD17" s="129">
        <v>2036</v>
      </c>
      <c r="AE17" s="49">
        <f t="shared" si="0"/>
        <v>3.3003440091744904</v>
      </c>
      <c r="AF17" s="38">
        <f t="shared" si="1"/>
        <v>3.0526815624587744</v>
      </c>
      <c r="AG17" s="38">
        <f t="shared" si="2"/>
        <v>3.0215713255905019</v>
      </c>
      <c r="AH17" s="38">
        <f t="shared" si="3"/>
        <v>3.0215713255905023</v>
      </c>
    </row>
    <row r="18" spans="1:35" x14ac:dyDescent="0.3">
      <c r="A18" s="37">
        <v>2037</v>
      </c>
      <c r="B18" s="38">
        <v>3.6660589600000004</v>
      </c>
      <c r="C18" s="38">
        <v>3.1618643000000008</v>
      </c>
      <c r="D18" s="38">
        <v>3.1706862599999979</v>
      </c>
      <c r="E18" s="38">
        <v>2.8209185393333347</v>
      </c>
      <c r="F18" s="38">
        <v>2.7478584803225812</v>
      </c>
      <c r="G18" s="38">
        <v>2.7500689020000011</v>
      </c>
      <c r="H18" s="38">
        <v>2.7577419206451617</v>
      </c>
      <c r="I18" s="38">
        <v>2.7654363500000012</v>
      </c>
      <c r="J18" s="38">
        <v>2.7731522400000013</v>
      </c>
      <c r="K18" s="38">
        <v>2.8439278545161293</v>
      </c>
      <c r="L18" s="38">
        <v>3.3077999176666668</v>
      </c>
      <c r="M18" s="38">
        <v>3.6310857293548371</v>
      </c>
      <c r="N18" s="53">
        <f t="shared" si="4"/>
        <v>3.0330499544865592</v>
      </c>
      <c r="AD18" s="129">
        <v>2037</v>
      </c>
      <c r="AE18" s="49">
        <f t="shared" si="0"/>
        <v>3.3225742408520786</v>
      </c>
      <c r="AF18" s="38">
        <f t="shared" si="1"/>
        <v>3.066217199409901</v>
      </c>
      <c r="AG18" s="38">
        <f t="shared" si="2"/>
        <v>3.0330499544865592</v>
      </c>
      <c r="AH18" s="38">
        <f t="shared" si="3"/>
        <v>3.0330499544865597</v>
      </c>
    </row>
    <row r="19" spans="1:35" x14ac:dyDescent="0.3">
      <c r="A19" s="37">
        <v>2038</v>
      </c>
      <c r="B19" s="38">
        <v>3.6457719600000016</v>
      </c>
      <c r="C19" s="38">
        <v>3.1427527500000001</v>
      </c>
      <c r="D19" s="38">
        <v>3.1515213899999996</v>
      </c>
      <c r="E19" s="38">
        <v>2.8287020626666664</v>
      </c>
      <c r="F19" s="38">
        <v>2.7683096912903236</v>
      </c>
      <c r="G19" s="38">
        <v>2.7712509699999983</v>
      </c>
      <c r="H19" s="38">
        <v>2.778983090322579</v>
      </c>
      <c r="I19" s="38">
        <v>2.7867367900000013</v>
      </c>
      <c r="J19" s="38">
        <v>2.7945121099999999</v>
      </c>
      <c r="K19" s="38">
        <v>2.8551255448387094</v>
      </c>
      <c r="L19" s="38">
        <v>3.2782649146666683</v>
      </c>
      <c r="M19" s="38">
        <v>3.469494417741934</v>
      </c>
      <c r="N19" s="53">
        <f t="shared" si="4"/>
        <v>3.0226188076272407</v>
      </c>
      <c r="AD19" s="129">
        <v>2038</v>
      </c>
      <c r="AE19" s="49">
        <f t="shared" si="0"/>
        <v>3.2765987975266677</v>
      </c>
      <c r="AF19" s="38">
        <f t="shared" si="1"/>
        <v>3.0521067108228372</v>
      </c>
      <c r="AG19" s="38">
        <f t="shared" si="2"/>
        <v>3.0226188076272402</v>
      </c>
      <c r="AH19" s="38">
        <f t="shared" si="3"/>
        <v>3.0226188076272402</v>
      </c>
    </row>
    <row r="20" spans="1:35" x14ac:dyDescent="0.3">
      <c r="A20" s="37">
        <v>2039</v>
      </c>
      <c r="B20" s="38">
        <v>3.4833753300000008</v>
      </c>
      <c r="C20" s="38">
        <v>2.9627024600000014</v>
      </c>
      <c r="D20" s="38">
        <v>2.9709687400000022</v>
      </c>
      <c r="E20" s="38">
        <v>2.8431752316666654</v>
      </c>
      <c r="F20" s="38">
        <v>2.8220905919354839</v>
      </c>
      <c r="G20" s="38">
        <v>2.8267281419999999</v>
      </c>
      <c r="H20" s="38">
        <v>2.8346150512903203</v>
      </c>
      <c r="I20" s="38">
        <v>2.8425239622580638</v>
      </c>
      <c r="J20" s="38">
        <v>2.8504549400000005</v>
      </c>
      <c r="K20" s="38">
        <v>2.9114082564516135</v>
      </c>
      <c r="L20" s="38">
        <v>3.3639687613333331</v>
      </c>
      <c r="M20" s="38">
        <v>3.7145045567741932</v>
      </c>
      <c r="N20" s="53">
        <f t="shared" si="4"/>
        <v>3.0355430019758067</v>
      </c>
      <c r="AD20" s="129">
        <v>2039</v>
      </c>
      <c r="AE20" s="49">
        <f t="shared" si="0"/>
        <v>3.266733848819193</v>
      </c>
      <c r="AF20" s="38">
        <f t="shared" si="1"/>
        <v>3.0580671718496042</v>
      </c>
      <c r="AG20" s="38">
        <f t="shared" si="2"/>
        <v>3.0355430019758072</v>
      </c>
      <c r="AH20" s="38">
        <f t="shared" si="3"/>
        <v>3.0355430019758076</v>
      </c>
    </row>
    <row r="21" spans="1:35" x14ac:dyDescent="0.3">
      <c r="A21" s="37">
        <v>2040</v>
      </c>
      <c r="B21" s="38">
        <v>3.729491890000002</v>
      </c>
      <c r="C21" s="38">
        <v>2.9818137700000014</v>
      </c>
      <c r="D21" s="38">
        <v>2.9901333699999992</v>
      </c>
      <c r="E21" s="38">
        <v>2.9657651589999996</v>
      </c>
      <c r="F21" s="38">
        <v>2.926833712903226</v>
      </c>
      <c r="G21" s="38">
        <v>2.9326389853333326</v>
      </c>
      <c r="H21" s="38">
        <v>2.9408213909677405</v>
      </c>
      <c r="I21" s="38">
        <v>2.9490266225806443</v>
      </c>
      <c r="J21" s="38">
        <v>2.9572547599999988</v>
      </c>
      <c r="K21" s="38">
        <v>2.9840220654838703</v>
      </c>
      <c r="L21" s="38">
        <v>3.5726835243333346</v>
      </c>
      <c r="M21" s="38">
        <v>3.9192915393548371</v>
      </c>
      <c r="N21" s="53">
        <f t="shared" si="4"/>
        <v>3.1541480658297485</v>
      </c>
      <c r="AD21" s="129">
        <v>2040</v>
      </c>
      <c r="AE21" s="49">
        <f t="shared" si="0"/>
        <v>3.4117130821710409</v>
      </c>
      <c r="AF21" s="38">
        <f t="shared" si="1"/>
        <v>3.1785348619091423</v>
      </c>
      <c r="AG21" s="38">
        <f t="shared" si="2"/>
        <v>3.1541480658297489</v>
      </c>
      <c r="AH21" s="38">
        <f t="shared" si="3"/>
        <v>3.1541480658297489</v>
      </c>
      <c r="AI21">
        <f>2.1+(0.25*4.9)</f>
        <v>3.3250000000000002</v>
      </c>
    </row>
    <row r="22" spans="1:35" x14ac:dyDescent="0.3">
      <c r="A22" s="37">
        <v>2041</v>
      </c>
      <c r="B22" s="38">
        <v>3.9352615100000028</v>
      </c>
      <c r="C22" s="38">
        <v>3.1414795400000011</v>
      </c>
      <c r="D22" s="38">
        <v>3.1471164061290304</v>
      </c>
      <c r="E22" s="38">
        <v>2.9765883660000001</v>
      </c>
      <c r="F22" s="38">
        <v>2.927614636451612</v>
      </c>
      <c r="G22" s="38">
        <v>2.9326389999999996</v>
      </c>
      <c r="H22" s="38">
        <v>2.9408214099999985</v>
      </c>
      <c r="I22" s="38">
        <v>2.9490266522580639</v>
      </c>
      <c r="J22" s="38">
        <v>2.95725478</v>
      </c>
      <c r="K22" s="38">
        <v>2.9805443180645166</v>
      </c>
      <c r="L22" s="38">
        <v>3.5291675633333339</v>
      </c>
      <c r="M22" s="38">
        <v>3.8351714687096803</v>
      </c>
      <c r="N22" s="53">
        <f t="shared" si="4"/>
        <v>3.18772380424552</v>
      </c>
      <c r="AD22" s="129">
        <v>2041</v>
      </c>
      <c r="AE22" s="49">
        <f t="shared" si="0"/>
        <v>3.4727716651927971</v>
      </c>
      <c r="AF22" s="38">
        <f t="shared" si="1"/>
        <v>3.2183232843310514</v>
      </c>
      <c r="AG22" s="38">
        <f t="shared" si="2"/>
        <v>3.1877238042455205</v>
      </c>
      <c r="AH22" s="38">
        <f t="shared" si="3"/>
        <v>3.1877238042455205</v>
      </c>
      <c r="AI22">
        <f>AI21-2.81</f>
        <v>0.51500000000000012</v>
      </c>
    </row>
    <row r="23" spans="1:35" x14ac:dyDescent="0.3">
      <c r="A23" s="129">
        <v>2042</v>
      </c>
      <c r="B23" s="38">
        <v>3.8515415699999984</v>
      </c>
      <c r="C23" s="38">
        <v>3.1296764599999993</v>
      </c>
      <c r="D23" s="38">
        <v>3.1384086099999995</v>
      </c>
      <c r="E23" s="38">
        <v>3.0038985249999985</v>
      </c>
      <c r="F23" s="38">
        <v>2.9616553183870988</v>
      </c>
      <c r="G23" s="38">
        <v>2.9679426900000005</v>
      </c>
      <c r="H23" s="38">
        <v>2.9762235999999986</v>
      </c>
      <c r="I23" s="38">
        <v>2.9845276199999988</v>
      </c>
      <c r="J23" s="38">
        <v>2.9928548000000021</v>
      </c>
      <c r="K23" s="38">
        <v>3.014565720967743</v>
      </c>
      <c r="L23" s="38">
        <v>3.5688287203333307</v>
      </c>
      <c r="M23" s="38">
        <v>3.8668258006451612</v>
      </c>
      <c r="N23" s="53">
        <f t="shared" si="4"/>
        <v>3.2047457862777775</v>
      </c>
      <c r="AD23" s="129">
        <v>2042</v>
      </c>
      <c r="AE23" s="49">
        <f t="shared" si="0"/>
        <v>3.4706709326347758</v>
      </c>
      <c r="AF23" s="38">
        <f t="shared" si="1"/>
        <v>3.2321966814007417</v>
      </c>
      <c r="AG23" s="38">
        <f t="shared" si="2"/>
        <v>3.2047457862777771</v>
      </c>
      <c r="AH23" s="38">
        <f t="shared" si="3"/>
        <v>3.2047457862777771</v>
      </c>
    </row>
    <row r="24" spans="1:35" x14ac:dyDescent="0.3">
      <c r="A24" s="129">
        <v>2043</v>
      </c>
      <c r="B24" s="38">
        <v>3.8838192299999998</v>
      </c>
      <c r="C24" s="38">
        <v>3.1467761699999994</v>
      </c>
      <c r="D24" s="38">
        <v>3.1555560399999978</v>
      </c>
      <c r="E24" s="38">
        <v>3.0950790076666665</v>
      </c>
      <c r="F24" s="38">
        <v>3.0858433248387098</v>
      </c>
      <c r="G24" s="38">
        <v>3.0950356200000004</v>
      </c>
      <c r="H24" s="38">
        <v>3.1036711400000017</v>
      </c>
      <c r="I24" s="38">
        <v>3.1123307499999986</v>
      </c>
      <c r="J24" s="38">
        <v>3.1210145200000015</v>
      </c>
      <c r="K24" s="38">
        <v>3.1415583400000009</v>
      </c>
      <c r="L24" s="38">
        <v>3.6954653236666646</v>
      </c>
      <c r="M24" s="38">
        <v>3.986704029999999</v>
      </c>
      <c r="N24" s="53">
        <f t="shared" si="4"/>
        <v>3.3019044580143366</v>
      </c>
      <c r="O24" s="41"/>
      <c r="AD24" s="129">
        <v>2043</v>
      </c>
      <c r="AE24" s="49">
        <f t="shared" si="0"/>
        <v>3.5447084260914314</v>
      </c>
      <c r="AF24" s="38">
        <f t="shared" si="1"/>
        <v>3.3249952478244742</v>
      </c>
      <c r="AG24" s="38">
        <f t="shared" si="2"/>
        <v>3.3019044580143375</v>
      </c>
      <c r="AH24" s="38">
        <f t="shared" si="3"/>
        <v>3.3019044580143375</v>
      </c>
    </row>
    <row r="25" spans="1:35" x14ac:dyDescent="0.3">
      <c r="A25" s="129">
        <v>2044</v>
      </c>
      <c r="B25" s="38">
        <v>3.997827400000002</v>
      </c>
      <c r="C25" s="38">
        <v>3.2936330699999989</v>
      </c>
      <c r="D25" s="38">
        <v>3.3028226800000016</v>
      </c>
      <c r="E25" s="38">
        <v>3.1235586993333326</v>
      </c>
      <c r="F25" s="38">
        <v>3.1083153529032272</v>
      </c>
      <c r="G25" s="38">
        <v>3.1168697430000019</v>
      </c>
      <c r="H25" s="38">
        <v>3.124646989032259</v>
      </c>
      <c r="I25" s="38">
        <v>3.1333651183870947</v>
      </c>
      <c r="J25" s="38">
        <v>3.1421075800000007</v>
      </c>
      <c r="K25" s="38">
        <v>3.1621173874193556</v>
      </c>
      <c r="L25" s="38">
        <v>3.6637113943333324</v>
      </c>
      <c r="M25" s="38">
        <v>4.0129296000000032</v>
      </c>
      <c r="N25" s="53">
        <f t="shared" si="4"/>
        <v>3.3484920845340511</v>
      </c>
      <c r="O25" s="41"/>
      <c r="AD25" s="129">
        <v>2044</v>
      </c>
      <c r="AE25" s="49">
        <f t="shared" si="0"/>
        <v>3.6133679269943961</v>
      </c>
      <c r="AF25" s="38">
        <f t="shared" si="1"/>
        <v>3.3761851079057701</v>
      </c>
      <c r="AG25" s="38">
        <f t="shared" si="2"/>
        <v>3.3484920845340507</v>
      </c>
      <c r="AH25" s="38">
        <f t="shared" si="3"/>
        <v>3.3484920845340507</v>
      </c>
      <c r="AI25">
        <f>3.33-2.81</f>
        <v>0.52</v>
      </c>
    </row>
    <row r="26" spans="1:35" x14ac:dyDescent="0.3">
      <c r="A26" s="129">
        <v>2045</v>
      </c>
      <c r="B26" s="38">
        <v>4.02412613</v>
      </c>
      <c r="C26" s="38">
        <v>3.3197854200000014</v>
      </c>
      <c r="D26" s="38">
        <v>3.3290479999999998</v>
      </c>
      <c r="E26" s="38">
        <v>3.3004296659999994</v>
      </c>
      <c r="F26" s="38">
        <v>3.2794651987096786</v>
      </c>
      <c r="G26" s="38">
        <v>3.2881658319999985</v>
      </c>
      <c r="H26" s="38">
        <v>3.2960311690322595</v>
      </c>
      <c r="I26" s="38">
        <v>3.3052274796774186</v>
      </c>
      <c r="J26" s="38">
        <v>3.3144494600000014</v>
      </c>
      <c r="K26" s="38">
        <v>3.3347811641935472</v>
      </c>
      <c r="L26" s="38">
        <v>3.9040874983333342</v>
      </c>
      <c r="M26" s="38">
        <v>4.2156731700000014</v>
      </c>
      <c r="N26" s="53">
        <f t="shared" si="4"/>
        <v>3.4926058489955203</v>
      </c>
      <c r="AD26" s="129">
        <v>2045</v>
      </c>
      <c r="AE26" s="49">
        <f t="shared" si="0"/>
        <v>3.7324244681456191</v>
      </c>
      <c r="AF26" s="38">
        <f t="shared" si="1"/>
        <v>3.5148157382330005</v>
      </c>
      <c r="AG26" s="38">
        <f t="shared" si="2"/>
        <v>3.4926058489955203</v>
      </c>
      <c r="AH26" s="38">
        <f t="shared" si="3"/>
        <v>3.4926058489955203</v>
      </c>
    </row>
    <row r="27" spans="1:35" x14ac:dyDescent="0.3">
      <c r="A27" s="129">
        <v>2046</v>
      </c>
      <c r="B27" s="38">
        <v>4.227435380000002</v>
      </c>
      <c r="C27" s="38">
        <v>3.5229709200000014</v>
      </c>
      <c r="D27" s="38">
        <v>3.5328004099999974</v>
      </c>
      <c r="E27" s="38">
        <v>3.4497886649999989</v>
      </c>
      <c r="F27" s="38">
        <v>3.4253152161290332</v>
      </c>
      <c r="G27" s="38">
        <v>3.4342296733333337</v>
      </c>
      <c r="H27" s="38">
        <v>3.4435073300000019</v>
      </c>
      <c r="I27" s="38">
        <v>3.453115122580646</v>
      </c>
      <c r="J27" s="38">
        <v>3.4627497200000019</v>
      </c>
      <c r="K27" s="38">
        <v>3.482098601935482</v>
      </c>
      <c r="L27" s="38">
        <v>4.0148785413333332</v>
      </c>
      <c r="M27" s="38">
        <v>4.3558788699999988</v>
      </c>
      <c r="N27" s="53">
        <f t="shared" si="4"/>
        <v>3.6503973708593187</v>
      </c>
      <c r="AD27" s="129">
        <v>2046</v>
      </c>
      <c r="AE27" s="49">
        <f t="shared" si="0"/>
        <v>3.9000508132139071</v>
      </c>
      <c r="AF27" s="38">
        <f t="shared" si="1"/>
        <v>3.6747946921690411</v>
      </c>
      <c r="AG27" s="38">
        <f t="shared" si="2"/>
        <v>3.6503973708593196</v>
      </c>
      <c r="AH27" s="38">
        <f t="shared" si="3"/>
        <v>3.6503973708593191</v>
      </c>
    </row>
    <row r="28" spans="1:35" x14ac:dyDescent="0.3">
      <c r="A28" s="129">
        <v>2047</v>
      </c>
      <c r="B28" s="38">
        <v>4.3680322799999978</v>
      </c>
      <c r="C28" s="38">
        <v>3.635429231428573</v>
      </c>
      <c r="D28" s="38">
        <v>3.6240174819354825</v>
      </c>
      <c r="E28" s="38">
        <v>3.4296934596666682</v>
      </c>
      <c r="F28" s="38">
        <v>3.4034923280645151</v>
      </c>
      <c r="G28" s="38">
        <v>3.4125614360000003</v>
      </c>
      <c r="H28" s="38">
        <v>3.4213781619354866</v>
      </c>
      <c r="I28" s="38">
        <v>3.4309242112903218</v>
      </c>
      <c r="J28" s="38">
        <v>3.4404968900000013</v>
      </c>
      <c r="K28" s="38">
        <v>3.4597705316129015</v>
      </c>
      <c r="L28" s="38">
        <v>3.9229804706666651</v>
      </c>
      <c r="M28" s="38">
        <v>4.3165405299999984</v>
      </c>
      <c r="N28" s="53">
        <f t="shared" si="4"/>
        <v>3.6554430843833843</v>
      </c>
      <c r="AD28" s="129">
        <v>2047</v>
      </c>
      <c r="AE28" s="49">
        <f t="shared" si="0"/>
        <v>3.9319750706341079</v>
      </c>
      <c r="AF28" s="38">
        <f t="shared" si="1"/>
        <v>3.6853783975100525</v>
      </c>
      <c r="AG28" s="38">
        <f t="shared" si="2"/>
        <v>3.6554430843833847</v>
      </c>
      <c r="AH28" s="38">
        <f t="shared" si="3"/>
        <v>3.6554430843833847</v>
      </c>
    </row>
    <row r="29" spans="1:35" x14ac:dyDescent="0.3">
      <c r="A29" s="129">
        <v>2048</v>
      </c>
      <c r="B29" s="38">
        <v>4.3285841700000001</v>
      </c>
      <c r="C29" s="38">
        <v>3.5768440100000012</v>
      </c>
      <c r="D29" s="38">
        <v>3.5748125454838697</v>
      </c>
      <c r="E29" s="38">
        <v>3.4496209780000013</v>
      </c>
      <c r="F29" s="38">
        <v>3.4289436112903213</v>
      </c>
      <c r="G29" s="38">
        <v>3.4372783489999983</v>
      </c>
      <c r="H29" s="38">
        <v>3.4455189199999987</v>
      </c>
      <c r="I29" s="38">
        <v>3.4551323283870961</v>
      </c>
      <c r="J29" s="38">
        <v>3.4647725500000019</v>
      </c>
      <c r="K29" s="38">
        <v>3.4836727483870984</v>
      </c>
      <c r="L29" s="38">
        <v>3.9132032413333322</v>
      </c>
      <c r="M29" s="38">
        <v>4.3215840200000013</v>
      </c>
      <c r="N29" s="53">
        <f t="shared" si="4"/>
        <v>3.6566639559901439</v>
      </c>
      <c r="AD29" s="129">
        <v>2048</v>
      </c>
      <c r="AE29" s="49">
        <f t="shared" si="0"/>
        <v>3.9133488599534281</v>
      </c>
      <c r="AF29" s="38">
        <f t="shared" si="1"/>
        <v>3.6835750503201132</v>
      </c>
      <c r="AG29" s="38">
        <f t="shared" si="2"/>
        <v>3.6566639559901439</v>
      </c>
      <c r="AH29" s="38">
        <f t="shared" si="3"/>
        <v>3.6566639559901439</v>
      </c>
    </row>
    <row r="30" spans="1:35" x14ac:dyDescent="0.3">
      <c r="A30" s="129">
        <v>2049</v>
      </c>
      <c r="B30" s="38">
        <v>4.3336417400000009</v>
      </c>
      <c r="C30" s="38">
        <v>3.6411118700000022</v>
      </c>
      <c r="D30" s="38">
        <v>3.65127099</v>
      </c>
      <c r="E30" s="38">
        <v>3.4976318510000013</v>
      </c>
      <c r="F30" s="38">
        <v>3.4834031125806462</v>
      </c>
      <c r="G30" s="38">
        <v>3.4911011513333348</v>
      </c>
      <c r="H30" s="38">
        <v>3.5008417399999989</v>
      </c>
      <c r="I30" s="38">
        <v>3.5106095012903227</v>
      </c>
      <c r="J30" s="38">
        <v>3.5204045100000014</v>
      </c>
      <c r="K30" s="38">
        <v>3.5376995945161283</v>
      </c>
      <c r="L30" s="38">
        <v>3.8494126886666664</v>
      </c>
      <c r="M30" s="38">
        <v>4.3185577299999993</v>
      </c>
      <c r="N30" s="53">
        <f t="shared" si="4"/>
        <v>3.6946405399489248</v>
      </c>
      <c r="AD30" s="129">
        <v>2049</v>
      </c>
      <c r="AE30" s="49">
        <f t="shared" si="0"/>
        <v>3.9336913574788648</v>
      </c>
      <c r="AF30" s="38">
        <f t="shared" si="1"/>
        <v>3.7205192864340706</v>
      </c>
      <c r="AG30" s="38">
        <f t="shared" si="2"/>
        <v>3.6946405399489257</v>
      </c>
      <c r="AH30" s="38">
        <f t="shared" si="3"/>
        <v>3.6946405399489262</v>
      </c>
    </row>
    <row r="31" spans="1:35" x14ac:dyDescent="0.3">
      <c r="A31" s="129">
        <v>2050</v>
      </c>
      <c r="B31" s="38">
        <v>4.3306070099999978</v>
      </c>
      <c r="C31" s="38">
        <v>3.7001972099999993</v>
      </c>
      <c r="D31" s="38">
        <v>3.7105211800000002</v>
      </c>
      <c r="E31" s="38">
        <v>3.5569553069999995</v>
      </c>
      <c r="F31" s="38">
        <v>3.5425570545161311</v>
      </c>
      <c r="G31" s="38">
        <v>3.5492792703333333</v>
      </c>
      <c r="H31" s="38">
        <v>3.5591821700000001</v>
      </c>
      <c r="I31" s="38">
        <v>3.5691127099999993</v>
      </c>
      <c r="J31" s="38">
        <v>3.5790709599999988</v>
      </c>
      <c r="K31" s="38">
        <v>3.5969322438709694</v>
      </c>
      <c r="L31" s="38">
        <v>3.9556377730000003</v>
      </c>
      <c r="M31" s="38">
        <v>4.3326946041935477</v>
      </c>
      <c r="N31" s="53">
        <f t="shared" si="4"/>
        <v>3.7485622910761642</v>
      </c>
      <c r="AD31" s="129">
        <v>2050</v>
      </c>
      <c r="AE31" s="49">
        <f t="shared" si="0"/>
        <v>3.9764428156265232</v>
      </c>
      <c r="AF31" s="38">
        <f t="shared" si="1"/>
        <v>3.7727581308306859</v>
      </c>
      <c r="AG31" s="38">
        <f t="shared" si="2"/>
        <v>3.7485622910761651</v>
      </c>
      <c r="AH31" s="38">
        <f t="shared" si="3"/>
        <v>3.7485622910761656</v>
      </c>
    </row>
    <row r="32" spans="1:35" ht="15" thickBot="1" x14ac:dyDescent="0.35">
      <c r="A32" s="39"/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AD32" s="131" t="s">
        <v>29</v>
      </c>
      <c r="AE32" s="132">
        <f>PMT('Avoided Costs Summary'!$B$35,29,NPV('Avoided Costs Summary'!$B$35,AE3:AE31))*-1</f>
        <v>3.5968875798474569</v>
      </c>
      <c r="AF32" s="132">
        <f>PMT('Avoided Costs Summary'!$B$35,29,NPV('Avoided Costs Summary'!$B$35,AF3:AF31))*-1</f>
        <v>3.346779978374316</v>
      </c>
      <c r="AG32" s="132">
        <f>PMT('Avoided Costs Summary'!$B$35,29,NPV('Avoided Costs Summary'!$B$35,AG3:AG31))*-1</f>
        <v>3.3140146939569006</v>
      </c>
      <c r="AH32" s="132">
        <f>PMT('Avoided Costs Summary'!$B$35,29,NPV('Avoided Costs Summary'!$B$35,AH3:AH31))*-1</f>
        <v>3.3140146939569006</v>
      </c>
    </row>
    <row r="33" spans="1:34" x14ac:dyDescent="0.3">
      <c r="A33" s="44" t="s">
        <v>57</v>
      </c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AD33" s="124" t="s">
        <v>75</v>
      </c>
      <c r="AE33" s="125">
        <f>PMT('Avoided Costs Summary'!$D$35,29,NPV('Avoided Costs Summary'!$D$35,AE3:AE31))*-1</f>
        <v>3.5967945484978729</v>
      </c>
      <c r="AF33" s="125">
        <f>PMT('Avoided Costs Summary'!$D$35,20,NPV('Avoided Costs Summary'!$D$35,AF3:AF22))*-1</f>
        <v>3.2980084480350089</v>
      </c>
      <c r="AG33" s="125">
        <f>PMT('Avoided Costs Summary'!$D$35,20,NPV('Avoided Costs Summary'!$D$35,AG3:AG22))*-1</f>
        <v>3.2634481058329809</v>
      </c>
      <c r="AH33" s="126">
        <f>PMT('Avoided Costs Summary'!$D$35,20,NPV('Avoided Costs Summary'!$D$35,AH3:AH22))*-1</f>
        <v>3.2634481058329818</v>
      </c>
    </row>
    <row r="34" spans="1:34" ht="15" thickBot="1" x14ac:dyDescent="0.35">
      <c r="A34" s="42" t="s">
        <v>43</v>
      </c>
      <c r="B34" s="42" t="s">
        <v>44</v>
      </c>
      <c r="C34" s="42" t="s">
        <v>45</v>
      </c>
      <c r="D34" s="42" t="s">
        <v>46</v>
      </c>
      <c r="E34" s="42" t="s">
        <v>47</v>
      </c>
      <c r="F34" s="42" t="s">
        <v>48</v>
      </c>
      <c r="G34" s="42" t="s">
        <v>49</v>
      </c>
      <c r="H34" s="42" t="s">
        <v>50</v>
      </c>
      <c r="I34" s="42" t="s">
        <v>51</v>
      </c>
      <c r="J34" s="42" t="s">
        <v>52</v>
      </c>
      <c r="K34" s="42" t="s">
        <v>53</v>
      </c>
      <c r="L34" s="42" t="s">
        <v>54</v>
      </c>
      <c r="M34" s="42" t="s">
        <v>55</v>
      </c>
      <c r="N34" s="43" t="s">
        <v>56</v>
      </c>
      <c r="AD34" s="55" t="s">
        <v>76</v>
      </c>
      <c r="AE34" s="56">
        <f>PMT('Avoided Costs Summary'!$G$35,29,NPV('Avoided Costs Summary'!$G$35,AE3:AE31))*-1</f>
        <v>3.5968875798474569</v>
      </c>
      <c r="AF34" s="56">
        <f>PMT('Avoided Costs Summary'!$G$35,20,NPV('Avoided Costs Summary'!$G$35,AF3:AF22))*-1</f>
        <v>3.2981906700803463</v>
      </c>
      <c r="AG34" s="56">
        <f>PMT('Avoided Costs Summary'!$G$35,20,NPV('Avoided Costs Summary'!$G$35,AG3:AG22))*-1</f>
        <v>3.2636273664203759</v>
      </c>
      <c r="AH34" s="57">
        <f>PMT('Avoided Costs Summary'!$G$35,20,NPV('Avoided Costs Summary'!$G$35,AH3:AH22))*-1</f>
        <v>3.2636273664203759</v>
      </c>
    </row>
    <row r="35" spans="1:34" x14ac:dyDescent="0.3">
      <c r="A35" s="37">
        <v>2022</v>
      </c>
      <c r="B35" s="45">
        <f t="shared" ref="B35:M35" si="5">B3/$N3</f>
        <v>0.97274903150310221</v>
      </c>
      <c r="C35" s="45">
        <f t="shared" si="5"/>
        <v>0.94575834684436855</v>
      </c>
      <c r="D35" s="45">
        <f t="shared" si="5"/>
        <v>0.85473398458576855</v>
      </c>
      <c r="E35" s="45">
        <f t="shared" si="5"/>
        <v>1.0064727268346523</v>
      </c>
      <c r="F35" s="45">
        <f t="shared" si="5"/>
        <v>1.0125121831573543</v>
      </c>
      <c r="G35" s="45">
        <f t="shared" si="5"/>
        <v>1.0153322805735319</v>
      </c>
      <c r="H35" s="45">
        <f t="shared" si="5"/>
        <v>0.99371860212356722</v>
      </c>
      <c r="I35" s="45">
        <f t="shared" si="5"/>
        <v>0.996491193295583</v>
      </c>
      <c r="J35" s="45">
        <f t="shared" si="5"/>
        <v>0.922090123297584</v>
      </c>
      <c r="K35" s="45">
        <f t="shared" si="5"/>
        <v>0.98362010882137685</v>
      </c>
      <c r="L35" s="45">
        <f t="shared" si="5"/>
        <v>1.0829090922359244</v>
      </c>
      <c r="M35" s="45">
        <f t="shared" si="5"/>
        <v>1.2136123267271863</v>
      </c>
      <c r="N35" s="37">
        <f t="shared" ref="N35:N54" si="6">N3/$N3</f>
        <v>1</v>
      </c>
    </row>
    <row r="36" spans="1:34" x14ac:dyDescent="0.3">
      <c r="A36" s="129">
        <v>2023</v>
      </c>
      <c r="B36" s="45">
        <f t="shared" ref="B36:M36" si="7">B4/$N4</f>
        <v>1.56151925548381</v>
      </c>
      <c r="C36" s="45">
        <f t="shared" si="7"/>
        <v>1.1761477840809269</v>
      </c>
      <c r="D36" s="45">
        <f t="shared" si="7"/>
        <v>1.1794293707269881</v>
      </c>
      <c r="E36" s="45">
        <f t="shared" si="7"/>
        <v>1.0093078579269705</v>
      </c>
      <c r="F36" s="45">
        <f t="shared" si="7"/>
        <v>0.86282673448207747</v>
      </c>
      <c r="G36" s="45">
        <f t="shared" si="7"/>
        <v>0.84278928796546004</v>
      </c>
      <c r="H36" s="45">
        <f t="shared" si="7"/>
        <v>0.84456476964419647</v>
      </c>
      <c r="I36" s="45">
        <f t="shared" si="7"/>
        <v>0.84692120618519406</v>
      </c>
      <c r="J36" s="45">
        <f t="shared" si="7"/>
        <v>0.84928421677663368</v>
      </c>
      <c r="K36" s="45">
        <f t="shared" si="7"/>
        <v>0.85165381780681659</v>
      </c>
      <c r="L36" s="45">
        <f t="shared" si="7"/>
        <v>0.93198933860892819</v>
      </c>
      <c r="M36" s="45">
        <f t="shared" si="7"/>
        <v>1.0435663603119985</v>
      </c>
      <c r="N36" s="37">
        <f t="shared" si="6"/>
        <v>1</v>
      </c>
    </row>
    <row r="37" spans="1:34" x14ac:dyDescent="0.3">
      <c r="A37" s="129">
        <v>2024</v>
      </c>
      <c r="B37" s="45">
        <f t="shared" ref="B37:M37" si="8">B5/$N5</f>
        <v>1.5021718561751005</v>
      </c>
      <c r="C37" s="45">
        <f t="shared" si="8"/>
        <v>1.1757761226354362</v>
      </c>
      <c r="D37" s="45">
        <f t="shared" si="8"/>
        <v>1.1790566717281561</v>
      </c>
      <c r="E37" s="45">
        <f t="shared" si="8"/>
        <v>0.9583002548689209</v>
      </c>
      <c r="F37" s="45">
        <f t="shared" si="8"/>
        <v>0.84984533994178413</v>
      </c>
      <c r="G37" s="45">
        <f t="shared" si="8"/>
        <v>0.82883246117665887</v>
      </c>
      <c r="H37" s="45">
        <f t="shared" si="8"/>
        <v>0.83370407581664141</v>
      </c>
      <c r="I37" s="45">
        <f t="shared" si="8"/>
        <v>0.83603020938226891</v>
      </c>
      <c r="J37" s="45">
        <f t="shared" si="8"/>
        <v>0.83880151261389868</v>
      </c>
      <c r="K37" s="45">
        <f t="shared" si="8"/>
        <v>0.84335972926582514</v>
      </c>
      <c r="L37" s="45">
        <f t="shared" si="8"/>
        <v>1.0192421726947138</v>
      </c>
      <c r="M37" s="45">
        <f t="shared" si="8"/>
        <v>1.1348795937005967</v>
      </c>
      <c r="N37" s="37">
        <f t="shared" si="6"/>
        <v>1</v>
      </c>
    </row>
    <row r="38" spans="1:34" x14ac:dyDescent="0.3">
      <c r="A38" s="129">
        <v>2025</v>
      </c>
      <c r="B38" s="45">
        <f t="shared" ref="B38:M38" si="9">B6/$N6</f>
        <v>1.0266172177583679</v>
      </c>
      <c r="C38" s="45">
        <f t="shared" si="9"/>
        <v>1.029016907741698</v>
      </c>
      <c r="D38" s="45">
        <f t="shared" si="9"/>
        <v>1.0346925429121219</v>
      </c>
      <c r="E38" s="45">
        <f t="shared" si="9"/>
        <v>1.0358945576991316</v>
      </c>
      <c r="F38" s="45">
        <f t="shared" si="9"/>
        <v>0.9636494938359581</v>
      </c>
      <c r="G38" s="45">
        <f t="shared" si="9"/>
        <v>0.93488530674179438</v>
      </c>
      <c r="H38" s="45">
        <f t="shared" si="9"/>
        <v>0.94103424449813933</v>
      </c>
      <c r="I38" s="45">
        <f t="shared" si="9"/>
        <v>0.94365984029217453</v>
      </c>
      <c r="J38" s="45">
        <f t="shared" si="9"/>
        <v>0.94676320302088579</v>
      </c>
      <c r="K38" s="45">
        <f t="shared" si="9"/>
        <v>0.99397453329679297</v>
      </c>
      <c r="L38" s="45">
        <f t="shared" si="9"/>
        <v>1.0640452306968378</v>
      </c>
      <c r="M38" s="45">
        <f t="shared" si="9"/>
        <v>1.0857669215060977</v>
      </c>
      <c r="N38" s="37">
        <f t="shared" si="6"/>
        <v>1</v>
      </c>
    </row>
    <row r="39" spans="1:34" x14ac:dyDescent="0.3">
      <c r="A39" s="129">
        <v>2026</v>
      </c>
      <c r="B39" s="45">
        <f t="shared" ref="B39:M39" si="10">B7/$N7</f>
        <v>1.266665560490156</v>
      </c>
      <c r="C39" s="45">
        <f t="shared" si="10"/>
        <v>1.0414910811440714</v>
      </c>
      <c r="D39" s="45">
        <f t="shared" si="10"/>
        <v>1.0438950384733021</v>
      </c>
      <c r="E39" s="45">
        <f t="shared" si="10"/>
        <v>0.95597222007989502</v>
      </c>
      <c r="F39" s="45">
        <f t="shared" si="10"/>
        <v>0.90650396689265156</v>
      </c>
      <c r="G39" s="45">
        <f t="shared" si="10"/>
        <v>0.90677241862300406</v>
      </c>
      <c r="H39" s="45">
        <f t="shared" si="10"/>
        <v>0.90883111384070236</v>
      </c>
      <c r="I39" s="45">
        <f t="shared" si="10"/>
        <v>0.91136686111398457</v>
      </c>
      <c r="J39" s="45">
        <f t="shared" si="10"/>
        <v>0.91390968432052988</v>
      </c>
      <c r="K39" s="45">
        <f t="shared" si="10"/>
        <v>0.94770182339792453</v>
      </c>
      <c r="L39" s="45">
        <f t="shared" si="10"/>
        <v>1.0718445525314193</v>
      </c>
      <c r="M39" s="45">
        <f t="shared" si="10"/>
        <v>1.1250456790923589</v>
      </c>
      <c r="N39" s="37">
        <f t="shared" si="6"/>
        <v>1</v>
      </c>
    </row>
    <row r="40" spans="1:34" x14ac:dyDescent="0.3">
      <c r="A40" s="129">
        <v>2027</v>
      </c>
      <c r="B40" s="45">
        <f t="shared" ref="B40:M40" si="11">B8/$N8</f>
        <v>1.1440560890040399</v>
      </c>
      <c r="C40" s="45">
        <f t="shared" si="11"/>
        <v>0.99210313976801412</v>
      </c>
      <c r="D40" s="45">
        <f t="shared" si="11"/>
        <v>0.9943868169663227</v>
      </c>
      <c r="E40" s="45">
        <f t="shared" si="11"/>
        <v>0.95378386772060531</v>
      </c>
      <c r="F40" s="45">
        <f t="shared" si="11"/>
        <v>0.92733187046935772</v>
      </c>
      <c r="G40" s="45">
        <f t="shared" si="11"/>
        <v>0.92713256768333152</v>
      </c>
      <c r="H40" s="45">
        <f t="shared" si="11"/>
        <v>0.92971937691435425</v>
      </c>
      <c r="I40" s="45">
        <f t="shared" si="11"/>
        <v>0.93231340451279165</v>
      </c>
      <c r="J40" s="45">
        <f t="shared" si="11"/>
        <v>0.93491467046185672</v>
      </c>
      <c r="K40" s="45">
        <f t="shared" si="11"/>
        <v>0.96108094441833536</v>
      </c>
      <c r="L40" s="45">
        <f t="shared" si="11"/>
        <v>1.1123467847557185</v>
      </c>
      <c r="M40" s="45">
        <f t="shared" si="11"/>
        <v>1.1908304673252725</v>
      </c>
      <c r="N40" s="37">
        <f t="shared" si="6"/>
        <v>1</v>
      </c>
    </row>
    <row r="41" spans="1:34" x14ac:dyDescent="0.3">
      <c r="A41" s="129">
        <v>2028</v>
      </c>
      <c r="B41" s="45">
        <f t="shared" ref="B41:M41" si="12">B9/$N9</f>
        <v>1.1582642282400382</v>
      </c>
      <c r="C41" s="45">
        <f t="shared" si="12"/>
        <v>1.0455578950922877</v>
      </c>
      <c r="D41" s="45">
        <f t="shared" si="12"/>
        <v>1.0474721159162304</v>
      </c>
      <c r="E41" s="45">
        <f t="shared" si="12"/>
        <v>0.92933862590144045</v>
      </c>
      <c r="F41" s="45">
        <f t="shared" si="12"/>
        <v>0.91459436412071449</v>
      </c>
      <c r="G41" s="45">
        <f t="shared" si="12"/>
        <v>0.91716438053360627</v>
      </c>
      <c r="H41" s="45">
        <f t="shared" si="12"/>
        <v>0.91970513506241613</v>
      </c>
      <c r="I41" s="45">
        <f t="shared" si="12"/>
        <v>0.92227122418652641</v>
      </c>
      <c r="J41" s="45">
        <f t="shared" si="12"/>
        <v>0.92484446841452317</v>
      </c>
      <c r="K41" s="45">
        <f t="shared" si="12"/>
        <v>0.95063837984668575</v>
      </c>
      <c r="L41" s="45">
        <f t="shared" si="12"/>
        <v>1.0813508217455765</v>
      </c>
      <c r="M41" s="45">
        <f t="shared" si="12"/>
        <v>1.1887983609399526</v>
      </c>
      <c r="N41" s="37">
        <f t="shared" si="6"/>
        <v>1</v>
      </c>
    </row>
    <row r="42" spans="1:34" x14ac:dyDescent="0.3">
      <c r="A42" s="129">
        <v>2029</v>
      </c>
      <c r="B42" s="45">
        <f t="shared" ref="B42:M42" si="13">B10/$N10</f>
        <v>1.1940391396201433</v>
      </c>
      <c r="C42" s="45">
        <f t="shared" si="13"/>
        <v>1.0497008576863385</v>
      </c>
      <c r="D42" s="45">
        <f t="shared" si="13"/>
        <v>1.0516235539292824</v>
      </c>
      <c r="E42" s="45">
        <f t="shared" si="13"/>
        <v>0.91179468548166354</v>
      </c>
      <c r="F42" s="45">
        <f t="shared" si="13"/>
        <v>0.90547146169149628</v>
      </c>
      <c r="G42" s="45">
        <f t="shared" si="13"/>
        <v>0.90468133761764302</v>
      </c>
      <c r="H42" s="45">
        <f t="shared" si="13"/>
        <v>0.90881172197958382</v>
      </c>
      <c r="I42" s="45">
        <f t="shared" si="13"/>
        <v>0.91134741371021366</v>
      </c>
      <c r="J42" s="45">
        <f t="shared" si="13"/>
        <v>0.91389018035911995</v>
      </c>
      <c r="K42" s="45">
        <f t="shared" si="13"/>
        <v>0.94522236129941495</v>
      </c>
      <c r="L42" s="45">
        <f t="shared" si="13"/>
        <v>1.0785498874565147</v>
      </c>
      <c r="M42" s="45">
        <f t="shared" si="13"/>
        <v>1.2248673991685848</v>
      </c>
      <c r="N42" s="37">
        <f t="shared" si="6"/>
        <v>1</v>
      </c>
    </row>
    <row r="43" spans="1:34" x14ac:dyDescent="0.3">
      <c r="A43" s="129">
        <v>2030</v>
      </c>
      <c r="B43" s="45">
        <f t="shared" ref="B43:M43" si="14">B11/$N11</f>
        <v>1.2296460893848151</v>
      </c>
      <c r="C43" s="45">
        <f t="shared" si="14"/>
        <v>1.0415575098169045</v>
      </c>
      <c r="D43" s="45">
        <f t="shared" si="14"/>
        <v>1.0434635924286397</v>
      </c>
      <c r="E43" s="45">
        <f t="shared" si="14"/>
        <v>0.9378966519563402</v>
      </c>
      <c r="F43" s="45">
        <f t="shared" si="14"/>
        <v>0.8922946041209574</v>
      </c>
      <c r="G43" s="45">
        <f t="shared" si="14"/>
        <v>0.89216272516479445</v>
      </c>
      <c r="H43" s="45">
        <f t="shared" si="14"/>
        <v>0.89507836163557819</v>
      </c>
      <c r="I43" s="45">
        <f t="shared" si="14"/>
        <v>0.89757573845423178</v>
      </c>
      <c r="J43" s="45">
        <f t="shared" si="14"/>
        <v>0.90008008009054485</v>
      </c>
      <c r="K43" s="45">
        <f t="shared" si="14"/>
        <v>0.93121471346144546</v>
      </c>
      <c r="L43" s="45">
        <f t="shared" si="14"/>
        <v>1.1084566723301026</v>
      </c>
      <c r="M43" s="45">
        <f t="shared" si="14"/>
        <v>1.2305732611556448</v>
      </c>
      <c r="N43" s="37">
        <f t="shared" si="6"/>
        <v>1</v>
      </c>
    </row>
    <row r="44" spans="1:34" x14ac:dyDescent="0.3">
      <c r="A44" s="129">
        <v>2031</v>
      </c>
      <c r="B44" s="45">
        <f t="shared" ref="B44:M44" si="15">B12/$N12</f>
        <v>1.2031932261644145</v>
      </c>
      <c r="C44" s="45">
        <f t="shared" si="15"/>
        <v>1.015892907443283</v>
      </c>
      <c r="D44" s="45">
        <f t="shared" si="15"/>
        <v>1.0177522316369647</v>
      </c>
      <c r="E44" s="45">
        <f t="shared" si="15"/>
        <v>0.94150256654041031</v>
      </c>
      <c r="F44" s="45">
        <f t="shared" si="15"/>
        <v>0.91464809225594701</v>
      </c>
      <c r="G44" s="45">
        <f t="shared" si="15"/>
        <v>0.91475562924945819</v>
      </c>
      <c r="H44" s="45">
        <f t="shared" si="15"/>
        <v>0.91730790553804187</v>
      </c>
      <c r="I44" s="45">
        <f t="shared" si="15"/>
        <v>0.91986730318895249</v>
      </c>
      <c r="J44" s="45">
        <f t="shared" si="15"/>
        <v>0.92243384365075443</v>
      </c>
      <c r="K44" s="45">
        <f t="shared" si="15"/>
        <v>0.94122092871661489</v>
      </c>
      <c r="L44" s="45">
        <f t="shared" si="15"/>
        <v>1.0678870139709387</v>
      </c>
      <c r="M44" s="45">
        <f t="shared" si="15"/>
        <v>1.2235383516442211</v>
      </c>
      <c r="N44" s="37">
        <f t="shared" si="6"/>
        <v>1</v>
      </c>
    </row>
    <row r="45" spans="1:34" x14ac:dyDescent="0.3">
      <c r="A45" s="129">
        <v>2032</v>
      </c>
      <c r="B45" s="45">
        <f t="shared" ref="B45:M45" si="16">B13/$N13</f>
        <v>1.2516149309923827</v>
      </c>
      <c r="C45" s="45">
        <f t="shared" si="16"/>
        <v>1.0313870654364901</v>
      </c>
      <c r="D45" s="45">
        <f t="shared" si="16"/>
        <v>1.034264752038172</v>
      </c>
      <c r="E45" s="45">
        <f t="shared" si="16"/>
        <v>0.92701474772186221</v>
      </c>
      <c r="F45" s="45">
        <f t="shared" si="16"/>
        <v>0.89316284448366356</v>
      </c>
      <c r="G45" s="45">
        <f t="shared" si="16"/>
        <v>0.88486156706020658</v>
      </c>
      <c r="H45" s="45">
        <f t="shared" si="16"/>
        <v>0.8975666121330873</v>
      </c>
      <c r="I45" s="45">
        <f t="shared" si="16"/>
        <v>0.90007092723283888</v>
      </c>
      <c r="J45" s="45">
        <f t="shared" si="16"/>
        <v>0.90258223190999121</v>
      </c>
      <c r="K45" s="45">
        <f t="shared" si="16"/>
        <v>0.935875419051584</v>
      </c>
      <c r="L45" s="45">
        <f t="shared" si="16"/>
        <v>1.1282595439023924</v>
      </c>
      <c r="M45" s="45">
        <f t="shared" si="16"/>
        <v>1.2133393580373291</v>
      </c>
      <c r="N45" s="37">
        <f t="shared" si="6"/>
        <v>1</v>
      </c>
    </row>
    <row r="46" spans="1:34" x14ac:dyDescent="0.3">
      <c r="A46" s="129">
        <v>2033</v>
      </c>
      <c r="B46" s="45">
        <f t="shared" ref="B46:M46" si="17">B14/$N14</f>
        <v>1.1696756123669265</v>
      </c>
      <c r="C46" s="45">
        <f t="shared" si="17"/>
        <v>1.0269217205851022</v>
      </c>
      <c r="D46" s="45">
        <f t="shared" si="17"/>
        <v>1.0297869502276593</v>
      </c>
      <c r="E46" s="45">
        <f t="shared" si="17"/>
        <v>0.93552768573069423</v>
      </c>
      <c r="F46" s="45">
        <f t="shared" si="17"/>
        <v>0.91643760691645626</v>
      </c>
      <c r="G46" s="45">
        <f t="shared" si="17"/>
        <v>0.91673252410033923</v>
      </c>
      <c r="H46" s="45">
        <f t="shared" si="17"/>
        <v>0.91929031508120573</v>
      </c>
      <c r="I46" s="45">
        <f t="shared" si="17"/>
        <v>0.9218552467150235</v>
      </c>
      <c r="J46" s="45">
        <f t="shared" si="17"/>
        <v>0.9244273320976597</v>
      </c>
      <c r="K46" s="45">
        <f t="shared" si="17"/>
        <v>0.9465974637300536</v>
      </c>
      <c r="L46" s="45">
        <f t="shared" si="17"/>
        <v>1.1073531836456556</v>
      </c>
      <c r="M46" s="45">
        <f t="shared" si="17"/>
        <v>1.1853943588032216</v>
      </c>
      <c r="N46" s="37">
        <f t="shared" si="6"/>
        <v>1</v>
      </c>
    </row>
    <row r="47" spans="1:34" x14ac:dyDescent="0.3">
      <c r="A47" s="129">
        <v>2034</v>
      </c>
      <c r="B47" s="45">
        <f t="shared" ref="B47:M47" si="18">B15/$N15</f>
        <v>1.2047707998208548</v>
      </c>
      <c r="C47" s="45">
        <f t="shared" si="18"/>
        <v>1.0444992159818454</v>
      </c>
      <c r="D47" s="45">
        <f t="shared" si="18"/>
        <v>1.0474134865656632</v>
      </c>
      <c r="E47" s="45">
        <f t="shared" si="18"/>
        <v>0.93014192392514694</v>
      </c>
      <c r="F47" s="45">
        <f t="shared" si="18"/>
        <v>0.91006638375365578</v>
      </c>
      <c r="G47" s="45">
        <f t="shared" si="18"/>
        <v>0.91034964824705134</v>
      </c>
      <c r="H47" s="45">
        <f t="shared" si="18"/>
        <v>0.91288963088952013</v>
      </c>
      <c r="I47" s="45">
        <f t="shared" si="18"/>
        <v>0.91543670132575494</v>
      </c>
      <c r="J47" s="45">
        <f t="shared" si="18"/>
        <v>0.91799088030238751</v>
      </c>
      <c r="K47" s="45">
        <f t="shared" si="18"/>
        <v>0.93807080804224885</v>
      </c>
      <c r="L47" s="45">
        <f t="shared" si="18"/>
        <v>1.0770343684809021</v>
      </c>
      <c r="M47" s="45">
        <f t="shared" si="18"/>
        <v>1.1913361526649699</v>
      </c>
      <c r="N47" s="37">
        <f t="shared" si="6"/>
        <v>1</v>
      </c>
    </row>
    <row r="48" spans="1:34" x14ac:dyDescent="0.3">
      <c r="A48" s="129">
        <v>2035</v>
      </c>
      <c r="B48" s="45">
        <f t="shared" ref="B48:M48" si="19">B16/$N16</f>
        <v>1.2100699604790419</v>
      </c>
      <c r="C48" s="45">
        <f t="shared" si="19"/>
        <v>1.0410438663725654</v>
      </c>
      <c r="D48" s="45">
        <f t="shared" si="19"/>
        <v>1.0439484978473645</v>
      </c>
      <c r="E48" s="45">
        <f t="shared" si="19"/>
        <v>0.93169563606142813</v>
      </c>
      <c r="F48" s="45">
        <f t="shared" si="19"/>
        <v>0.90714420772753135</v>
      </c>
      <c r="G48" s="45">
        <f t="shared" si="19"/>
        <v>0.90741946339439872</v>
      </c>
      <c r="H48" s="45">
        <f t="shared" si="19"/>
        <v>0.90995127230349127</v>
      </c>
      <c r="I48" s="45">
        <f t="shared" si="19"/>
        <v>0.91249014491547731</v>
      </c>
      <c r="J48" s="45">
        <f t="shared" si="19"/>
        <v>0.91503610015809667</v>
      </c>
      <c r="K48" s="45">
        <f t="shared" si="19"/>
        <v>0.93849849646789341</v>
      </c>
      <c r="L48" s="45">
        <f t="shared" si="19"/>
        <v>1.0857472574242821</v>
      </c>
      <c r="M48" s="45">
        <f t="shared" si="19"/>
        <v>1.1969550968484273</v>
      </c>
      <c r="N48" s="37">
        <f t="shared" si="6"/>
        <v>1</v>
      </c>
    </row>
    <row r="49" spans="1:14" x14ac:dyDescent="0.3">
      <c r="A49" s="129">
        <v>2036</v>
      </c>
      <c r="B49" s="45">
        <f t="shared" ref="B49:M49" si="20">B17/$N17</f>
        <v>1.1913648111250192</v>
      </c>
      <c r="C49" s="45">
        <f t="shared" si="20"/>
        <v>1.0294527498509751</v>
      </c>
      <c r="D49" s="45">
        <f t="shared" si="20"/>
        <v>1.0323250401479143</v>
      </c>
      <c r="E49" s="45">
        <f t="shared" si="20"/>
        <v>0.93435989593315072</v>
      </c>
      <c r="F49" s="45">
        <f t="shared" si="20"/>
        <v>0.91019745104716521</v>
      </c>
      <c r="G49" s="45">
        <f t="shared" si="20"/>
        <v>0.910479086394679</v>
      </c>
      <c r="H49" s="45">
        <f t="shared" si="20"/>
        <v>0.91301942966643601</v>
      </c>
      <c r="I49" s="45">
        <f t="shared" si="20"/>
        <v>0.91556686228523521</v>
      </c>
      <c r="J49" s="45">
        <f t="shared" si="20"/>
        <v>0.91812140474885129</v>
      </c>
      <c r="K49" s="45">
        <f t="shared" si="20"/>
        <v>0.94116958833973563</v>
      </c>
      <c r="L49" s="45">
        <f t="shared" si="20"/>
        <v>1.0952515905566407</v>
      </c>
      <c r="M49" s="45">
        <f t="shared" si="20"/>
        <v>1.2086920899041982</v>
      </c>
      <c r="N49" s="37">
        <f t="shared" si="6"/>
        <v>1</v>
      </c>
    </row>
    <row r="50" spans="1:14" x14ac:dyDescent="0.3">
      <c r="A50" s="129">
        <v>2037</v>
      </c>
      <c r="B50" s="45">
        <f t="shared" ref="B50:M50" si="21">B18/$N18</f>
        <v>1.2087037849729707</v>
      </c>
      <c r="C50" s="45">
        <f t="shared" si="21"/>
        <v>1.0424702353889346</v>
      </c>
      <c r="D50" s="45">
        <f t="shared" si="21"/>
        <v>1.0453788455774835</v>
      </c>
      <c r="E50" s="45">
        <f t="shared" si="21"/>
        <v>0.9300600325294891</v>
      </c>
      <c r="F50" s="45">
        <f t="shared" si="21"/>
        <v>0.90597204845171897</v>
      </c>
      <c r="G50" s="45">
        <f t="shared" si="21"/>
        <v>0.90670082697847887</v>
      </c>
      <c r="H50" s="45">
        <f t="shared" si="21"/>
        <v>0.90923062990302705</v>
      </c>
      <c r="I50" s="45">
        <f t="shared" si="21"/>
        <v>0.91176749196276918</v>
      </c>
      <c r="J50" s="45">
        <f t="shared" si="21"/>
        <v>0.91431142962149003</v>
      </c>
      <c r="K50" s="45">
        <f t="shared" si="21"/>
        <v>0.9376462297659568</v>
      </c>
      <c r="L50" s="45">
        <f t="shared" si="21"/>
        <v>1.0905853735688364</v>
      </c>
      <c r="M50" s="45">
        <f t="shared" si="21"/>
        <v>1.1971730712788455</v>
      </c>
      <c r="N50" s="37">
        <f t="shared" si="6"/>
        <v>1</v>
      </c>
    </row>
    <row r="51" spans="1:14" x14ac:dyDescent="0.3">
      <c r="A51" s="129">
        <v>2038</v>
      </c>
      <c r="B51" s="45">
        <f t="shared" ref="B51:M51" si="22">B19/$N19</f>
        <v>1.2061633279063517</v>
      </c>
      <c r="C51" s="45">
        <f t="shared" si="22"/>
        <v>1.0397449860596431</v>
      </c>
      <c r="D51" s="45">
        <f t="shared" si="22"/>
        <v>1.0426459936156978</v>
      </c>
      <c r="E51" s="45">
        <f t="shared" si="22"/>
        <v>0.93584478979908181</v>
      </c>
      <c r="F51" s="45">
        <f t="shared" si="22"/>
        <v>0.91586464171558901</v>
      </c>
      <c r="G51" s="45">
        <f t="shared" si="22"/>
        <v>0.91683773124386581</v>
      </c>
      <c r="H51" s="45">
        <f t="shared" si="22"/>
        <v>0.9193958177293563</v>
      </c>
      <c r="I51" s="45">
        <f t="shared" si="22"/>
        <v>0.92196104350571184</v>
      </c>
      <c r="J51" s="45">
        <f t="shared" si="22"/>
        <v>0.92453342212665424</v>
      </c>
      <c r="K51" s="45">
        <f t="shared" si="22"/>
        <v>0.9445867066115381</v>
      </c>
      <c r="L51" s="45">
        <f t="shared" si="22"/>
        <v>1.0845776868701846</v>
      </c>
      <c r="M51" s="45">
        <f t="shared" si="22"/>
        <v>1.1478438528163235</v>
      </c>
      <c r="N51" s="37">
        <f t="shared" si="6"/>
        <v>1</v>
      </c>
    </row>
    <row r="52" spans="1:14" x14ac:dyDescent="0.3">
      <c r="A52" s="129">
        <v>2039</v>
      </c>
      <c r="B52" s="45">
        <f t="shared" ref="B52:M52" si="23">B20/$N20</f>
        <v>1.1475295615093259</v>
      </c>
      <c r="C52" s="45">
        <f t="shared" si="23"/>
        <v>0.97600411460868974</v>
      </c>
      <c r="D52" s="45">
        <f t="shared" si="23"/>
        <v>0.97872727813976812</v>
      </c>
      <c r="E52" s="45">
        <f t="shared" si="23"/>
        <v>0.93662821769155269</v>
      </c>
      <c r="F52" s="45">
        <f t="shared" si="23"/>
        <v>0.92968229740069941</v>
      </c>
      <c r="G52" s="45">
        <f t="shared" si="23"/>
        <v>0.93121004715140221</v>
      </c>
      <c r="H52" s="45">
        <f t="shared" si="23"/>
        <v>0.93380823445600858</v>
      </c>
      <c r="I52" s="45">
        <f t="shared" si="23"/>
        <v>0.93641366978095564</v>
      </c>
      <c r="J52" s="45">
        <f t="shared" si="23"/>
        <v>0.93902637457109517</v>
      </c>
      <c r="K52" s="45">
        <f t="shared" si="23"/>
        <v>0.95910624707230463</v>
      </c>
      <c r="L52" s="45">
        <f t="shared" si="23"/>
        <v>1.1081934135486655</v>
      </c>
      <c r="M52" s="45">
        <f t="shared" si="23"/>
        <v>1.223670544069531</v>
      </c>
      <c r="N52" s="37">
        <f t="shared" si="6"/>
        <v>1</v>
      </c>
    </row>
    <row r="53" spans="1:14" x14ac:dyDescent="0.3">
      <c r="A53" s="129">
        <v>2040</v>
      </c>
      <c r="B53" s="45">
        <f t="shared" ref="B53:M53" si="24">B21/$N21</f>
        <v>1.1824086289426936</v>
      </c>
      <c r="C53" s="45">
        <f t="shared" si="24"/>
        <v>0.94536264873018516</v>
      </c>
      <c r="D53" s="45">
        <f t="shared" si="24"/>
        <v>0.94800031818208175</v>
      </c>
      <c r="E53" s="45">
        <f t="shared" si="24"/>
        <v>0.94027455182888131</v>
      </c>
      <c r="F53" s="45">
        <f t="shared" si="24"/>
        <v>0.92793161634067933</v>
      </c>
      <c r="G53" s="45">
        <f t="shared" si="24"/>
        <v>0.92977213628741162</v>
      </c>
      <c r="H53" s="45">
        <f t="shared" si="24"/>
        <v>0.93236630925064423</v>
      </c>
      <c r="I53" s="45">
        <f t="shared" si="24"/>
        <v>0.93496771902648657</v>
      </c>
      <c r="J53" s="45">
        <f t="shared" si="24"/>
        <v>0.93757639092381861</v>
      </c>
      <c r="K53" s="45">
        <f t="shared" si="24"/>
        <v>0.94606277295954277</v>
      </c>
      <c r="L53" s="45">
        <f t="shared" si="24"/>
        <v>1.1326936623672685</v>
      </c>
      <c r="M53" s="45">
        <f t="shared" si="24"/>
        <v>1.2425832451603078</v>
      </c>
      <c r="N53" s="37">
        <f t="shared" si="6"/>
        <v>1</v>
      </c>
    </row>
    <row r="54" spans="1:14" x14ac:dyDescent="0.3">
      <c r="A54" s="129">
        <v>2041</v>
      </c>
      <c r="B54" s="45">
        <f t="shared" ref="B54:G54" si="25">B22/$N22</f>
        <v>1.2345051678438661</v>
      </c>
      <c r="C54" s="45">
        <f t="shared" si="25"/>
        <v>0.9854930141112197</v>
      </c>
      <c r="D54" s="45">
        <f t="shared" si="25"/>
        <v>0.98726131854258914</v>
      </c>
      <c r="E54" s="45">
        <f t="shared" si="25"/>
        <v>0.93376608162717156</v>
      </c>
      <c r="F54" s="45">
        <f t="shared" si="25"/>
        <v>0.91840285301772828</v>
      </c>
      <c r="G54" s="45">
        <f t="shared" si="25"/>
        <v>0.91997901326777753</v>
      </c>
      <c r="H54" s="45">
        <f t="shared" ref="H54:M54" si="26">H22/$N22</f>
        <v>0.92254586362949997</v>
      </c>
      <c r="I54" s="45">
        <f t="shared" si="26"/>
        <v>0.92511987654967121</v>
      </c>
      <c r="J54" s="45">
        <f t="shared" si="26"/>
        <v>0.92770106872541047</v>
      </c>
      <c r="K54" s="45">
        <f t="shared" si="26"/>
        <v>0.93500707749364143</v>
      </c>
      <c r="L54" s="45">
        <f t="shared" si="26"/>
        <v>1.1071120900226887</v>
      </c>
      <c r="M54" s="45">
        <f t="shared" si="26"/>
        <v>1.2031065751687355</v>
      </c>
      <c r="N54" s="37">
        <f t="shared" si="6"/>
        <v>1</v>
      </c>
    </row>
    <row r="55" spans="1:14" x14ac:dyDescent="0.3">
      <c r="A55" s="129">
        <v>2042</v>
      </c>
      <c r="B55" s="45">
        <f t="shared" ref="B55:N63" si="27">B23/$N23</f>
        <v>1.2018243651311438</v>
      </c>
      <c r="C55" s="45">
        <f t="shared" si="27"/>
        <v>0.97657557532356754</v>
      </c>
      <c r="D55" s="45">
        <f t="shared" si="27"/>
        <v>0.97930033122694993</v>
      </c>
      <c r="E55" s="45">
        <f t="shared" si="27"/>
        <v>0.93732817681272074</v>
      </c>
      <c r="F55" s="45">
        <f t="shared" si="27"/>
        <v>0.9241467236086075</v>
      </c>
      <c r="G55" s="45">
        <f t="shared" si="27"/>
        <v>0.9261086176345934</v>
      </c>
      <c r="H55" s="45">
        <f t="shared" si="27"/>
        <v>0.92869256985802895</v>
      </c>
      <c r="I55" s="45">
        <f t="shared" si="27"/>
        <v>0.93128373326186475</v>
      </c>
      <c r="J55" s="45">
        <f t="shared" si="27"/>
        <v>0.93388212344796284</v>
      </c>
      <c r="K55" s="45">
        <f t="shared" si="27"/>
        <v>0.94065673910100578</v>
      </c>
      <c r="L55" s="45">
        <f t="shared" si="27"/>
        <v>1.113607430459695</v>
      </c>
      <c r="M55" s="45">
        <f t="shared" si="27"/>
        <v>1.2065936141338596</v>
      </c>
      <c r="N55" s="129">
        <f t="shared" si="27"/>
        <v>1</v>
      </c>
    </row>
    <row r="56" spans="1:14" x14ac:dyDescent="0.3">
      <c r="A56" s="129">
        <v>2043</v>
      </c>
      <c r="B56" s="45">
        <f t="shared" si="27"/>
        <v>1.1762361023418615</v>
      </c>
      <c r="C56" s="45">
        <f t="shared" si="27"/>
        <v>0.95301854127310925</v>
      </c>
      <c r="D56" s="45">
        <f t="shared" si="27"/>
        <v>0.95567757338976789</v>
      </c>
      <c r="E56" s="45">
        <f t="shared" si="27"/>
        <v>0.93736177016095479</v>
      </c>
      <c r="F56" s="45">
        <f t="shared" si="27"/>
        <v>0.93456469261210562</v>
      </c>
      <c r="G56" s="45">
        <f t="shared" si="27"/>
        <v>0.93734862996649493</v>
      </c>
      <c r="H56" s="45">
        <f t="shared" si="27"/>
        <v>0.93996394488847612</v>
      </c>
      <c r="I56" s="45">
        <f t="shared" si="27"/>
        <v>0.94258655559999405</v>
      </c>
      <c r="J56" s="45">
        <f t="shared" si="27"/>
        <v>0.9452164833009381</v>
      </c>
      <c r="K56" s="45">
        <f t="shared" si="27"/>
        <v>0.95143829264194912</v>
      </c>
      <c r="L56" s="45">
        <f t="shared" si="27"/>
        <v>1.1191920816173473</v>
      </c>
      <c r="M56" s="45">
        <f t="shared" si="27"/>
        <v>1.2073953322070015</v>
      </c>
      <c r="N56" s="129">
        <f t="shared" si="27"/>
        <v>1</v>
      </c>
    </row>
    <row r="57" spans="1:14" x14ac:dyDescent="0.3">
      <c r="A57" s="129">
        <v>2044</v>
      </c>
      <c r="B57" s="45">
        <f t="shared" si="27"/>
        <v>1.1939187249284799</v>
      </c>
      <c r="C57" s="45">
        <f t="shared" si="27"/>
        <v>0.9836168002942477</v>
      </c>
      <c r="D57" s="45">
        <f t="shared" si="27"/>
        <v>0.98636120277990602</v>
      </c>
      <c r="E57" s="45">
        <f t="shared" si="27"/>
        <v>0.93282546904033714</v>
      </c>
      <c r="F57" s="45">
        <f t="shared" si="27"/>
        <v>0.92827316727426434</v>
      </c>
      <c r="G57" s="45">
        <f t="shared" si="27"/>
        <v>0.93082786648836291</v>
      </c>
      <c r="H57" s="45">
        <f t="shared" si="27"/>
        <v>0.93315047793134009</v>
      </c>
      <c r="I57" s="45">
        <f t="shared" si="27"/>
        <v>0.93575407654669973</v>
      </c>
      <c r="J57" s="45">
        <f t="shared" si="27"/>
        <v>0.93836494179356278</v>
      </c>
      <c r="K57" s="45">
        <f t="shared" si="27"/>
        <v>0.94434070847127893</v>
      </c>
      <c r="L57" s="45">
        <f t="shared" si="27"/>
        <v>1.0941376899934183</v>
      </c>
      <c r="M57" s="45">
        <f t="shared" si="27"/>
        <v>1.1984288744581011</v>
      </c>
      <c r="N57" s="129">
        <f t="shared" si="27"/>
        <v>1</v>
      </c>
    </row>
    <row r="58" spans="1:14" x14ac:dyDescent="0.3">
      <c r="A58" s="129">
        <v>2045</v>
      </c>
      <c r="B58" s="45">
        <f t="shared" si="27"/>
        <v>1.1521844445050522</v>
      </c>
      <c r="C58" s="45">
        <f t="shared" si="27"/>
        <v>0.95051819859798314</v>
      </c>
      <c r="D58" s="45">
        <f t="shared" si="27"/>
        <v>0.95317025279489809</v>
      </c>
      <c r="E58" s="45">
        <f t="shared" si="27"/>
        <v>0.94497627522132477</v>
      </c>
      <c r="F58" s="45">
        <f t="shared" si="27"/>
        <v>0.93897374639421693</v>
      </c>
      <c r="G58" s="45">
        <f t="shared" si="27"/>
        <v>0.94146490447689102</v>
      </c>
      <c r="H58" s="45">
        <f t="shared" si="27"/>
        <v>0.94371690123012419</v>
      </c>
      <c r="I58" s="45">
        <f t="shared" si="27"/>
        <v>0.94634998124051362</v>
      </c>
      <c r="J58" s="45">
        <f t="shared" si="27"/>
        <v>0.94899041097157955</v>
      </c>
      <c r="K58" s="45">
        <f t="shared" si="27"/>
        <v>0.95481176759542918</v>
      </c>
      <c r="L58" s="45">
        <f t="shared" si="27"/>
        <v>1.1178150833871383</v>
      </c>
      <c r="M58" s="45">
        <f t="shared" si="27"/>
        <v>1.207028033584848</v>
      </c>
      <c r="N58" s="129">
        <f t="shared" si="27"/>
        <v>1</v>
      </c>
    </row>
    <row r="59" spans="1:14" x14ac:dyDescent="0.3">
      <c r="A59" s="129">
        <v>2046</v>
      </c>
      <c r="B59" s="45">
        <f t="shared" si="27"/>
        <v>1.1580753957766647</v>
      </c>
      <c r="C59" s="45">
        <f t="shared" si="27"/>
        <v>0.96509244394143301</v>
      </c>
      <c r="D59" s="45">
        <f t="shared" si="27"/>
        <v>0.96778516174757201</v>
      </c>
      <c r="E59" s="45">
        <f t="shared" si="27"/>
        <v>0.94504469363780641</v>
      </c>
      <c r="F59" s="45">
        <f t="shared" si="27"/>
        <v>0.93834036904390483</v>
      </c>
      <c r="G59" s="45">
        <f t="shared" si="27"/>
        <v>0.94078242022317193</v>
      </c>
      <c r="H59" s="45">
        <f t="shared" si="27"/>
        <v>0.9433239672724687</v>
      </c>
      <c r="I59" s="45">
        <f t="shared" si="27"/>
        <v>0.94595595267146726</v>
      </c>
      <c r="J59" s="45">
        <f t="shared" si="27"/>
        <v>0.94859528106247137</v>
      </c>
      <c r="K59" s="45">
        <f t="shared" si="27"/>
        <v>0.95389576754921379</v>
      </c>
      <c r="L59" s="45">
        <f t="shared" si="27"/>
        <v>1.0998469847101096</v>
      </c>
      <c r="M59" s="45">
        <f t="shared" si="27"/>
        <v>1.1932615623637179</v>
      </c>
      <c r="N59" s="129">
        <f t="shared" si="27"/>
        <v>1</v>
      </c>
    </row>
    <row r="60" spans="1:14" x14ac:dyDescent="0.3">
      <c r="A60" s="129">
        <v>2047</v>
      </c>
      <c r="B60" s="45">
        <f t="shared" si="27"/>
        <v>1.1949392123381442</v>
      </c>
      <c r="C60" s="45">
        <f t="shared" si="27"/>
        <v>0.99452491736492532</v>
      </c>
      <c r="D60" s="45">
        <f t="shared" si="27"/>
        <v>0.99140306613385476</v>
      </c>
      <c r="E60" s="45">
        <f t="shared" si="27"/>
        <v>0.93824288341920759</v>
      </c>
      <c r="F60" s="45">
        <f t="shared" si="27"/>
        <v>0.93107518008001777</v>
      </c>
      <c r="G60" s="45">
        <f t="shared" si="27"/>
        <v>0.93355616739841696</v>
      </c>
      <c r="H60" s="45">
        <f t="shared" si="27"/>
        <v>0.93596811192387075</v>
      </c>
      <c r="I60" s="45">
        <f t="shared" si="27"/>
        <v>0.93857957355368449</v>
      </c>
      <c r="J60" s="45">
        <f t="shared" si="27"/>
        <v>0.94119832003357784</v>
      </c>
      <c r="K60" s="45">
        <f t="shared" si="27"/>
        <v>0.94647090701359127</v>
      </c>
      <c r="L60" s="45">
        <f t="shared" si="27"/>
        <v>1.0731887708568741</v>
      </c>
      <c r="M60" s="45">
        <f t="shared" si="27"/>
        <v>1.1808528898838349</v>
      </c>
      <c r="N60" s="129">
        <f t="shared" si="27"/>
        <v>1</v>
      </c>
    </row>
    <row r="61" spans="1:14" x14ac:dyDescent="0.3">
      <c r="A61" s="129">
        <v>2048</v>
      </c>
      <c r="B61" s="45">
        <f t="shared" si="27"/>
        <v>1.1837522457892675</v>
      </c>
      <c r="C61" s="45">
        <f t="shared" si="27"/>
        <v>0.97817137507005913</v>
      </c>
      <c r="D61" s="45">
        <f t="shared" si="27"/>
        <v>0.97761582374224198</v>
      </c>
      <c r="E61" s="45">
        <f t="shared" si="27"/>
        <v>0.94337927124777865</v>
      </c>
      <c r="F61" s="45">
        <f t="shared" si="27"/>
        <v>0.93772456330673104</v>
      </c>
      <c r="G61" s="45">
        <f t="shared" si="27"/>
        <v>0.94000389162620201</v>
      </c>
      <c r="H61" s="45">
        <f t="shared" si="27"/>
        <v>0.94225746786377262</v>
      </c>
      <c r="I61" s="45">
        <f t="shared" si="27"/>
        <v>0.94488647848733542</v>
      </c>
      <c r="J61" s="45">
        <f t="shared" si="27"/>
        <v>0.9475228218125441</v>
      </c>
      <c r="K61" s="45">
        <f t="shared" si="27"/>
        <v>0.95269152164785043</v>
      </c>
      <c r="L61" s="45">
        <f t="shared" si="27"/>
        <v>1.0701566478163627</v>
      </c>
      <c r="M61" s="45">
        <f t="shared" si="27"/>
        <v>1.1818378915898526</v>
      </c>
      <c r="N61" s="129">
        <f t="shared" si="27"/>
        <v>1</v>
      </c>
    </row>
    <row r="62" spans="1:14" x14ac:dyDescent="0.3">
      <c r="A62" s="129">
        <v>2049</v>
      </c>
      <c r="B62" s="45">
        <f t="shared" si="27"/>
        <v>1.1729535507288917</v>
      </c>
      <c r="C62" s="45">
        <f t="shared" si="27"/>
        <v>0.98551180571692032</v>
      </c>
      <c r="D62" s="45">
        <f t="shared" si="27"/>
        <v>0.98826149675997321</v>
      </c>
      <c r="E62" s="45">
        <f t="shared" si="27"/>
        <v>0.9466771701282618</v>
      </c>
      <c r="F62" s="45">
        <f t="shared" si="27"/>
        <v>0.94282598670040063</v>
      </c>
      <c r="G62" s="45">
        <f t="shared" si="27"/>
        <v>0.94490955577009828</v>
      </c>
      <c r="H62" s="45">
        <f t="shared" si="27"/>
        <v>0.94754596614922515</v>
      </c>
      <c r="I62" s="45">
        <f t="shared" si="27"/>
        <v>0.95018973113385852</v>
      </c>
      <c r="J62" s="45">
        <f t="shared" si="27"/>
        <v>0.95284087096837522</v>
      </c>
      <c r="K62" s="45">
        <f t="shared" si="27"/>
        <v>0.95752199876122013</v>
      </c>
      <c r="L62" s="45">
        <f t="shared" si="27"/>
        <v>1.0418909896765982</v>
      </c>
      <c r="M62" s="45">
        <f t="shared" si="27"/>
        <v>1.168870877506178</v>
      </c>
      <c r="N62" s="129">
        <f t="shared" si="27"/>
        <v>1</v>
      </c>
    </row>
    <row r="63" spans="1:14" x14ac:dyDescent="0.3">
      <c r="A63" s="129">
        <v>2050</v>
      </c>
      <c r="B63" s="45">
        <f t="shared" si="27"/>
        <v>1.1552714544211926</v>
      </c>
      <c r="C63" s="45">
        <f t="shared" si="27"/>
        <v>0.98709769844526718</v>
      </c>
      <c r="D63" s="45">
        <f t="shared" si="27"/>
        <v>0.98985181300929026</v>
      </c>
      <c r="E63" s="45">
        <f t="shared" si="27"/>
        <v>0.94888520739476445</v>
      </c>
      <c r="F63" s="45">
        <f t="shared" si="27"/>
        <v>0.94504420079921048</v>
      </c>
      <c r="G63" s="45">
        <f t="shared" si="27"/>
        <v>0.94683747920709638</v>
      </c>
      <c r="H63" s="45">
        <f t="shared" si="27"/>
        <v>0.94947926528338533</v>
      </c>
      <c r="I63" s="45">
        <f t="shared" si="27"/>
        <v>0.95212842494218042</v>
      </c>
      <c r="J63" s="45">
        <f t="shared" si="27"/>
        <v>0.95478497676838481</v>
      </c>
      <c r="K63" s="45">
        <f t="shared" si="27"/>
        <v>0.95954981258650396</v>
      </c>
      <c r="L63" s="45">
        <f t="shared" si="27"/>
        <v>1.0552413074251961</v>
      </c>
      <c r="M63" s="45">
        <f t="shared" si="27"/>
        <v>1.1558283597175296</v>
      </c>
      <c r="N63" s="129">
        <f t="shared" si="27"/>
        <v>1</v>
      </c>
    </row>
    <row r="64" spans="1:14" x14ac:dyDescent="0.3"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</row>
    <row r="65" spans="2:13" x14ac:dyDescent="0.3"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</row>
    <row r="66" spans="2:13" x14ac:dyDescent="0.3"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</row>
    <row r="67" spans="2:13" x14ac:dyDescent="0.3"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</row>
  </sheetData>
  <mergeCells count="1">
    <mergeCell ref="AD1:AH1"/>
  </mergeCells>
  <pageMargins left="0.7" right="0.7" top="0.75" bottom="0.75" header="0.3" footer="0.3"/>
  <pageSetup orientation="portrait" horizontalDpi="200" verticalDpi="200" r:id="rId1"/>
  <ignoredErrors>
    <ignoredError sqref="AE3:AH31 AI3:AI20 AI23:AI24 AI26:AI3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69368-B879-4CE9-8FCC-7FA097719668}">
  <dimension ref="A1:Q31"/>
  <sheetViews>
    <sheetView tabSelected="1" workbookViewId="0">
      <selection activeCell="O2" sqref="O2"/>
    </sheetView>
  </sheetViews>
  <sheetFormatPr defaultRowHeight="14.4" x14ac:dyDescent="0.3"/>
  <cols>
    <col min="3" max="3" width="11.33203125" customWidth="1"/>
    <col min="4" max="4" width="10.5546875" customWidth="1"/>
    <col min="5" max="5" width="10.33203125" customWidth="1"/>
    <col min="6" max="6" width="12.33203125" customWidth="1"/>
    <col min="7" max="7" width="11.88671875" customWidth="1"/>
    <col min="9" max="9" width="11.109375" customWidth="1"/>
    <col min="10" max="10" width="10.5546875" customWidth="1"/>
    <col min="11" max="11" width="10.44140625" customWidth="1"/>
    <col min="12" max="12" width="12.109375" customWidth="1"/>
    <col min="13" max="13" width="11.77734375" customWidth="1"/>
    <col min="17" max="17" width="8.88671875" style="134"/>
  </cols>
  <sheetData>
    <row r="1" spans="1:17" s="112" customFormat="1" ht="58.2" customHeight="1" x14ac:dyDescent="0.3">
      <c r="A1" s="118"/>
      <c r="B1" s="117" t="s">
        <v>119</v>
      </c>
      <c r="C1" s="134" t="s">
        <v>130</v>
      </c>
      <c r="D1" s="118" t="s">
        <v>107</v>
      </c>
      <c r="E1" s="118" t="s">
        <v>108</v>
      </c>
      <c r="F1" s="118" t="s">
        <v>109</v>
      </c>
      <c r="G1" s="118" t="s">
        <v>110</v>
      </c>
      <c r="H1" s="118" t="s">
        <v>112</v>
      </c>
      <c r="I1" s="118" t="s">
        <v>111</v>
      </c>
      <c r="J1" s="118" t="s">
        <v>107</v>
      </c>
      <c r="K1" s="118" t="s">
        <v>108</v>
      </c>
      <c r="L1" s="118" t="s">
        <v>109</v>
      </c>
      <c r="M1" s="118" t="s">
        <v>110</v>
      </c>
      <c r="N1" s="118" t="s">
        <v>112</v>
      </c>
      <c r="O1" s="112" t="s">
        <v>131</v>
      </c>
      <c r="P1" s="118" t="s">
        <v>132</v>
      </c>
      <c r="Q1" s="118"/>
    </row>
    <row r="2" spans="1:17" x14ac:dyDescent="0.3">
      <c r="A2">
        <v>2022</v>
      </c>
      <c r="B2" s="116">
        <f>'[3]Source Data'!B4*1.02</f>
        <v>79.775054530792616</v>
      </c>
      <c r="C2" s="141">
        <v>0</v>
      </c>
      <c r="D2">
        <v>5.3085E-2</v>
      </c>
      <c r="E2">
        <f>'[3]In $Dth Form'!$AO$11</f>
        <v>4.3313105860386027E-3</v>
      </c>
      <c r="F2">
        <f>'[3]In $Dth Form'!$AO$12</f>
        <v>3.1274255196872733E-3</v>
      </c>
      <c r="G2">
        <f>'[3]In $Dth Form'!$AO$13</f>
        <v>2.1039099423049751E-3</v>
      </c>
      <c r="H2">
        <f>'[3]In $Dth Form'!$AO$14</f>
        <v>7.0261707093623171E-4</v>
      </c>
      <c r="I2">
        <f t="shared" ref="I2:I30" si="0">SUM(D2:H2)</f>
        <v>6.335026311896709E-2</v>
      </c>
      <c r="J2" s="113">
        <f t="shared" ref="J2:J29" si="1">$B2*D2</f>
        <v>4.2348587697671256</v>
      </c>
      <c r="K2" s="113">
        <f t="shared" ref="K2:K29" si="2">$B2*E2</f>
        <v>0.34553053819102886</v>
      </c>
      <c r="L2" s="113">
        <f t="shared" ref="K2:L30" si="3">$B2*F2</f>
        <v>0.24949054137404467</v>
      </c>
      <c r="M2" s="113">
        <f t="shared" ref="L2:M30" si="4">$B2*G2</f>
        <v>0.16783953037525615</v>
      </c>
      <c r="N2" s="113">
        <f t="shared" ref="M2:N30" si="5">$B2*H2</f>
        <v>5.6051315148203669E-2</v>
      </c>
      <c r="O2" s="113">
        <f>$B2*I2</f>
        <v>5.0537706948556602</v>
      </c>
      <c r="P2" s="113">
        <f>C2*D2</f>
        <v>0</v>
      </c>
    </row>
    <row r="3" spans="1:17" x14ac:dyDescent="0.3">
      <c r="A3">
        <v>2023</v>
      </c>
      <c r="B3" s="116">
        <f>'[3]Source Data'!B5*1.02</f>
        <v>81.412581796188917</v>
      </c>
      <c r="C3" s="141">
        <v>107</v>
      </c>
      <c r="D3">
        <v>5.3085E-2</v>
      </c>
      <c r="E3">
        <f>'[3]In $Dth Form'!$AO$11</f>
        <v>4.3313105860386027E-3</v>
      </c>
      <c r="F3">
        <f>'[3]In $Dth Form'!$AO$12</f>
        <v>3.1274255196872733E-3</v>
      </c>
      <c r="G3">
        <f>'[3]In $Dth Form'!$AO$13</f>
        <v>2.1039099423049751E-3</v>
      </c>
      <c r="H3">
        <f>'[3]In $Dth Form'!$AO$14</f>
        <v>7.0261707093623171E-4</v>
      </c>
      <c r="I3">
        <f t="shared" si="0"/>
        <v>6.335026311896709E-2</v>
      </c>
      <c r="J3" s="113">
        <f t="shared" si="1"/>
        <v>4.3217869046506889</v>
      </c>
      <c r="K3" s="113">
        <f t="shared" si="2"/>
        <v>0.3526231773705667</v>
      </c>
      <c r="L3" s="113">
        <f t="shared" si="3"/>
        <v>0.25461178593302874</v>
      </c>
      <c r="M3" s="113">
        <f t="shared" si="4"/>
        <v>0.17128474026971888</v>
      </c>
      <c r="N3" s="113">
        <f t="shared" si="5"/>
        <v>5.7201869758994633E-2</v>
      </c>
      <c r="O3" s="113">
        <f t="shared" ref="N3:O30" si="6">$B3*I3</f>
        <v>5.1575084779829981</v>
      </c>
      <c r="P3" s="113">
        <f t="shared" ref="P3:P30" si="7">C3*D3</f>
        <v>5.6800949999999997</v>
      </c>
    </row>
    <row r="4" spans="1:17" x14ac:dyDescent="0.3">
      <c r="A4">
        <v>2024</v>
      </c>
      <c r="B4" s="116">
        <f>'[3]Source Data'!B6*1.02</f>
        <v>83.050109061585232</v>
      </c>
      <c r="C4" s="141">
        <v>108</v>
      </c>
      <c r="D4">
        <v>5.3085E-2</v>
      </c>
      <c r="E4">
        <f>'[3]In $Dth Form'!$AO$11</f>
        <v>4.3313105860386027E-3</v>
      </c>
      <c r="F4">
        <f>'[3]In $Dth Form'!$AO$12</f>
        <v>3.1274255196872733E-3</v>
      </c>
      <c r="G4">
        <f>'[3]In $Dth Form'!$AO$13</f>
        <v>2.1039099423049751E-3</v>
      </c>
      <c r="H4">
        <f>'[3]In $Dth Form'!$AO$14</f>
        <v>7.0261707093623171E-4</v>
      </c>
      <c r="I4">
        <f t="shared" si="0"/>
        <v>6.335026311896709E-2</v>
      </c>
      <c r="J4" s="113">
        <f t="shared" si="1"/>
        <v>4.4087150395342523</v>
      </c>
      <c r="K4" s="113">
        <f t="shared" si="2"/>
        <v>0.35971581655010459</v>
      </c>
      <c r="L4" s="113">
        <f t="shared" si="3"/>
        <v>0.25973303049201291</v>
      </c>
      <c r="M4" s="113">
        <f t="shared" si="4"/>
        <v>0.17472995016418166</v>
      </c>
      <c r="N4" s="113">
        <f t="shared" si="5"/>
        <v>5.8352424369785612E-2</v>
      </c>
      <c r="O4" s="113">
        <f t="shared" si="6"/>
        <v>5.2612462611103377</v>
      </c>
      <c r="P4" s="113">
        <f t="shared" si="7"/>
        <v>5.7331799999999999</v>
      </c>
    </row>
    <row r="5" spans="1:17" x14ac:dyDescent="0.3">
      <c r="A5">
        <v>2025</v>
      </c>
      <c r="B5" s="116">
        <f>'[3]Source Data'!B7*1.02</f>
        <v>84.687636326981547</v>
      </c>
      <c r="C5" s="141">
        <v>109</v>
      </c>
      <c r="D5">
        <v>5.3085E-2</v>
      </c>
      <c r="E5">
        <f>'[3]In $Dth Form'!$AO$11</f>
        <v>4.3313105860386027E-3</v>
      </c>
      <c r="F5">
        <f>'[3]In $Dth Form'!$AO$12</f>
        <v>3.1274255196872733E-3</v>
      </c>
      <c r="G5">
        <f>'[3]In $Dth Form'!$AO$13</f>
        <v>2.1039099423049751E-3</v>
      </c>
      <c r="H5">
        <f>'[3]In $Dth Form'!$AO$14</f>
        <v>7.0261707093623171E-4</v>
      </c>
      <c r="I5">
        <f t="shared" si="0"/>
        <v>6.335026311896709E-2</v>
      </c>
      <c r="J5" s="113">
        <f t="shared" si="1"/>
        <v>4.4956431744178156</v>
      </c>
      <c r="K5" s="113">
        <f t="shared" si="2"/>
        <v>0.36680845572964249</v>
      </c>
      <c r="L5" s="113">
        <f t="shared" si="3"/>
        <v>0.26485427505099707</v>
      </c>
      <c r="M5" s="113">
        <f t="shared" si="4"/>
        <v>0.17817516005864445</v>
      </c>
      <c r="N5" s="113">
        <f t="shared" si="5"/>
        <v>5.950297898057659E-2</v>
      </c>
      <c r="O5" s="113">
        <f t="shared" si="6"/>
        <v>5.3649840442376764</v>
      </c>
      <c r="P5" s="113">
        <f t="shared" si="7"/>
        <v>5.7862650000000002</v>
      </c>
    </row>
    <row r="6" spans="1:17" x14ac:dyDescent="0.3">
      <c r="A6">
        <v>2026</v>
      </c>
      <c r="B6" s="116">
        <f>'[3]Source Data'!B8*1.02</f>
        <v>85.933042743554807</v>
      </c>
      <c r="C6" s="141">
        <v>110</v>
      </c>
      <c r="D6">
        <v>5.3085E-2</v>
      </c>
      <c r="E6">
        <f>'[3]In $Dth Form'!$AO$11</f>
        <v>4.3313105860386027E-3</v>
      </c>
      <c r="F6">
        <f>'[3]In $Dth Form'!$AO$12</f>
        <v>3.1274255196872733E-3</v>
      </c>
      <c r="G6">
        <f>'[3]In $Dth Form'!$AO$13</f>
        <v>2.1039099423049751E-3</v>
      </c>
      <c r="H6">
        <f>'[3]In $Dth Form'!$AO$14</f>
        <v>7.0261707093623171E-4</v>
      </c>
      <c r="I6">
        <f t="shared" si="0"/>
        <v>6.335026311896709E-2</v>
      </c>
      <c r="J6" s="113">
        <f t="shared" si="1"/>
        <v>4.5617555740416069</v>
      </c>
      <c r="K6" s="113">
        <f t="shared" si="2"/>
        <v>0.37220269772566666</v>
      </c>
      <c r="L6" s="113">
        <f t="shared" si="3"/>
        <v>0.26874919086057059</v>
      </c>
      <c r="M6" s="113">
        <f t="shared" si="4"/>
        <v>0.18079538300068335</v>
      </c>
      <c r="N6" s="113">
        <f t="shared" si="5"/>
        <v>6.0378022789114479E-2</v>
      </c>
      <c r="O6" s="113">
        <f t="shared" si="6"/>
        <v>5.4438808684176427</v>
      </c>
      <c r="P6" s="113">
        <f t="shared" si="7"/>
        <v>5.8393499999999996</v>
      </c>
    </row>
    <row r="7" spans="1:17" x14ac:dyDescent="0.3">
      <c r="A7">
        <v>2027</v>
      </c>
      <c r="B7" s="116">
        <f>'[3]Source Data'!B9*1.02</f>
        <v>87.178449160128054</v>
      </c>
      <c r="C7" s="141">
        <v>111</v>
      </c>
      <c r="D7">
        <v>5.3085E-2</v>
      </c>
      <c r="E7">
        <f>'[3]In $Dth Form'!$AO$11</f>
        <v>4.3313105860386027E-3</v>
      </c>
      <c r="F7">
        <f>'[3]In $Dth Form'!$AO$12</f>
        <v>3.1274255196872733E-3</v>
      </c>
      <c r="G7">
        <f>'[3]In $Dth Form'!$AO$13</f>
        <v>2.1039099423049751E-3</v>
      </c>
      <c r="H7">
        <f>'[3]In $Dth Form'!$AO$14</f>
        <v>7.0261707093623171E-4</v>
      </c>
      <c r="I7">
        <f t="shared" si="0"/>
        <v>6.335026311896709E-2</v>
      </c>
      <c r="J7" s="113">
        <f t="shared" si="1"/>
        <v>4.6278679736653974</v>
      </c>
      <c r="K7" s="113">
        <f t="shared" si="2"/>
        <v>0.37759693972169078</v>
      </c>
      <c r="L7" s="113">
        <f t="shared" si="3"/>
        <v>0.27264410667014399</v>
      </c>
      <c r="M7" s="113">
        <f t="shared" si="4"/>
        <v>0.18341560594272222</v>
      </c>
      <c r="N7" s="113">
        <f t="shared" si="5"/>
        <v>6.125306659765236E-2</v>
      </c>
      <c r="O7" s="113">
        <f t="shared" si="6"/>
        <v>5.5227776925976073</v>
      </c>
      <c r="P7" s="113">
        <f t="shared" si="7"/>
        <v>5.8924349999999999</v>
      </c>
    </row>
    <row r="8" spans="1:17" x14ac:dyDescent="0.3">
      <c r="A8">
        <v>2028</v>
      </c>
      <c r="B8" s="116">
        <f>'[3]Source Data'!B10*1.02</f>
        <v>88.423855576701314</v>
      </c>
      <c r="C8" s="141">
        <v>112</v>
      </c>
      <c r="D8">
        <v>5.3085E-2</v>
      </c>
      <c r="E8">
        <f>'[3]In $Dth Form'!$AO$11</f>
        <v>4.3313105860386027E-3</v>
      </c>
      <c r="F8">
        <f>'[3]In $Dth Form'!$AO$12</f>
        <v>3.1274255196872733E-3</v>
      </c>
      <c r="G8">
        <f>'[3]In $Dth Form'!$AO$13</f>
        <v>2.1039099423049751E-3</v>
      </c>
      <c r="H8">
        <f>'[3]In $Dth Form'!$AO$14</f>
        <v>7.0261707093623171E-4</v>
      </c>
      <c r="I8">
        <f t="shared" si="0"/>
        <v>6.335026311896709E-2</v>
      </c>
      <c r="J8" s="113">
        <f t="shared" si="1"/>
        <v>4.6939803732891896</v>
      </c>
      <c r="K8" s="113">
        <f t="shared" si="2"/>
        <v>0.38299118171771496</v>
      </c>
      <c r="L8" s="113">
        <f t="shared" si="3"/>
        <v>0.27653902247971751</v>
      </c>
      <c r="M8" s="113">
        <f t="shared" si="4"/>
        <v>0.18603582888476111</v>
      </c>
      <c r="N8" s="113">
        <f t="shared" si="5"/>
        <v>6.2128110406190255E-2</v>
      </c>
      <c r="O8" s="113">
        <f t="shared" si="6"/>
        <v>5.6016745167775737</v>
      </c>
      <c r="P8" s="113">
        <f t="shared" si="7"/>
        <v>5.9455200000000001</v>
      </c>
    </row>
    <row r="9" spans="1:17" x14ac:dyDescent="0.3">
      <c r="A9">
        <v>2029</v>
      </c>
      <c r="B9" s="116">
        <f>'[3]Source Data'!B11*1.02</f>
        <v>89.66926199327456</v>
      </c>
      <c r="C9" s="141">
        <v>113</v>
      </c>
      <c r="D9">
        <v>5.3085E-2</v>
      </c>
      <c r="E9">
        <f>'[3]In $Dth Form'!$AO$11</f>
        <v>4.3313105860386027E-3</v>
      </c>
      <c r="F9">
        <f>'[3]In $Dth Form'!$AO$12</f>
        <v>3.1274255196872733E-3</v>
      </c>
      <c r="G9">
        <f>'[3]In $Dth Form'!$AO$13</f>
        <v>2.1039099423049751E-3</v>
      </c>
      <c r="H9">
        <f>'[3]In $Dth Form'!$AO$14</f>
        <v>7.0261707093623171E-4</v>
      </c>
      <c r="I9">
        <f t="shared" si="0"/>
        <v>6.335026311896709E-2</v>
      </c>
      <c r="J9" s="113">
        <f t="shared" si="1"/>
        <v>4.7600927729129801</v>
      </c>
      <c r="K9" s="113">
        <f t="shared" si="2"/>
        <v>0.38838542371373902</v>
      </c>
      <c r="L9" s="113">
        <f t="shared" si="3"/>
        <v>0.28043393828929097</v>
      </c>
      <c r="M9" s="113">
        <f t="shared" si="4"/>
        <v>0.18865605182679998</v>
      </c>
      <c r="N9" s="113">
        <f t="shared" si="5"/>
        <v>6.3003154214728144E-2</v>
      </c>
      <c r="O9" s="113">
        <f t="shared" si="6"/>
        <v>5.6805713409575391</v>
      </c>
      <c r="P9" s="113">
        <f t="shared" si="7"/>
        <v>5.9986050000000004</v>
      </c>
    </row>
    <row r="10" spans="1:17" x14ac:dyDescent="0.3">
      <c r="A10">
        <v>2030</v>
      </c>
      <c r="B10" s="116">
        <f>'[3]Source Data'!B12*1.02</f>
        <v>90.914668409847849</v>
      </c>
      <c r="C10" s="141">
        <v>114</v>
      </c>
      <c r="D10">
        <v>5.3085E-2</v>
      </c>
      <c r="E10">
        <f>'[3]In $Dth Form'!$AO$11</f>
        <v>4.3313105860386027E-3</v>
      </c>
      <c r="F10">
        <f>'[3]In $Dth Form'!$AO$12</f>
        <v>3.1274255196872733E-3</v>
      </c>
      <c r="G10">
        <f>'[3]In $Dth Form'!$AO$13</f>
        <v>2.1039099423049751E-3</v>
      </c>
      <c r="H10">
        <f>'[3]In $Dth Form'!$AO$14</f>
        <v>7.0261707093623171E-4</v>
      </c>
      <c r="I10">
        <f t="shared" si="0"/>
        <v>6.335026311896709E-2</v>
      </c>
      <c r="J10" s="113">
        <f t="shared" si="1"/>
        <v>4.8262051725367732</v>
      </c>
      <c r="K10" s="113">
        <f t="shared" si="2"/>
        <v>0.3937796657097633</v>
      </c>
      <c r="L10" s="113">
        <f t="shared" si="3"/>
        <v>0.28432885409886455</v>
      </c>
      <c r="M10" s="113">
        <f t="shared" si="4"/>
        <v>0.19127627476883893</v>
      </c>
      <c r="N10" s="113">
        <f t="shared" si="5"/>
        <v>6.3878198023266053E-2</v>
      </c>
      <c r="O10" s="113">
        <f t="shared" si="6"/>
        <v>5.7594681651375064</v>
      </c>
      <c r="P10" s="113">
        <f t="shared" si="7"/>
        <v>6.0516899999999998</v>
      </c>
    </row>
    <row r="11" spans="1:17" x14ac:dyDescent="0.3">
      <c r="A11">
        <v>2031</v>
      </c>
      <c r="B11" s="116">
        <f>'[3]Source Data'!B13*1.02</f>
        <v>92.160074826421109</v>
      </c>
      <c r="C11" s="141">
        <v>115</v>
      </c>
      <c r="D11">
        <v>5.3085E-2</v>
      </c>
      <c r="E11">
        <f>'[3]In $Dth Form'!$AO$11</f>
        <v>4.3313105860386027E-3</v>
      </c>
      <c r="F11">
        <f>'[3]In $Dth Form'!$AO$12</f>
        <v>3.1274255196872733E-3</v>
      </c>
      <c r="G11">
        <f>'[3]In $Dth Form'!$AO$13</f>
        <v>2.1039099423049751E-3</v>
      </c>
      <c r="H11">
        <f>'[3]In $Dth Form'!$AO$14</f>
        <v>7.0261707093623171E-4</v>
      </c>
      <c r="I11">
        <f t="shared" si="0"/>
        <v>6.335026311896709E-2</v>
      </c>
      <c r="J11" s="113">
        <f t="shared" si="1"/>
        <v>4.8923175721605645</v>
      </c>
      <c r="K11" s="113">
        <f t="shared" si="2"/>
        <v>0.39917390770578748</v>
      </c>
      <c r="L11" s="113">
        <f t="shared" si="3"/>
        <v>0.28822376990843801</v>
      </c>
      <c r="M11" s="113">
        <f t="shared" si="4"/>
        <v>0.19389649771087783</v>
      </c>
      <c r="N11" s="113">
        <f t="shared" si="5"/>
        <v>6.4753241831803948E-2</v>
      </c>
      <c r="O11" s="113">
        <f t="shared" si="6"/>
        <v>5.8383649893174727</v>
      </c>
      <c r="P11" s="113">
        <f t="shared" si="7"/>
        <v>6.1047750000000001</v>
      </c>
    </row>
    <row r="12" spans="1:17" x14ac:dyDescent="0.3">
      <c r="A12">
        <v>2032</v>
      </c>
      <c r="B12" s="116">
        <f>'[3]Source Data'!B14*1.02</f>
        <v>93.405481242994355</v>
      </c>
      <c r="C12" s="141">
        <v>116</v>
      </c>
      <c r="D12">
        <v>5.3085E-2</v>
      </c>
      <c r="E12">
        <f>'[3]In $Dth Form'!$AO$11</f>
        <v>4.3313105860386027E-3</v>
      </c>
      <c r="F12">
        <f>'[3]In $Dth Form'!$AO$12</f>
        <v>3.1274255196872733E-3</v>
      </c>
      <c r="G12">
        <f>'[3]In $Dth Form'!$AO$13</f>
        <v>2.1039099423049751E-3</v>
      </c>
      <c r="H12">
        <f>'[3]In $Dth Form'!$AO$14</f>
        <v>7.0261707093623171E-4</v>
      </c>
      <c r="I12">
        <f t="shared" si="0"/>
        <v>6.335026311896709E-2</v>
      </c>
      <c r="J12" s="113">
        <f t="shared" si="1"/>
        <v>4.958429971784355</v>
      </c>
      <c r="K12" s="113">
        <f t="shared" si="2"/>
        <v>0.4045681497018116</v>
      </c>
      <c r="L12" s="113">
        <f t="shared" si="3"/>
        <v>0.29211868571801147</v>
      </c>
      <c r="M12" s="113">
        <f t="shared" si="4"/>
        <v>0.1965167206529167</v>
      </c>
      <c r="N12" s="113">
        <f t="shared" si="5"/>
        <v>6.562828564034183E-2</v>
      </c>
      <c r="O12" s="113">
        <f t="shared" si="6"/>
        <v>5.9172618134974373</v>
      </c>
      <c r="P12" s="113">
        <f t="shared" si="7"/>
        <v>6.1578600000000003</v>
      </c>
    </row>
    <row r="13" spans="1:17" x14ac:dyDescent="0.3">
      <c r="A13">
        <v>2033</v>
      </c>
      <c r="B13" s="116">
        <f>'[3]Source Data'!B15*1.02</f>
        <v>94.650887659567616</v>
      </c>
      <c r="C13" s="141">
        <v>117</v>
      </c>
      <c r="D13">
        <v>5.3085E-2</v>
      </c>
      <c r="E13">
        <f>'[3]In $Dth Form'!$AO$11</f>
        <v>4.3313105860386027E-3</v>
      </c>
      <c r="F13">
        <f>'[3]In $Dth Form'!$AO$12</f>
        <v>3.1274255196872733E-3</v>
      </c>
      <c r="G13">
        <f>'[3]In $Dth Form'!$AO$13</f>
        <v>2.1039099423049751E-3</v>
      </c>
      <c r="H13">
        <f>'[3]In $Dth Form'!$AO$14</f>
        <v>7.0261707093623171E-4</v>
      </c>
      <c r="I13">
        <f t="shared" si="0"/>
        <v>6.335026311896709E-2</v>
      </c>
      <c r="J13" s="113">
        <f t="shared" si="1"/>
        <v>5.0245423714081472</v>
      </c>
      <c r="K13" s="113">
        <f t="shared" si="2"/>
        <v>0.40996239169783577</v>
      </c>
      <c r="L13" s="113">
        <f t="shared" si="3"/>
        <v>0.29601360152758499</v>
      </c>
      <c r="M13" s="113">
        <f t="shared" si="4"/>
        <v>0.19913694359495557</v>
      </c>
      <c r="N13" s="113">
        <f t="shared" si="5"/>
        <v>6.6503329448879725E-2</v>
      </c>
      <c r="O13" s="113">
        <f t="shared" si="6"/>
        <v>5.9961586376774036</v>
      </c>
      <c r="P13" s="113">
        <f t="shared" si="7"/>
        <v>6.2109449999999997</v>
      </c>
    </row>
    <row r="14" spans="1:17" x14ac:dyDescent="0.3">
      <c r="A14">
        <v>2034</v>
      </c>
      <c r="B14" s="116">
        <f>'[3]Source Data'!B16*1.02</f>
        <v>95.896294076140862</v>
      </c>
      <c r="C14" s="141">
        <v>118</v>
      </c>
      <c r="D14">
        <v>5.3085E-2</v>
      </c>
      <c r="E14">
        <f>'[3]In $Dth Form'!$AO$11</f>
        <v>4.3313105860386027E-3</v>
      </c>
      <c r="F14">
        <f>'[3]In $Dth Form'!$AO$12</f>
        <v>3.1274255196872733E-3</v>
      </c>
      <c r="G14">
        <f>'[3]In $Dth Form'!$AO$13</f>
        <v>2.1039099423049751E-3</v>
      </c>
      <c r="H14">
        <f>'[3]In $Dth Form'!$AO$14</f>
        <v>7.0261707093623171E-4</v>
      </c>
      <c r="I14">
        <f t="shared" si="0"/>
        <v>6.335026311896709E-2</v>
      </c>
      <c r="J14" s="113">
        <f t="shared" si="1"/>
        <v>5.0906547710319376</v>
      </c>
      <c r="K14" s="113">
        <f t="shared" si="2"/>
        <v>0.41535663369385989</v>
      </c>
      <c r="L14" s="113">
        <f t="shared" si="3"/>
        <v>0.29990851733715845</v>
      </c>
      <c r="M14" s="113">
        <f t="shared" si="4"/>
        <v>0.20175716653699444</v>
      </c>
      <c r="N14" s="113">
        <f t="shared" si="5"/>
        <v>6.7378373257417606E-2</v>
      </c>
      <c r="O14" s="113">
        <f t="shared" si="6"/>
        <v>6.0750554618573691</v>
      </c>
      <c r="P14" s="113">
        <f t="shared" si="7"/>
        <v>6.26403</v>
      </c>
    </row>
    <row r="15" spans="1:17" x14ac:dyDescent="0.3">
      <c r="A15">
        <v>2035</v>
      </c>
      <c r="B15" s="116">
        <f>'[3]Source Data'!B17*1.02</f>
        <v>97.141700492714136</v>
      </c>
      <c r="C15" s="141">
        <v>119</v>
      </c>
      <c r="D15">
        <v>5.3085E-2</v>
      </c>
      <c r="E15">
        <f>'[3]In $Dth Form'!$AO$11</f>
        <v>4.3313105860386027E-3</v>
      </c>
      <c r="F15">
        <f>'[3]In $Dth Form'!$AO$12</f>
        <v>3.1274255196872733E-3</v>
      </c>
      <c r="G15">
        <f>'[3]In $Dth Form'!$AO$13</f>
        <v>2.1039099423049751E-3</v>
      </c>
      <c r="H15">
        <f>'[3]In $Dth Form'!$AO$14</f>
        <v>7.0261707093623171E-4</v>
      </c>
      <c r="I15">
        <f t="shared" si="0"/>
        <v>6.335026311896709E-2</v>
      </c>
      <c r="J15" s="113">
        <f t="shared" si="1"/>
        <v>5.1567671706557299</v>
      </c>
      <c r="K15" s="113">
        <f t="shared" si="2"/>
        <v>0.42075087568988406</v>
      </c>
      <c r="L15" s="113">
        <f t="shared" si="3"/>
        <v>0.30380343314673197</v>
      </c>
      <c r="M15" s="113">
        <f t="shared" si="4"/>
        <v>0.20437738947903336</v>
      </c>
      <c r="N15" s="113">
        <f t="shared" si="5"/>
        <v>6.8253417065955502E-2</v>
      </c>
      <c r="O15" s="113">
        <f t="shared" si="6"/>
        <v>6.1539522860373355</v>
      </c>
      <c r="P15" s="113">
        <f t="shared" si="7"/>
        <v>6.3171150000000003</v>
      </c>
    </row>
    <row r="16" spans="1:17" x14ac:dyDescent="0.3">
      <c r="A16">
        <v>2036</v>
      </c>
      <c r="B16" s="116">
        <f>'[3]Source Data'!B18*1.02</f>
        <v>98.52136039417131</v>
      </c>
      <c r="C16" s="141">
        <v>120</v>
      </c>
      <c r="D16">
        <v>5.3085E-2</v>
      </c>
      <c r="E16">
        <f>'[3]In $Dth Form'!$AO$11</f>
        <v>4.3313105860386027E-3</v>
      </c>
      <c r="F16">
        <f>'[3]In $Dth Form'!$AO$12</f>
        <v>3.1274255196872733E-3</v>
      </c>
      <c r="G16">
        <f>'[3]In $Dth Form'!$AO$13</f>
        <v>2.1039099423049751E-3</v>
      </c>
      <c r="H16">
        <f>'[3]In $Dth Form'!$AO$14</f>
        <v>7.0261707093623171E-4</v>
      </c>
      <c r="I16">
        <f t="shared" si="0"/>
        <v>6.335026311896709E-2</v>
      </c>
      <c r="J16" s="113">
        <f t="shared" si="1"/>
        <v>5.2300064165245841</v>
      </c>
      <c r="K16" s="113">
        <f t="shared" si="2"/>
        <v>0.42672661122619854</v>
      </c>
      <c r="L16" s="113">
        <f t="shared" si="3"/>
        <v>0.30811821673103834</v>
      </c>
      <c r="M16" s="113">
        <f t="shared" si="4"/>
        <v>0.20728006966270862</v>
      </c>
      <c r="N16" s="113">
        <f t="shared" si="5"/>
        <v>6.9222789664805509E-2</v>
      </c>
      <c r="O16" s="113">
        <f t="shared" si="6"/>
        <v>6.2413541038093356</v>
      </c>
      <c r="P16" s="113">
        <f t="shared" si="7"/>
        <v>6.3701999999999996</v>
      </c>
    </row>
    <row r="17" spans="1:16" x14ac:dyDescent="0.3">
      <c r="A17">
        <v>2037</v>
      </c>
      <c r="B17" s="116">
        <f>'[3]Source Data'!B19*1.02</f>
        <v>99.901020295628484</v>
      </c>
      <c r="C17" s="141">
        <v>121</v>
      </c>
      <c r="D17">
        <v>5.3085E-2</v>
      </c>
      <c r="E17">
        <f>'[3]In $Dth Form'!$AO$11</f>
        <v>4.3313105860386027E-3</v>
      </c>
      <c r="F17">
        <f>'[3]In $Dth Form'!$AO$12</f>
        <v>3.1274255196872733E-3</v>
      </c>
      <c r="G17">
        <f>'[3]In $Dth Form'!$AO$13</f>
        <v>2.1039099423049751E-3</v>
      </c>
      <c r="H17">
        <f>'[3]In $Dth Form'!$AO$14</f>
        <v>7.0261707093623171E-4</v>
      </c>
      <c r="I17">
        <f t="shared" si="0"/>
        <v>6.335026311896709E-2</v>
      </c>
      <c r="J17" s="113">
        <f t="shared" si="1"/>
        <v>5.3032456623934383</v>
      </c>
      <c r="K17" s="113">
        <f t="shared" si="2"/>
        <v>0.43270234676251296</v>
      </c>
      <c r="L17" s="113">
        <f t="shared" si="3"/>
        <v>0.31243300031534477</v>
      </c>
      <c r="M17" s="113">
        <f t="shared" si="4"/>
        <v>0.21018274984638388</v>
      </c>
      <c r="N17" s="113">
        <f t="shared" si="5"/>
        <v>7.0192162263655516E-2</v>
      </c>
      <c r="O17" s="113">
        <f t="shared" si="6"/>
        <v>6.3287559215813358</v>
      </c>
      <c r="P17" s="113">
        <f t="shared" si="7"/>
        <v>6.4232849999999999</v>
      </c>
    </row>
    <row r="18" spans="1:16" x14ac:dyDescent="0.3">
      <c r="A18">
        <v>2038</v>
      </c>
      <c r="B18" s="116">
        <f>'[3]Source Data'!B20*1.02</f>
        <v>101.28068019708566</v>
      </c>
      <c r="C18" s="141">
        <v>122</v>
      </c>
      <c r="D18">
        <v>5.3085E-2</v>
      </c>
      <c r="E18">
        <f>'[3]In $Dth Form'!$AO$11</f>
        <v>4.3313105860386027E-3</v>
      </c>
      <c r="F18">
        <f>'[3]In $Dth Form'!$AO$12</f>
        <v>3.1274255196872733E-3</v>
      </c>
      <c r="G18">
        <f>'[3]In $Dth Form'!$AO$13</f>
        <v>2.1039099423049751E-3</v>
      </c>
      <c r="H18">
        <f>'[3]In $Dth Form'!$AO$14</f>
        <v>7.0261707093623171E-4</v>
      </c>
      <c r="I18">
        <f t="shared" si="0"/>
        <v>6.335026311896709E-2</v>
      </c>
      <c r="J18" s="113">
        <f t="shared" si="1"/>
        <v>5.3764849082622925</v>
      </c>
      <c r="K18" s="113">
        <f t="shared" si="2"/>
        <v>0.43867808229882738</v>
      </c>
      <c r="L18" s="113">
        <f t="shared" si="3"/>
        <v>0.31674778389965114</v>
      </c>
      <c r="M18" s="113">
        <f t="shared" si="4"/>
        <v>0.21308543003005911</v>
      </c>
      <c r="N18" s="113">
        <f t="shared" si="5"/>
        <v>7.1161534862505538E-2</v>
      </c>
      <c r="O18" s="113">
        <f t="shared" si="6"/>
        <v>6.416157739353336</v>
      </c>
      <c r="P18" s="113">
        <f t="shared" si="7"/>
        <v>6.4763700000000002</v>
      </c>
    </row>
    <row r="19" spans="1:16" x14ac:dyDescent="0.3">
      <c r="A19">
        <v>2039</v>
      </c>
      <c r="B19" s="116">
        <f>'[3]Source Data'!B21*1.02</f>
        <v>102.66034009854285</v>
      </c>
      <c r="C19" s="141">
        <v>123</v>
      </c>
      <c r="D19">
        <v>5.3085E-2</v>
      </c>
      <c r="E19">
        <f>'[3]In $Dth Form'!$AO$11</f>
        <v>4.3313105860386027E-3</v>
      </c>
      <c r="F19">
        <f>'[3]In $Dth Form'!$AO$12</f>
        <v>3.1274255196872733E-3</v>
      </c>
      <c r="G19">
        <f>'[3]In $Dth Form'!$AO$13</f>
        <v>2.1039099423049751E-3</v>
      </c>
      <c r="H19">
        <f>'[3]In $Dth Form'!$AO$14</f>
        <v>7.0261707093623171E-4</v>
      </c>
      <c r="I19">
        <f t="shared" si="0"/>
        <v>6.335026311896709E-2</v>
      </c>
      <c r="J19" s="113">
        <f t="shared" si="1"/>
        <v>5.4497241541311467</v>
      </c>
      <c r="K19" s="113">
        <f t="shared" si="2"/>
        <v>0.44465381783514191</v>
      </c>
      <c r="L19" s="113">
        <f t="shared" si="3"/>
        <v>0.32106256748395756</v>
      </c>
      <c r="M19" s="113">
        <f t="shared" si="4"/>
        <v>0.2159881102137344</v>
      </c>
      <c r="N19" s="113">
        <f t="shared" si="5"/>
        <v>7.2130907461355559E-2</v>
      </c>
      <c r="O19" s="113">
        <f t="shared" si="6"/>
        <v>6.5035595571253371</v>
      </c>
      <c r="P19" s="113">
        <f t="shared" si="7"/>
        <v>6.5294550000000005</v>
      </c>
    </row>
    <row r="20" spans="1:16" x14ac:dyDescent="0.3">
      <c r="A20">
        <v>2040</v>
      </c>
      <c r="B20" s="116">
        <f>'[3]Source Data'!B22*1.02</f>
        <v>104.04</v>
      </c>
      <c r="C20" s="141">
        <v>124</v>
      </c>
      <c r="D20">
        <v>5.3085E-2</v>
      </c>
      <c r="E20">
        <f>'[3]In $Dth Form'!$AO$11</f>
        <v>4.3313105860386027E-3</v>
      </c>
      <c r="F20">
        <f>'[3]In $Dth Form'!$AO$12</f>
        <v>3.1274255196872733E-3</v>
      </c>
      <c r="G20">
        <f>'[3]In $Dth Form'!$AO$13</f>
        <v>2.1039099423049751E-3</v>
      </c>
      <c r="H20">
        <f>'[3]In $Dth Form'!$AO$14</f>
        <v>7.0261707093623171E-4</v>
      </c>
      <c r="I20">
        <f t="shared" si="0"/>
        <v>6.335026311896709E-2</v>
      </c>
      <c r="J20" s="113">
        <f t="shared" si="1"/>
        <v>5.5229634000000001</v>
      </c>
      <c r="K20" s="113">
        <f t="shared" si="2"/>
        <v>0.45062955337145627</v>
      </c>
      <c r="L20" s="113">
        <f t="shared" si="3"/>
        <v>0.32537735106826393</v>
      </c>
      <c r="M20" s="113">
        <f t="shared" si="4"/>
        <v>0.21889079039740963</v>
      </c>
      <c r="N20" s="113">
        <f t="shared" si="5"/>
        <v>7.3100280060205552E-2</v>
      </c>
      <c r="O20" s="113">
        <f t="shared" si="6"/>
        <v>6.5909613748973364</v>
      </c>
      <c r="P20" s="113">
        <f t="shared" si="7"/>
        <v>6.5825399999999998</v>
      </c>
    </row>
    <row r="21" spans="1:16" x14ac:dyDescent="0.3">
      <c r="A21">
        <v>2041</v>
      </c>
      <c r="B21" s="116">
        <f>'[3]Source Data'!B23*1.02</f>
        <v>105.26400000000001</v>
      </c>
      <c r="C21" s="141">
        <v>125</v>
      </c>
      <c r="D21">
        <v>5.3085E-2</v>
      </c>
      <c r="E21">
        <f>'[3]In $Dth Form'!$AO$11</f>
        <v>4.3313105860386027E-3</v>
      </c>
      <c r="F21">
        <f>'[3]In $Dth Form'!$AO$12</f>
        <v>3.1274255196872733E-3</v>
      </c>
      <c r="G21">
        <f>'[3]In $Dth Form'!$AO$13</f>
        <v>2.1039099423049751E-3</v>
      </c>
      <c r="H21">
        <f>'[3]In $Dth Form'!$AO$14</f>
        <v>7.0261707093623171E-4</v>
      </c>
      <c r="I21">
        <f t="shared" si="0"/>
        <v>6.335026311896709E-2</v>
      </c>
      <c r="J21" s="113">
        <f t="shared" si="1"/>
        <v>5.5879394400000004</v>
      </c>
      <c r="K21" s="113">
        <f t="shared" si="2"/>
        <v>0.45593107752876755</v>
      </c>
      <c r="L21" s="113">
        <f t="shared" si="3"/>
        <v>0.32920531990436119</v>
      </c>
      <c r="M21" s="113">
        <f t="shared" si="4"/>
        <v>0.22146597616679092</v>
      </c>
      <c r="N21" s="113">
        <f t="shared" si="5"/>
        <v>7.3960283355031506E-2</v>
      </c>
      <c r="O21" s="113">
        <f t="shared" si="6"/>
        <v>6.6685020969549527</v>
      </c>
      <c r="P21" s="113">
        <f t="shared" si="7"/>
        <v>6.6356250000000001</v>
      </c>
    </row>
    <row r="22" spans="1:16" x14ac:dyDescent="0.3">
      <c r="A22">
        <v>2042</v>
      </c>
      <c r="B22" s="116">
        <f>'[3]Source Data'!B24*1.02</f>
        <v>106.48800000000001</v>
      </c>
      <c r="C22" s="141">
        <v>126</v>
      </c>
      <c r="D22">
        <v>5.3085E-2</v>
      </c>
      <c r="E22">
        <f>'[3]In $Dth Form'!$AO$11</f>
        <v>4.3313105860386027E-3</v>
      </c>
      <c r="F22">
        <f>'[3]In $Dth Form'!$AO$12</f>
        <v>3.1274255196872733E-3</v>
      </c>
      <c r="G22">
        <f>'[3]In $Dth Form'!$AO$13</f>
        <v>2.1039099423049751E-3</v>
      </c>
      <c r="H22">
        <f>'[3]In $Dth Form'!$AO$14</f>
        <v>7.0261707093623171E-4</v>
      </c>
      <c r="I22">
        <f t="shared" si="0"/>
        <v>6.335026311896709E-2</v>
      </c>
      <c r="J22" s="113">
        <f t="shared" si="1"/>
        <v>5.6529154800000008</v>
      </c>
      <c r="K22" s="113">
        <f t="shared" si="2"/>
        <v>0.46123260168607877</v>
      </c>
      <c r="L22" s="113">
        <f t="shared" si="3"/>
        <v>0.3330332887404584</v>
      </c>
      <c r="M22" s="113">
        <f t="shared" si="4"/>
        <v>0.22404116193617221</v>
      </c>
      <c r="N22" s="113">
        <f t="shared" si="5"/>
        <v>7.4820286649857459E-2</v>
      </c>
      <c r="O22" s="113">
        <f t="shared" si="6"/>
        <v>6.7460428190125681</v>
      </c>
      <c r="P22" s="113">
        <f t="shared" si="7"/>
        <v>6.6887100000000004</v>
      </c>
    </row>
    <row r="23" spans="1:16" x14ac:dyDescent="0.3">
      <c r="A23">
        <v>2043</v>
      </c>
      <c r="B23" s="116">
        <f>'[3]Source Data'!B25*1.02</f>
        <v>107.71200000000002</v>
      </c>
      <c r="C23" s="141">
        <v>127</v>
      </c>
      <c r="D23">
        <v>5.3085E-2</v>
      </c>
      <c r="E23">
        <f>'[3]In $Dth Form'!$AO$11</f>
        <v>4.3313105860386027E-3</v>
      </c>
      <c r="F23">
        <f>'[3]In $Dth Form'!$AO$12</f>
        <v>3.1274255196872733E-3</v>
      </c>
      <c r="G23">
        <f>'[3]In $Dth Form'!$AO$13</f>
        <v>2.1039099423049751E-3</v>
      </c>
      <c r="H23">
        <f>'[3]In $Dth Form'!$AO$14</f>
        <v>7.0261707093623171E-4</v>
      </c>
      <c r="I23">
        <f t="shared" si="0"/>
        <v>6.335026311896709E-2</v>
      </c>
      <c r="J23" s="113">
        <f t="shared" si="1"/>
        <v>5.7178915200000011</v>
      </c>
      <c r="K23" s="113">
        <f t="shared" si="2"/>
        <v>0.46653412584339005</v>
      </c>
      <c r="L23" s="113">
        <f t="shared" si="3"/>
        <v>0.33686125757655566</v>
      </c>
      <c r="M23" s="113">
        <f t="shared" si="4"/>
        <v>0.22661634770555353</v>
      </c>
      <c r="N23" s="113">
        <f t="shared" si="5"/>
        <v>7.5680289944683399E-2</v>
      </c>
      <c r="O23" s="113">
        <f t="shared" si="6"/>
        <v>6.8235835410701844</v>
      </c>
      <c r="P23" s="113">
        <f t="shared" si="7"/>
        <v>6.7417949999999998</v>
      </c>
    </row>
    <row r="24" spans="1:16" x14ac:dyDescent="0.3">
      <c r="A24">
        <v>2044</v>
      </c>
      <c r="B24" s="116">
        <f>'[3]Source Data'!B26*1.02</f>
        <v>108.93600000000001</v>
      </c>
      <c r="C24" s="141">
        <v>128</v>
      </c>
      <c r="D24">
        <v>5.3085E-2</v>
      </c>
      <c r="E24">
        <f>'[3]In $Dth Form'!$AO$11</f>
        <v>4.3313105860386027E-3</v>
      </c>
      <c r="F24">
        <f>'[3]In $Dth Form'!$AO$12</f>
        <v>3.1274255196872733E-3</v>
      </c>
      <c r="G24">
        <f>'[3]In $Dth Form'!$AO$13</f>
        <v>2.1039099423049751E-3</v>
      </c>
      <c r="H24">
        <f>'[3]In $Dth Form'!$AO$14</f>
        <v>7.0261707093623171E-4</v>
      </c>
      <c r="I24">
        <f t="shared" si="0"/>
        <v>6.335026311896709E-2</v>
      </c>
      <c r="J24" s="113">
        <f t="shared" si="1"/>
        <v>5.7828675600000006</v>
      </c>
      <c r="K24" s="113">
        <f t="shared" si="2"/>
        <v>0.47183565000070127</v>
      </c>
      <c r="L24" s="113">
        <f t="shared" si="3"/>
        <v>0.34068922641265281</v>
      </c>
      <c r="M24" s="113">
        <f t="shared" si="4"/>
        <v>0.22919153347493479</v>
      </c>
      <c r="N24" s="113">
        <f t="shared" si="5"/>
        <v>7.6540293239509338E-2</v>
      </c>
      <c r="O24" s="113">
        <f t="shared" si="6"/>
        <v>6.9011242631277998</v>
      </c>
      <c r="P24" s="113">
        <f t="shared" si="7"/>
        <v>6.79488</v>
      </c>
    </row>
    <row r="25" spans="1:16" x14ac:dyDescent="0.3">
      <c r="A25">
        <v>2045</v>
      </c>
      <c r="B25" s="116">
        <f>'[3]Source Data'!B27*1.02</f>
        <v>110.16</v>
      </c>
      <c r="C25" s="141">
        <v>129</v>
      </c>
      <c r="D25">
        <v>5.3085E-2</v>
      </c>
      <c r="E25">
        <f>'[3]In $Dth Form'!$AO$11</f>
        <v>4.3313105860386027E-3</v>
      </c>
      <c r="F25">
        <f>'[3]In $Dth Form'!$AO$12</f>
        <v>3.1274255196872733E-3</v>
      </c>
      <c r="G25">
        <f>'[3]In $Dth Form'!$AO$13</f>
        <v>2.1039099423049751E-3</v>
      </c>
      <c r="H25">
        <f>'[3]In $Dth Form'!$AO$14</f>
        <v>7.0261707093623171E-4</v>
      </c>
      <c r="I25">
        <f t="shared" si="0"/>
        <v>6.335026311896709E-2</v>
      </c>
      <c r="J25" s="113">
        <f t="shared" si="1"/>
        <v>5.8478436</v>
      </c>
      <c r="K25" s="113">
        <f t="shared" si="2"/>
        <v>0.47713717415801249</v>
      </c>
      <c r="L25" s="113">
        <f t="shared" si="3"/>
        <v>0.34451719524875002</v>
      </c>
      <c r="M25" s="113">
        <f t="shared" si="4"/>
        <v>0.23176671924431605</v>
      </c>
      <c r="N25" s="113">
        <f t="shared" si="5"/>
        <v>7.7400296534335278E-2</v>
      </c>
      <c r="O25" s="113">
        <f t="shared" si="6"/>
        <v>6.9786649851854143</v>
      </c>
      <c r="P25" s="113">
        <f t="shared" si="7"/>
        <v>6.8479650000000003</v>
      </c>
    </row>
    <row r="26" spans="1:16" x14ac:dyDescent="0.3">
      <c r="A26">
        <v>2046</v>
      </c>
      <c r="B26" s="116">
        <f>'[3]Source Data'!B28*1.02</f>
        <v>111.58800000000001</v>
      </c>
      <c r="C26" s="141">
        <v>130</v>
      </c>
      <c r="D26">
        <v>5.3085E-2</v>
      </c>
      <c r="E26">
        <f>'[3]In $Dth Form'!$AO$11</f>
        <v>4.3313105860386027E-3</v>
      </c>
      <c r="F26">
        <f>'[3]In $Dth Form'!$AO$12</f>
        <v>3.1274255196872733E-3</v>
      </c>
      <c r="G26">
        <f>'[3]In $Dth Form'!$AO$13</f>
        <v>2.1039099423049751E-3</v>
      </c>
      <c r="H26">
        <f>'[3]In $Dth Form'!$AO$14</f>
        <v>7.0261707093623171E-4</v>
      </c>
      <c r="I26">
        <f t="shared" si="0"/>
        <v>6.335026311896709E-2</v>
      </c>
      <c r="J26" s="113">
        <f t="shared" si="1"/>
        <v>5.9236489800000003</v>
      </c>
      <c r="K26" s="113">
        <f t="shared" si="2"/>
        <v>0.48332228567487562</v>
      </c>
      <c r="L26" s="113">
        <f t="shared" si="3"/>
        <v>0.34898315889086351</v>
      </c>
      <c r="M26" s="113">
        <f t="shared" si="4"/>
        <v>0.23477110264192758</v>
      </c>
      <c r="N26" s="113">
        <f t="shared" si="5"/>
        <v>7.8403633711632226E-2</v>
      </c>
      <c r="O26" s="113">
        <f t="shared" si="6"/>
        <v>7.0691291609193003</v>
      </c>
      <c r="P26" s="113">
        <f t="shared" si="7"/>
        <v>6.9010499999999997</v>
      </c>
    </row>
    <row r="27" spans="1:16" x14ac:dyDescent="0.3">
      <c r="A27">
        <v>2047</v>
      </c>
      <c r="B27" s="116">
        <f>'[3]Source Data'!B29*1.02</f>
        <v>113.01600000000002</v>
      </c>
      <c r="C27" s="141">
        <v>131</v>
      </c>
      <c r="D27">
        <v>5.3085E-2</v>
      </c>
      <c r="E27">
        <f>'[3]In $Dth Form'!$AO$11</f>
        <v>4.3313105860386027E-3</v>
      </c>
      <c r="F27">
        <f>'[3]In $Dth Form'!$AO$12</f>
        <v>3.1274255196872733E-3</v>
      </c>
      <c r="G27">
        <f>'[3]In $Dth Form'!$AO$13</f>
        <v>2.1039099423049751E-3</v>
      </c>
      <c r="H27">
        <f>'[3]In $Dth Form'!$AO$14</f>
        <v>7.0261707093623171E-4</v>
      </c>
      <c r="I27">
        <f t="shared" si="0"/>
        <v>6.335026311896709E-2</v>
      </c>
      <c r="J27" s="113">
        <f t="shared" si="1"/>
        <v>5.9994543600000014</v>
      </c>
      <c r="K27" s="113">
        <f t="shared" si="2"/>
        <v>0.4895073971917388</v>
      </c>
      <c r="L27" s="113">
        <f t="shared" si="3"/>
        <v>0.35344912253297694</v>
      </c>
      <c r="M27" s="113">
        <f t="shared" si="4"/>
        <v>0.2377754860395391</v>
      </c>
      <c r="N27" s="113">
        <f t="shared" si="5"/>
        <v>7.9406970888929174E-2</v>
      </c>
      <c r="O27" s="113">
        <f t="shared" si="6"/>
        <v>7.1595933366531863</v>
      </c>
      <c r="P27" s="113">
        <f t="shared" si="7"/>
        <v>6.954135</v>
      </c>
    </row>
    <row r="28" spans="1:16" x14ac:dyDescent="0.3">
      <c r="A28">
        <v>2048</v>
      </c>
      <c r="B28" s="116">
        <f>'[3]Source Data'!B30*1.02</f>
        <v>114.44400000000002</v>
      </c>
      <c r="C28" s="141">
        <v>132</v>
      </c>
      <c r="D28">
        <v>5.3085E-2</v>
      </c>
      <c r="E28">
        <f>'[3]In $Dth Form'!$AO$11</f>
        <v>4.3313105860386027E-3</v>
      </c>
      <c r="F28">
        <f>'[3]In $Dth Form'!$AO$12</f>
        <v>3.1274255196872733E-3</v>
      </c>
      <c r="G28">
        <f>'[3]In $Dth Form'!$AO$13</f>
        <v>2.1039099423049751E-3</v>
      </c>
      <c r="H28">
        <f>'[3]In $Dth Form'!$AO$14</f>
        <v>7.0261707093623171E-4</v>
      </c>
      <c r="I28">
        <f t="shared" si="0"/>
        <v>6.335026311896709E-2</v>
      </c>
      <c r="J28" s="113">
        <f t="shared" si="1"/>
        <v>6.0752597400000008</v>
      </c>
      <c r="K28" s="113">
        <f t="shared" si="2"/>
        <v>0.49569250870860193</v>
      </c>
      <c r="L28" s="113">
        <f t="shared" si="3"/>
        <v>0.35791508617509038</v>
      </c>
      <c r="M28" s="113">
        <f t="shared" si="4"/>
        <v>0.2407798694371506</v>
      </c>
      <c r="N28" s="113">
        <f t="shared" si="5"/>
        <v>8.0410308066226108E-2</v>
      </c>
      <c r="O28" s="113">
        <f t="shared" si="6"/>
        <v>7.2500575123870705</v>
      </c>
      <c r="P28" s="113">
        <f t="shared" si="7"/>
        <v>7.0072200000000002</v>
      </c>
    </row>
    <row r="29" spans="1:16" x14ac:dyDescent="0.3">
      <c r="A29">
        <v>2049</v>
      </c>
      <c r="B29" s="116">
        <f>'[3]Source Data'!B31*1.02</f>
        <v>115.87200000000003</v>
      </c>
      <c r="C29" s="141">
        <v>133</v>
      </c>
      <c r="D29">
        <v>5.3085E-2</v>
      </c>
      <c r="E29">
        <f>'[3]In $Dth Form'!$AO$11</f>
        <v>4.3313105860386027E-3</v>
      </c>
      <c r="F29">
        <f>'[3]In $Dth Form'!$AO$12</f>
        <v>3.1274255196872733E-3</v>
      </c>
      <c r="G29">
        <f>'[3]In $Dth Form'!$AO$13</f>
        <v>2.1039099423049751E-3</v>
      </c>
      <c r="H29">
        <f>'[3]In $Dth Form'!$AO$14</f>
        <v>7.0261707093623171E-4</v>
      </c>
      <c r="I29">
        <f t="shared" si="0"/>
        <v>6.335026311896709E-2</v>
      </c>
      <c r="J29" s="113">
        <f t="shared" si="1"/>
        <v>6.1510651200000019</v>
      </c>
      <c r="K29" s="113">
        <f t="shared" si="2"/>
        <v>0.50187762022546512</v>
      </c>
      <c r="L29" s="113">
        <f t="shared" si="3"/>
        <v>0.36238104981720382</v>
      </c>
      <c r="M29" s="113">
        <f t="shared" si="4"/>
        <v>0.24378425283476213</v>
      </c>
      <c r="N29" s="113">
        <f t="shared" si="5"/>
        <v>8.1413645243523056E-2</v>
      </c>
      <c r="O29" s="113">
        <f t="shared" si="6"/>
        <v>7.3405216881209565</v>
      </c>
      <c r="P29" s="113">
        <f t="shared" si="7"/>
        <v>7.0603049999999996</v>
      </c>
    </row>
    <row r="30" spans="1:16" x14ac:dyDescent="0.3">
      <c r="A30">
        <v>2050</v>
      </c>
      <c r="B30" s="116">
        <f>'[3]Source Data'!B32*1.02</f>
        <v>117.3</v>
      </c>
      <c r="C30" s="141">
        <v>134</v>
      </c>
      <c r="D30" s="134">
        <v>5.3085E-2</v>
      </c>
      <c r="E30" s="134">
        <f>'[3]In $Dth Form'!$AO$11</f>
        <v>4.3313105860386027E-3</v>
      </c>
      <c r="F30" s="134">
        <f>'[3]In $Dth Form'!$AO$12</f>
        <v>3.1274255196872733E-3</v>
      </c>
      <c r="G30" s="134">
        <f>'[3]In $Dth Form'!$AO$13</f>
        <v>2.1039099423049751E-3</v>
      </c>
      <c r="H30" s="134">
        <f>'[3]In $Dth Form'!$AO$14</f>
        <v>7.0261707093623171E-4</v>
      </c>
      <c r="I30" s="134">
        <f t="shared" si="0"/>
        <v>6.335026311896709E-2</v>
      </c>
      <c r="J30" s="113">
        <f>$B30*D30</f>
        <v>6.2268704999999995</v>
      </c>
      <c r="K30" s="113">
        <f t="shared" si="3"/>
        <v>0.50806273174232808</v>
      </c>
      <c r="L30" s="113">
        <f t="shared" si="4"/>
        <v>0.36684701345931714</v>
      </c>
      <c r="M30" s="113">
        <f t="shared" si="5"/>
        <v>0.24678863623237357</v>
      </c>
      <c r="N30" s="113">
        <f t="shared" si="6"/>
        <v>8.2416982420819976E-2</v>
      </c>
      <c r="O30" s="113">
        <f t="shared" si="6"/>
        <v>7.4309858638548398</v>
      </c>
      <c r="P30" s="113">
        <f t="shared" si="7"/>
        <v>7.1133899999999999</v>
      </c>
    </row>
    <row r="31" spans="1:16" x14ac:dyDescent="0.3">
      <c r="C31">
        <v>5.3085E-2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6837F87FE21B34D9D63DA5118681A0B" ma:contentTypeVersion="44" ma:contentTypeDescription="" ma:contentTypeScope="" ma:versionID="5f7914d73e7dd15ae8f4b8ff970bdf3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Closed</CaseStatus>
    <OpenedDate xmlns="dc463f71-b30c-4ab2-9473-d307f9d35888">2021-02-11T08:00:00+00:00</OpenedDate>
    <SignificantOrder xmlns="dc463f71-b30c-4ab2-9473-d307f9d35888">false</SignificantOrder>
    <Date1 xmlns="dc463f71-b30c-4ab2-9473-d307f9d35888">2022-10-24T07:00:00+00:00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210094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DE957D7-E48E-40B3-BF19-6B5B3BA61FC7}"/>
</file>

<file path=customXml/itemProps2.xml><?xml version="1.0" encoding="utf-8"?>
<ds:datastoreItem xmlns:ds="http://schemas.openxmlformats.org/officeDocument/2006/customXml" ds:itemID="{6C76859B-A990-40F9-8FAD-898F77E1F72F}"/>
</file>

<file path=customXml/itemProps3.xml><?xml version="1.0" encoding="utf-8"?>
<ds:datastoreItem xmlns:ds="http://schemas.openxmlformats.org/officeDocument/2006/customXml" ds:itemID="{A6DAD886-F2A9-41F3-967A-78A1E961F78D}"/>
</file>

<file path=customXml/itemProps4.xml><?xml version="1.0" encoding="utf-8"?>
<ds:datastoreItem xmlns:ds="http://schemas.openxmlformats.org/officeDocument/2006/customXml" ds:itemID="{8119E6F8-CB41-48E5-864E-61AC0ED882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Avoided Costs Summary</vt:lpstr>
      <vt:lpstr>Commodity Costs Avoided Detail</vt:lpstr>
      <vt:lpstr>Greenhouse Gas Costs Avoided De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Bracken, Ryan</dc:creator>
  <cp:lastModifiedBy>Bracken, Ryan</cp:lastModifiedBy>
  <dcterms:created xsi:type="dcterms:W3CDTF">2019-11-15T20:54:27Z</dcterms:created>
  <dcterms:modified xsi:type="dcterms:W3CDTF">2022-09-15T11:07:58Z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0x0101006E56B4D1795A2E4DB2F0B01679ED314A0086837F87FE21B34D9D63DA5118681A0B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