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7\2017_ WA Elec and Gas GRC\Rebuttal Testimony &amp; Exhibits\McKenzie\WP\"/>
    </mc:Choice>
  </mc:AlternateContent>
  <bookViews>
    <workbookView xWindow="0" yWindow="0" windowWidth="23850" windowHeight="9060" tabRatio="715"/>
  </bookViews>
  <sheets>
    <sheet name="Reb Figure 1" sheetId="25" r:id="rId1"/>
    <sheet name="Reb Figure 2" sheetId="26" r:id="rId2"/>
    <sheet name="Reb Figure 3" sheetId="29" r:id="rId3"/>
    <sheet name="AMM-15" sheetId="4" r:id="rId4"/>
    <sheet name="AMM-16" sheetId="24" r:id="rId5"/>
    <sheet name="AMM-17 (1)" sheetId="20" r:id="rId6"/>
    <sheet name="AMM-17 (2)" sheetId="21" r:id="rId7"/>
    <sheet name="AMM-17 (3)" sheetId="22" r:id="rId8"/>
    <sheet name="AMM-17 (4)" sheetId="23" r:id="rId9"/>
    <sheet name="Bond Yields" sheetId="27" r:id="rId10"/>
  </sheets>
  <definedNames>
    <definedName name="__________bb" hidden="1">#REF!</definedName>
    <definedName name="__________sort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BB" hidden="1">#REF!</definedName>
    <definedName name="__key1" hidden="1">#REF!</definedName>
    <definedName name="__Sort" hidden="1">#REF!</definedName>
    <definedName name="__Sort1" hidden="1">#REF!</definedName>
    <definedName name="_1Q_0_Regressio" hidden="1">#REF!</definedName>
    <definedName name="_2S_0_Regressio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Key1" localSheetId="4" hidden="1">#REF!</definedName>
    <definedName name="_Key1" localSheetId="2" hidden="1">#REF!</definedName>
    <definedName name="_Key1" hidden="1">#REF!</definedName>
    <definedName name="_Key11" hidden="1">#REF!</definedName>
    <definedName name="_Key2" localSheetId="4" hidden="1">#REF!</definedName>
    <definedName name="_Key2" localSheetId="2" hidden="1">#REF!</definedName>
    <definedName name="_Key2" hidden="1">#REF!</definedName>
    <definedName name="_lslkdjf" hidden="1">#REF!</definedName>
    <definedName name="_new23" localSheetId="9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9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9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9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9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9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9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9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9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9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4" hidden="1">#REF!</definedName>
    <definedName name="_Regression_Out" localSheetId="9" hidden="1">#REF!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2" hidden="1">#REF!</definedName>
    <definedName name="_Regression_X" hidden="1">#REF!</definedName>
    <definedName name="_Regression_Y" localSheetId="4" hidden="1">#REF!</definedName>
    <definedName name="_Regression_Y" localSheetId="2" hidden="1">#REF!</definedName>
    <definedName name="_Regression_Y" hidden="1">#REF!</definedName>
    <definedName name="_Sort" localSheetId="4" hidden="1">#REF!</definedName>
    <definedName name="_Sort" localSheetId="2" hidden="1">#REF!</definedName>
    <definedName name="_Sort" hidden="1">#REF!</definedName>
    <definedName name="_sort2" hidden="1">#REF!</definedName>
    <definedName name="aedf" hidden="1">#REF!</definedName>
    <definedName name="aewc12" hidden="1">#REF!</definedName>
    <definedName name="ajw2n" hidden="1">#REF!</definedName>
    <definedName name="ap" hidden="1">#REF!</definedName>
    <definedName name="asd" hidden="1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l" hidden="1">#REF!</definedName>
    <definedName name="bnca" hidden="1">#REF!</definedName>
    <definedName name="bned" hidden="1">#REF!</definedName>
    <definedName name="borst" hidden="1">#REF!</definedName>
    <definedName name="ca" hidden="1">#REF!</definedName>
    <definedName name="cbwe" hidden="1">#REF!</definedName>
    <definedName name="chj" hidden="1">#REF!</definedName>
    <definedName name="Common" localSheetId="9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ver" hidden="1">#REF!</definedName>
    <definedName name="cvdsza" hidden="1">#REF!</definedName>
    <definedName name="d" hidden="1">#REF!</definedName>
    <definedName name="da3a" hidden="1">#REF!</definedName>
    <definedName name="DATA">#N/A</definedName>
    <definedName name="db" hidden="1">#REF!</definedName>
    <definedName name="dfghj" hidden="1">#REF!</definedName>
    <definedName name="dfl" hidden="1">#REF!</definedName>
    <definedName name="dle" hidden="1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cao" hidden="1">#REF!</definedName>
    <definedName name="ecsaop" hidden="1">#REF!</definedName>
    <definedName name="ert" hidden="1">#REF!</definedName>
    <definedName name="ertyu" hidden="1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dv" hidden="1">#REF!</definedName>
    <definedName name="fff" hidden="1">#REF!</definedName>
    <definedName name="ffffff" hidden="1">#REF!</definedName>
    <definedName name="ffkf" hidden="1">#REF!</definedName>
    <definedName name="fkfkf" hidden="1">#REF!</definedName>
    <definedName name="fpfl" hidden="1">#REF!</definedName>
    <definedName name="fvgbn" hidden="1">#REF!</definedName>
    <definedName name="gfhj" hidden="1">#REF!</definedName>
    <definedName name="gggggg" hidden="1">#REF!</definedName>
    <definedName name="ghjk" hidden="1">#REF!</definedName>
    <definedName name="got" hidden="1">#REF!</definedName>
    <definedName name="Header">'AMM-17 (4)'!$A$61</definedName>
    <definedName name="hhhhh" hidden="1">#REF!</definedName>
    <definedName name="HTML_CodePage" hidden="1">1252</definedName>
    <definedName name="HTML_Control" localSheetId="4" hidden="1">{"'Sheet1'!$A$1:$O$40"}</definedName>
    <definedName name="HTML_Control" localSheetId="9" hidden="1">{"'Sheet1'!$A$1:$O$40"}</definedName>
    <definedName name="HTML_Control" localSheetId="1" hidden="1">{"'Sheet1'!$A$1:$O$40"}</definedName>
    <definedName name="HTML_Control" localSheetId="2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hidden="1">#REF!</definedName>
    <definedName name="iuyt" hidden="1">#REF!</definedName>
    <definedName name="j" hidden="1">#REF!</definedName>
    <definedName name="jdn" hidden="1">#REF!</definedName>
    <definedName name="je" localSheetId="9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jhlkqFL" localSheetId="4" hidden="1">{"'Sheet1'!$A$1:$O$40"}</definedName>
    <definedName name="jhlkqFL" localSheetId="9" hidden="1">{"'Sheet1'!$A$1:$O$40"}</definedName>
    <definedName name="jhlkqFL" localSheetId="1" hidden="1">{"'Sheet1'!$A$1:$O$40"}</definedName>
    <definedName name="jhlkqFL" localSheetId="2" hidden="1">{"'Sheet1'!$A$1:$O$40"}</definedName>
    <definedName name="jhlkqFL" hidden="1">{"'Sheet1'!$A$1:$O$40"}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ADA" localSheetId="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#N/A</definedName>
    <definedName name="namefield" hidden="1">#REF!</definedName>
    <definedName name="naow" hidden="1">#REF!</definedName>
    <definedName name="nbeo" hidden="1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p" hidden="1">#REF!</definedName>
    <definedName name="noipx" hidden="1">#REF!</definedName>
    <definedName name="NONE" localSheetId="9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o" hidden="1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vwe" hidden="1">#REF!</definedName>
    <definedName name="peqafd" hidden="1">#REF!</definedName>
    <definedName name="PERO" localSheetId="9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uac" hidden="1">#REF!</definedName>
    <definedName name="pouce" hidden="1">#REF!</definedName>
    <definedName name="povrs" hidden="1">#REF!</definedName>
    <definedName name="pppppppp" hidden="1">#REF!</definedName>
    <definedName name="_xlnm.Print_Area" localSheetId="3">'AMM-15'!$A$1:$G$52</definedName>
    <definedName name="_xlnm.Print_Area" localSheetId="4">'AMM-16'!$A$1:$L$58</definedName>
    <definedName name="_xlnm.Print_Area" localSheetId="5">'AMM-17 (1)'!$A$1:$G$62</definedName>
    <definedName name="_xlnm.Print_Area" localSheetId="6">'AMM-17 (2)'!$A$1:$I$45</definedName>
    <definedName name="_xlnm.Print_Area" localSheetId="7">'AMM-17 (3)'!$A$1:$G$63</definedName>
    <definedName name="_xlnm.Print_Area" localSheetId="8">'AMM-17 (4)'!$A$1:$I$45</definedName>
    <definedName name="pslf" hidden="1">#REF!</definedName>
    <definedName name="psrfdgl" hidden="1">#REF!</definedName>
    <definedName name="pwe" hidden="1">#REF!</definedName>
    <definedName name="qaw" hidden="1">#REF!</definedName>
    <definedName name="qwr" hidden="1">#REF!</definedName>
    <definedName name="repeat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localSheetId="9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rtyui" hidden="1">#REF!</definedName>
    <definedName name="rtyuiop" hidden="1">#REF!</definedName>
    <definedName name="S" hidden="1">#REF!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vw" hidden="1">#REF!</definedName>
    <definedName name="sfdv" hidden="1">#REF!</definedName>
    <definedName name="SI" localSheetId="9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sdo" hidden="1">#REF!</definedName>
    <definedName name="sssset" hidden="1">#REF!</definedName>
    <definedName name="sv" hidden="1">#REF!</definedName>
    <definedName name="svfdv" hidden="1">#REF!</definedName>
    <definedName name="swae" hidden="1">#REF!</definedName>
    <definedName name="TableName">"Dummy"</definedName>
    <definedName name="tttt" hidden="1">#REF!</definedName>
    <definedName name="tw" hidden="1">#REF!</definedName>
    <definedName name="wepfo" hidden="1">#REF!</definedName>
    <definedName name="willdo" hidden="1">#REF!</definedName>
    <definedName name="wrn.agexpense." localSheetId="9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9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9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9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9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9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printtable1." localSheetId="9" hidden="1">{"print1",#N/A,FALSE,"D21CUSTS"}</definedName>
    <definedName name="wrn.printtable1." hidden="1">{"print1",#N/A,FALSE,"D21CUSTS"}</definedName>
    <definedName name="wrn.printtable2." localSheetId="9" hidden="1">{"print2",#N/A,FALSE,"D21CUSTS"}</definedName>
    <definedName name="wrn.printtable2." hidden="1">{"print2",#N/A,FALSE,"D21CUSTS"}</definedName>
    <definedName name="wrn.printtable3." localSheetId="9" hidden="1">{"print3",#N/A,FALSE,"D21CUSTS"}</definedName>
    <definedName name="wrn.printtable3." hidden="1">{"print3",#N/A,FALSE,"D21CUSTS"}</definedName>
    <definedName name="wrn.printtable4." localSheetId="9" hidden="1">{"print4",#N/A,FALSE,"D21CUSTS"}</definedName>
    <definedName name="wrn.printtable4." hidden="1">{"print4",#N/A,FALSE,"D21CUSTS"}</definedName>
    <definedName name="wrn.Projected._.Def._.Adjustments." localSheetId="9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localSheetId="9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xxx" localSheetId="4" hidden="1">{"'Sheet1'!$A$1:$O$40"}</definedName>
    <definedName name="xxx" localSheetId="9" hidden="1">{"'Sheet1'!$A$1:$O$40"}</definedName>
    <definedName name="xxx" localSheetId="1" hidden="1">{"'Sheet1'!$A$1:$O$40"}</definedName>
    <definedName name="xxx" localSheetId="2" hidden="1">{"'Sheet1'!$A$1:$O$40"}</definedName>
    <definedName name="xxx" hidden="1">{"'Sheet1'!$A$1:$O$40"}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yyyyy" hidden="1">#REF!</definedName>
    <definedName name="zdcw" hidden="1">#REF!</definedName>
    <definedName name="zj" hidden="1">#REF!</definedName>
    <definedName name="znh" hidden="1">#REF!</definedName>
    <definedName name="zxcvb" hidden="1">#REF!</definedName>
    <definedName name="zxd" hidden="1">#REF!</definedName>
    <definedName name="ZZ_EVCOMOPTS" hidden="1">10</definedName>
    <definedName name="zzz" localSheetId="4" hidden="1">{"'Sheet1'!$A$1:$O$40"}</definedName>
    <definedName name="zzz" localSheetId="9" hidden="1">{"'Sheet1'!$A$1:$O$40"}</definedName>
    <definedName name="zzz" localSheetId="1" hidden="1">{"'Sheet1'!$A$1:$O$40"}</definedName>
    <definedName name="zzz" localSheetId="2" hidden="1">{"'Sheet1'!$A$1:$O$40"}</definedName>
    <definedName name="zzz" hidden="1">{"'Sheet1'!$A$1:$O$40"}</definedName>
  </definedNames>
  <calcPr calcId="152511" calcMode="manual"/>
</workbook>
</file>

<file path=xl/calcChain.xml><?xml version="1.0" encoding="utf-8"?>
<calcChain xmlns="http://schemas.openxmlformats.org/spreadsheetml/2006/main">
  <c r="C53" i="29" l="1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E39" i="22" l="1"/>
  <c r="G39" i="22" s="1"/>
  <c r="E40" i="22"/>
  <c r="G39" i="20" l="1"/>
  <c r="I13" i="27" l="1"/>
  <c r="I12" i="27"/>
  <c r="I11" i="27"/>
  <c r="I10" i="27"/>
  <c r="I9" i="27"/>
  <c r="J35" i="26" l="1"/>
  <c r="I35" i="26"/>
  <c r="H35" i="26"/>
  <c r="G35" i="26"/>
  <c r="F35" i="26"/>
  <c r="J34" i="26"/>
  <c r="I34" i="26"/>
  <c r="H34" i="26"/>
  <c r="G34" i="26"/>
  <c r="J33" i="26"/>
  <c r="I33" i="26"/>
  <c r="H33" i="26"/>
  <c r="G33" i="26"/>
  <c r="J32" i="26"/>
  <c r="I32" i="26"/>
  <c r="H32" i="26"/>
  <c r="G32" i="26"/>
  <c r="F32" i="26"/>
  <c r="E31" i="26"/>
  <c r="C26" i="26"/>
  <c r="C25" i="26"/>
  <c r="C24" i="26"/>
  <c r="C23" i="26"/>
  <c r="G81" i="27"/>
  <c r="G80" i="27"/>
  <c r="M68" i="27"/>
  <c r="E30" i="27" s="1"/>
  <c r="O30" i="27" s="1"/>
  <c r="M67" i="27"/>
  <c r="C64" i="27"/>
  <c r="F34" i="26" s="1"/>
  <c r="C59" i="27"/>
  <c r="F33" i="26" s="1"/>
  <c r="M58" i="27"/>
  <c r="M57" i="27"/>
  <c r="C54" i="27"/>
  <c r="B46" i="27"/>
  <c r="B44" i="27"/>
  <c r="B43" i="27"/>
  <c r="E29" i="27"/>
  <c r="O29" i="27" s="1"/>
  <c r="O27" i="27"/>
  <c r="O16" i="27"/>
  <c r="E34" i="26" s="1"/>
  <c r="M16" i="27"/>
  <c r="E32" i="26" s="1"/>
  <c r="K16" i="27"/>
  <c r="G16" i="27"/>
  <c r="E35" i="26" s="1"/>
  <c r="L35" i="26" s="1"/>
  <c r="E16" i="27"/>
  <c r="C16" i="27"/>
  <c r="I14" i="27"/>
  <c r="I16" i="27" s="1"/>
  <c r="M59" i="27" l="1"/>
  <c r="G82" i="27"/>
  <c r="M60" i="27"/>
  <c r="L34" i="26"/>
  <c r="K17" i="27"/>
  <c r="I17" i="27"/>
  <c r="O37" i="27" s="1"/>
  <c r="C17" i="27"/>
  <c r="E37" i="27" s="1"/>
  <c r="E17" i="27"/>
  <c r="E33" i="27" s="1"/>
  <c r="L32" i="26"/>
  <c r="E33" i="26"/>
  <c r="L33" i="26" s="1"/>
  <c r="O31" i="27"/>
  <c r="O39" i="27" s="1"/>
  <c r="E31" i="27"/>
  <c r="P22" i="24"/>
  <c r="S22" i="24"/>
  <c r="P23" i="24"/>
  <c r="S23" i="24"/>
  <c r="S21" i="24"/>
  <c r="P21" i="24"/>
  <c r="E20" i="24"/>
  <c r="S19" i="24"/>
  <c r="P19" i="24"/>
  <c r="E18" i="24"/>
  <c r="S17" i="24"/>
  <c r="P17" i="24"/>
  <c r="E16" i="24"/>
  <c r="E14" i="24"/>
  <c r="E13" i="24"/>
  <c r="E12" i="24"/>
  <c r="E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9" i="2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30" i="4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B55" i="24"/>
  <c r="F61" i="24"/>
  <c r="D61" i="24"/>
  <c r="F60" i="24"/>
  <c r="D60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T39" i="24" s="1"/>
  <c r="H39" i="24" s="1"/>
  <c r="K39" i="24" s="1"/>
  <c r="S38" i="24"/>
  <c r="S37" i="24"/>
  <c r="S36" i="24"/>
  <c r="S34" i="24"/>
  <c r="T34" i="24" s="1"/>
  <c r="H34" i="24" s="1"/>
  <c r="H9" i="24" s="1"/>
  <c r="P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34" i="24"/>
  <c r="K9" i="24" l="1"/>
  <c r="L36" i="26"/>
  <c r="E39" i="27"/>
  <c r="E35" i="27"/>
  <c r="T17" i="24"/>
  <c r="H17" i="24" s="1"/>
  <c r="K17" i="24" s="1"/>
  <c r="T23" i="24"/>
  <c r="H23" i="24" s="1"/>
  <c r="T22" i="24"/>
  <c r="H22" i="24" s="1"/>
  <c r="K22" i="24" s="1"/>
  <c r="T21" i="24"/>
  <c r="H21" i="24" s="1"/>
  <c r="K21" i="24" s="1"/>
  <c r="T19" i="24"/>
  <c r="H19" i="24" s="1"/>
  <c r="K19" i="24" s="1"/>
  <c r="T50" i="24"/>
  <c r="H50" i="24" s="1"/>
  <c r="K50" i="24" s="1"/>
  <c r="T49" i="24"/>
  <c r="H49" i="24" s="1"/>
  <c r="T48" i="24"/>
  <c r="H48" i="24" s="1"/>
  <c r="K48" i="24" s="1"/>
  <c r="T47" i="24"/>
  <c r="H47" i="24" s="1"/>
  <c r="T46" i="24"/>
  <c r="H46" i="24" s="1"/>
  <c r="T45" i="24"/>
  <c r="H45" i="24" s="1"/>
  <c r="H15" i="24" s="1"/>
  <c r="T44" i="24"/>
  <c r="H44" i="24" s="1"/>
  <c r="T43" i="24"/>
  <c r="H43" i="24" s="1"/>
  <c r="K43" i="24" s="1"/>
  <c r="T42" i="24"/>
  <c r="H42" i="24" s="1"/>
  <c r="T41" i="24"/>
  <c r="H41" i="24" s="1"/>
  <c r="K41" i="24" s="1"/>
  <c r="T40" i="24"/>
  <c r="H40" i="24" s="1"/>
  <c r="K40" i="24" s="1"/>
  <c r="T38" i="24"/>
  <c r="H38" i="24" s="1"/>
  <c r="K38" i="24" s="1"/>
  <c r="T37" i="24"/>
  <c r="H37" i="24" s="1"/>
  <c r="T36" i="24"/>
  <c r="H36" i="24" s="1"/>
  <c r="K36" i="24" s="1"/>
  <c r="E20" i="4"/>
  <c r="E19" i="4"/>
  <c r="E17" i="4"/>
  <c r="E15" i="4"/>
  <c r="E14" i="4"/>
  <c r="E12" i="4"/>
  <c r="E10" i="4"/>
  <c r="E9" i="4"/>
  <c r="E8" i="4"/>
  <c r="E6" i="4"/>
  <c r="E45" i="4"/>
  <c r="E41" i="4"/>
  <c r="E13" i="4" s="1"/>
  <c r="E39" i="4"/>
  <c r="E11" i="4" s="1"/>
  <c r="E38" i="4"/>
  <c r="E35" i="4"/>
  <c r="E31" i="4"/>
  <c r="E30" i="4"/>
  <c r="K47" i="24" l="1"/>
  <c r="H18" i="24"/>
  <c r="K18" i="24" s="1"/>
  <c r="K44" i="24"/>
  <c r="H14" i="24"/>
  <c r="K14" i="24" s="1"/>
  <c r="K49" i="24"/>
  <c r="H20" i="24"/>
  <c r="K20" i="24" s="1"/>
  <c r="K37" i="24"/>
  <c r="H12" i="24"/>
  <c r="K12" i="24" s="1"/>
  <c r="K42" i="24"/>
  <c r="H13" i="24"/>
  <c r="K13" i="24" s="1"/>
  <c r="K46" i="24"/>
  <c r="H16" i="24"/>
  <c r="K16" i="24" s="1"/>
  <c r="E49" i="4"/>
  <c r="C6" i="25" s="1"/>
  <c r="H61" i="24"/>
  <c r="H60" i="24"/>
  <c r="D47" i="4"/>
  <c r="F22" i="4"/>
  <c r="F47" i="4"/>
  <c r="E48" i="4" s="1"/>
  <c r="D22" i="4"/>
  <c r="E23" i="4" l="1"/>
  <c r="E24" i="4"/>
  <c r="B6" i="25" s="1"/>
  <c r="S11" i="24" l="1"/>
  <c r="P11" i="24"/>
  <c r="T11" i="24" l="1"/>
  <c r="H11" i="24" s="1"/>
  <c r="K11" i="24" s="1"/>
  <c r="G40" i="22" l="1"/>
  <c r="C41" i="22"/>
  <c r="E41" i="20" l="1"/>
  <c r="C41" i="20"/>
  <c r="G40" i="20"/>
  <c r="E45" i="24" l="1"/>
  <c r="K45" i="24" l="1"/>
  <c r="E15" i="24"/>
  <c r="K15" i="24" s="1"/>
  <c r="K60" i="24"/>
  <c r="K61" i="24"/>
  <c r="S35" i="24"/>
  <c r="A34" i="24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T35" i="24" l="1"/>
  <c r="H35" i="24" s="1"/>
  <c r="K35" i="24" s="1"/>
  <c r="A9" i="24" l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S10" i="24" l="1"/>
  <c r="P10" i="24"/>
  <c r="A55" i="22"/>
  <c r="A55" i="20"/>
  <c r="K34" i="24" l="1"/>
  <c r="K52" i="24" s="1"/>
  <c r="E7" i="25" s="1"/>
  <c r="K23" i="24"/>
  <c r="T10" i="24"/>
  <c r="H10" i="24" s="1"/>
  <c r="K10" i="24" s="1"/>
  <c r="E9" i="22"/>
  <c r="E10" i="22"/>
  <c r="G10" i="22" s="1"/>
  <c r="E11" i="22"/>
  <c r="G11" i="22" s="1"/>
  <c r="E12" i="22"/>
  <c r="G12" i="22" s="1"/>
  <c r="E13" i="22"/>
  <c r="G13" i="22" s="1"/>
  <c r="E14" i="22"/>
  <c r="G14" i="22" s="1"/>
  <c r="E15" i="22"/>
  <c r="G15" i="22" s="1"/>
  <c r="E16" i="22"/>
  <c r="G16" i="22" s="1"/>
  <c r="E17" i="22"/>
  <c r="G17" i="22" s="1"/>
  <c r="E18" i="22"/>
  <c r="G18" i="22" s="1"/>
  <c r="E19" i="22"/>
  <c r="G19" i="22" s="1"/>
  <c r="E20" i="22"/>
  <c r="G20" i="22" s="1"/>
  <c r="E21" i="22"/>
  <c r="G21" i="22" s="1"/>
  <c r="E22" i="22"/>
  <c r="G22" i="22" s="1"/>
  <c r="E23" i="22"/>
  <c r="G23" i="22" s="1"/>
  <c r="E24" i="22"/>
  <c r="E25" i="22"/>
  <c r="G25" i="22" s="1"/>
  <c r="E26" i="22"/>
  <c r="G26" i="22" s="1"/>
  <c r="E27" i="22"/>
  <c r="G27" i="22" s="1"/>
  <c r="E28" i="22"/>
  <c r="G28" i="22" s="1"/>
  <c r="E29" i="22"/>
  <c r="G29" i="22" s="1"/>
  <c r="E30" i="22"/>
  <c r="G30" i="22" s="1"/>
  <c r="E31" i="22"/>
  <c r="G31" i="22" s="1"/>
  <c r="E32" i="22"/>
  <c r="G32" i="22" s="1"/>
  <c r="E33" i="22"/>
  <c r="G33" i="22" s="1"/>
  <c r="E34" i="22"/>
  <c r="G34" i="22" s="1"/>
  <c r="E35" i="22"/>
  <c r="G35" i="22" s="1"/>
  <c r="E36" i="22"/>
  <c r="G36" i="22" s="1"/>
  <c r="E37" i="22"/>
  <c r="G37" i="22" s="1"/>
  <c r="E38" i="22"/>
  <c r="G38" i="22" s="1"/>
  <c r="G45" i="22"/>
  <c r="G46" i="22" s="1"/>
  <c r="G48" i="22"/>
  <c r="G55" i="22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45" i="20"/>
  <c r="G46" i="20" s="1"/>
  <c r="G48" i="20"/>
  <c r="G55" i="20"/>
  <c r="G9" i="22" l="1"/>
  <c r="E41" i="22"/>
  <c r="G41" i="20"/>
  <c r="G51" i="20" s="1"/>
  <c r="G49" i="22"/>
  <c r="G52" i="22" s="1"/>
  <c r="G49" i="20"/>
  <c r="G52" i="20" s="1"/>
  <c r="G24" i="22"/>
  <c r="G41" i="22" l="1"/>
  <c r="G51" i="22" s="1"/>
  <c r="G53" i="22" s="1"/>
  <c r="G57" i="22" s="1"/>
  <c r="G53" i="20"/>
  <c r="G57" i="20" s="1"/>
  <c r="K25" i="24" l="1"/>
  <c r="D7" i="25" s="1"/>
</calcChain>
</file>

<file path=xl/sharedStrings.xml><?xml version="1.0" encoding="utf-8"?>
<sst xmlns="http://schemas.openxmlformats.org/spreadsheetml/2006/main" count="374" uniqueCount="235">
  <si>
    <t>Equity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</si>
  <si>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</si>
  <si>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</si>
  <si>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</si>
  <si>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</si>
  <si>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</si>
  <si>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</si>
  <si>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</si>
  <si>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</si>
  <si>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</si>
  <si>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</si>
  <si>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</si>
  <si>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</si>
  <si>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</si>
  <si>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</si>
  <si>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</si>
  <si>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</si>
  <si>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</si>
  <si>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</si>
  <si>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</si>
  <si>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</si>
  <si>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</si>
  <si>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</si>
  <si>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</si>
  <si>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</si>
  <si>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</si>
  <si>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Allowed</t>
  </si>
  <si>
    <t>Page 1 of 1</t>
  </si>
  <si>
    <t>ALLOWED ROE</t>
  </si>
  <si>
    <t>Company</t>
  </si>
  <si>
    <t xml:space="preserve">   Average</t>
  </si>
  <si>
    <t>(a)</t>
  </si>
  <si>
    <t>(b)</t>
  </si>
  <si>
    <t>(c)</t>
  </si>
  <si>
    <t>Adjustment</t>
  </si>
  <si>
    <t>Chg</t>
  </si>
  <si>
    <t>Factor</t>
  </si>
  <si>
    <t>Eq Ratio</t>
  </si>
  <si>
    <t>Tot Cap</t>
  </si>
  <si>
    <t>Com Eq</t>
  </si>
  <si>
    <t>Computed using the formula 2*(1+5-Yr. Change in Equity)/(2+5 Yr. Change in Equity).</t>
  </si>
  <si>
    <t>Average</t>
  </si>
  <si>
    <t>Avista Corp.</t>
  </si>
  <si>
    <t>Avista/xxx, Schedule AMM-x</t>
  </si>
  <si>
    <t xml:space="preserve">Company </t>
  </si>
  <si>
    <t>Alliant Energy</t>
  </si>
  <si>
    <t>Sempra Energy</t>
  </si>
  <si>
    <t>AVERAGE</t>
  </si>
  <si>
    <t>INDICATED COST OF EQUITY</t>
  </si>
  <si>
    <t>Header:</t>
  </si>
  <si>
    <t>Page 1 of 4</t>
  </si>
  <si>
    <t>Page 2 of 4</t>
  </si>
  <si>
    <t>Page 3 of 4</t>
  </si>
  <si>
    <t>Page 4 of 4</t>
  </si>
  <si>
    <t>Average Treasury Bond Yield Over Study Period</t>
  </si>
  <si>
    <t>Change in Bond Yield</t>
  </si>
  <si>
    <t>Average Risk Premium Over Study Period</t>
  </si>
  <si>
    <t>Interest Rate Adjustment</t>
  </si>
  <si>
    <t xml:space="preserve">   Adjusted Equity Risk Premium</t>
  </si>
  <si>
    <t>Implied Cost of Equity</t>
  </si>
  <si>
    <t>Projected Treasury Bond Yield (b)</t>
  </si>
  <si>
    <t>Treasury</t>
  </si>
  <si>
    <t>Bond Yield</t>
  </si>
  <si>
    <t>Authorized</t>
  </si>
  <si>
    <t>Returns</t>
  </si>
  <si>
    <t>Indicated</t>
  </si>
  <si>
    <t>Risk</t>
  </si>
  <si>
    <t>Premium</t>
  </si>
  <si>
    <t>IMPLIED COST OF EQUITY</t>
  </si>
  <si>
    <t>Risk Premium/Interest Rate Coefficient (c)</t>
  </si>
  <si>
    <t>(c)  See regression data on page 2 of this Exhibit.</t>
  </si>
  <si>
    <t>REVISED GORMAN RISK PREMIUM</t>
  </si>
  <si>
    <t>TREASURY BOND YIELD</t>
  </si>
  <si>
    <t xml:space="preserve">   Adjustment to Study Period Risk Premium</t>
  </si>
  <si>
    <t>REGRESSION OUTPUT - TREASURY BOND YIELD</t>
  </si>
  <si>
    <t>Moody's "A" Rated</t>
  </si>
  <si>
    <t>Public Utility</t>
  </si>
  <si>
    <t>(c)  See regression data on page 4 of this Exhibit.</t>
  </si>
  <si>
    <t>UTILITY BOND YIELD</t>
  </si>
  <si>
    <t>REGRESSION OUTPUT - UTILITY BOND YIELD</t>
  </si>
  <si>
    <t>Mid-Year</t>
  </si>
  <si>
    <t>Expected Return</t>
  </si>
  <si>
    <t>Adjusted Return</t>
  </si>
  <si>
    <t>on Common Equity</t>
  </si>
  <si>
    <t>(a) x (b).</t>
  </si>
  <si>
    <t>EXPECTED EARNINGS APPROACH</t>
  </si>
  <si>
    <t>PARCELL PROXY GROUP</t>
  </si>
  <si>
    <t>ALLETE</t>
  </si>
  <si>
    <t>Black Hills Corp</t>
  </si>
  <si>
    <t>IDACORP</t>
  </si>
  <si>
    <t>NorthWestern Corp</t>
  </si>
  <si>
    <t>Pinnacle West Capital</t>
  </si>
  <si>
    <t>Portland General Corp</t>
  </si>
  <si>
    <t>ALLETE, Inc.</t>
  </si>
  <si>
    <t>Ameren Corporation</t>
  </si>
  <si>
    <t>CMS Energy Corporation</t>
  </si>
  <si>
    <t>DTE Energy Company</t>
  </si>
  <si>
    <t>Edison International</t>
  </si>
  <si>
    <t>El Paso Electric Company</t>
  </si>
  <si>
    <t>IDACORP, Inc.</t>
  </si>
  <si>
    <t>NorthWestern Corporation</t>
  </si>
  <si>
    <t>PG&amp;E Corporation</t>
  </si>
  <si>
    <t>Portland General Electric Company</t>
  </si>
  <si>
    <t>Electric</t>
  </si>
  <si>
    <t>Parcell Group</t>
  </si>
  <si>
    <t>Gas</t>
  </si>
  <si>
    <t>El Paso Electric Co.</t>
  </si>
  <si>
    <t>Hawaiian Electric Industries</t>
  </si>
  <si>
    <t>OGE Energy</t>
  </si>
  <si>
    <t>Otter Tail Corp</t>
  </si>
  <si>
    <t>PNM Resources</t>
  </si>
  <si>
    <t>SCANA Corp</t>
  </si>
  <si>
    <t>Vectren</t>
  </si>
  <si>
    <t>Avangrid, Inc.</t>
  </si>
  <si>
    <t>Black Hills Corporation</t>
  </si>
  <si>
    <t>Dominion Resources, Inc.</t>
  </si>
  <si>
    <t>Exelon Corporation</t>
  </si>
  <si>
    <t>Hawaiian Electric Industries, Inc.</t>
  </si>
  <si>
    <t>Otter Tail Corporation</t>
  </si>
  <si>
    <t>GORMAN/GARRETT PROXY GROUP</t>
  </si>
  <si>
    <t>NA</t>
  </si>
  <si>
    <t>Range of Reasonableness</t>
  </si>
  <si>
    <t xml:space="preserve">   Midpoint</t>
  </si>
  <si>
    <t>--</t>
  </si>
  <si>
    <t xml:space="preserve"> --------------  2016  -------------</t>
  </si>
  <si>
    <t xml:space="preserve"> --------------- 2021  -------------</t>
  </si>
  <si>
    <t>Min</t>
  </si>
  <si>
    <t>Max</t>
  </si>
  <si>
    <t>Outlier Min</t>
  </si>
  <si>
    <t>Outlier Max</t>
  </si>
  <si>
    <t>ROE (a)</t>
  </si>
  <si>
    <t>Company (b)</t>
  </si>
  <si>
    <t>The Value Line Investment Survey (Aug. 18, Sep. 15, &amp; Oct. 27, 2017).</t>
  </si>
  <si>
    <t>On July 19, 2017, Hydro One announced that it was acquiring Avista Corp.  For this reason, Mr. Gorman eliminated Avista from his proxy group and I assume that Mr. Garrett would do the same.</t>
  </si>
  <si>
    <t>Gorman/Garrett Group</t>
  </si>
  <si>
    <t>(d)</t>
  </si>
  <si>
    <t>Excludes highlighted values.</t>
  </si>
  <si>
    <t>Average (d)</t>
  </si>
  <si>
    <t>Source:</t>
  </si>
  <si>
    <t>Diff</t>
  </si>
  <si>
    <t>10-Yr. Treasury</t>
  </si>
  <si>
    <t>30-Yr. Treasury</t>
  </si>
  <si>
    <t>Aaa Corporate</t>
  </si>
  <si>
    <t>Aa Utility</t>
  </si>
  <si>
    <t>6-MONTH AVERAGE BOND YIELDS</t>
  </si>
  <si>
    <t>Public Utility Bonds</t>
  </si>
  <si>
    <t>30-Yr. Treas.</t>
  </si>
  <si>
    <t>10-Yr. Treas.</t>
  </si>
  <si>
    <t>Aaa Corp.</t>
  </si>
  <si>
    <t>Baa</t>
  </si>
  <si>
    <t>A</t>
  </si>
  <si>
    <t>Aa</t>
  </si>
  <si>
    <t>AVG.</t>
  </si>
  <si>
    <t>May</t>
  </si>
  <si>
    <t>Jun.</t>
  </si>
  <si>
    <t>Jul.</t>
  </si>
  <si>
    <t>Aug.</t>
  </si>
  <si>
    <t>Aa Spread</t>
  </si>
  <si>
    <t>(a)  Moody's Investors Service.</t>
  </si>
  <si>
    <t>http://www.fred.stlouisfed.org</t>
  </si>
  <si>
    <t>BOND YIELD FORECAST</t>
  </si>
  <si>
    <t>Baa Yield</t>
  </si>
  <si>
    <t>Average Utility</t>
  </si>
  <si>
    <t xml:space="preserve"> </t>
  </si>
  <si>
    <t>2018-22</t>
  </si>
  <si>
    <t>Projected Aa Utility Yield</t>
  </si>
  <si>
    <t>IHS Global Insight  (a)</t>
  </si>
  <si>
    <t>EIA  (b)</t>
  </si>
  <si>
    <t>Current A - AA Yield Spread  (c)</t>
  </si>
  <si>
    <t>Implied Single-A Utility Yield</t>
  </si>
  <si>
    <t>Current Baa - Aa Yield Spread  (c)</t>
  </si>
  <si>
    <t>Avg. - Aa Spread</t>
  </si>
  <si>
    <t>Implied Baa Utility Yield</t>
  </si>
  <si>
    <t>Implied Avg Yield</t>
  </si>
  <si>
    <t>Value Line (a)</t>
  </si>
  <si>
    <t>IHS Global Insight (b)</t>
  </si>
  <si>
    <t>EIA (c)</t>
  </si>
  <si>
    <t>Blue Chip (d)</t>
  </si>
  <si>
    <t>Value Line Investment Survey, Forecast for the U.S. Economy (Sep. 1, 2017)</t>
  </si>
  <si>
    <t>IHS Global Insight (Aug. 24, 2017)</t>
  </si>
  <si>
    <t>Energy Information Administration, Annual Energy Outlook 2017 (Jan. 5, 2017)</t>
  </si>
  <si>
    <t>Wolters Kluwer, Blue Chip Financial Forecasts, Vol. 36, No. 6 (Jun. 1, 2017)</t>
  </si>
  <si>
    <t>BLUE CHIP (Jun. 2017)</t>
  </si>
  <si>
    <t>1Q2017</t>
  </si>
  <si>
    <t>Chg.</t>
  </si>
  <si>
    <t>Aaa</t>
  </si>
  <si>
    <t>Sep.</t>
  </si>
  <si>
    <t>Oct. 2017</t>
  </si>
  <si>
    <t>2017(thru 2Q)</t>
  </si>
  <si>
    <t>Current Baa Utility Bond Yield (b)</t>
  </si>
  <si>
    <t>Average Utility Bond Yield Over Study Period</t>
  </si>
  <si>
    <t>Exhibit No.___(AMM-15)</t>
  </si>
  <si>
    <t>Exhibit No.___(AMM-16)</t>
  </si>
  <si>
    <t>Exhibit No.__(AMM-17)</t>
  </si>
  <si>
    <t>(b) Gorman Direct at 53.</t>
  </si>
  <si>
    <t>(a)  Exhibit No. MPG-16.</t>
  </si>
  <si>
    <t>(a)  Exhibit No. MPG-17.</t>
  </si>
  <si>
    <t>ELECTRIC UTILITY COMPANIES RANKED BY SIZE</t>
  </si>
  <si>
    <t>RISK INDICATORS</t>
  </si>
  <si>
    <t>CAP</t>
  </si>
  <si>
    <t>($000)</t>
  </si>
  <si>
    <t>COMPANY</t>
  </si>
  <si>
    <t>Value Line</t>
  </si>
  <si>
    <t>BETA</t>
  </si>
  <si>
    <t>MGE Energy Inc.</t>
  </si>
  <si>
    <t>NorthWestern</t>
  </si>
  <si>
    <t>Black Hills Corp.</t>
  </si>
  <si>
    <t>Portland General</t>
  </si>
  <si>
    <t>Great Plains Energy Inc.</t>
  </si>
  <si>
    <t>OGE Energy Corp.</t>
  </si>
  <si>
    <t>Westar Energy, Inc.</t>
  </si>
  <si>
    <t>Pinnacle West Capital Corp.</t>
  </si>
  <si>
    <t>CenterPoint Energy, Inc.</t>
  </si>
  <si>
    <t>SCANA Corp.</t>
  </si>
  <si>
    <t>Ameren Corp.</t>
  </si>
  <si>
    <t>CMS Energy Corp.</t>
  </si>
  <si>
    <t>Entergy Corp.</t>
  </si>
  <si>
    <t>FirstEnergy Corp.</t>
  </si>
  <si>
    <t>Eversource Energy</t>
  </si>
  <si>
    <t>WEC Energy Group</t>
  </si>
  <si>
    <t>Xcel Energy Inc.</t>
  </si>
  <si>
    <t>Consolidated Edison, Inc.</t>
  </si>
  <si>
    <t>Public Service Enterprise Group, Inc.</t>
  </si>
  <si>
    <t>PPL Corp</t>
  </si>
  <si>
    <t>PG&amp;E Corp.</t>
  </si>
  <si>
    <t>American Electric Power Company</t>
  </si>
  <si>
    <t>Exelon Corp.</t>
  </si>
  <si>
    <t>Dominion Resources</t>
  </si>
  <si>
    <t>Southern Company</t>
  </si>
  <si>
    <t>Duke Energy Corp.</t>
  </si>
  <si>
    <t>NextEra Energy, Inc.</t>
  </si>
  <si>
    <t>nmf</t>
  </si>
  <si>
    <t>Avangrid</t>
  </si>
  <si>
    <t>Fortis</t>
  </si>
  <si>
    <t>Source: Exhibit DCP-16.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</si>
</sst>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\ \ "/>
    <numFmt numFmtId="166" formatCode="0.0000"/>
    <numFmt numFmtId="167" formatCode="0.00_)"/>
    <numFmt numFmtId="168" formatCode="0.000000"/>
    <numFmt numFmtId="169" formatCode="0.0"/>
    <numFmt numFmtId="170" formatCode="_([$€-2]* #,##0.00_);_([$€-2]* \(#,##0.00\);_([$€-2]* &quot;-&quot;??_)"/>
    <numFmt numFmtId="171" formatCode="0_);\(0\)"/>
    <numFmt numFmtId="172" formatCode="_(* #,##0.0_);_(* \(#,##0.0\);_(* &quot;-&quot;??_);_(@_)"/>
  </numFmts>
  <fonts count="87" x14ac:knownFonts="1">
    <font>
      <sz val="11"/>
      <color theme="1"/>
      <name val="Palatino Linotype"/>
      <family val="2"/>
    </font>
    <font>
      <sz val="12"/>
      <color theme="1"/>
      <name val="Arial"/>
      <family val="2"/>
    </font>
    <font>
      <b/>
      <sz val="11"/>
      <color theme="1"/>
      <name val="Palatino Linotype"/>
      <family val="1"/>
    </font>
    <font>
      <b/>
      <u/>
      <sz val="11"/>
      <color theme="1"/>
      <name val="Palatino Linotype"/>
      <family val="1"/>
    </font>
    <font>
      <sz val="10"/>
      <color theme="1"/>
      <name val="Palatino Linotype"/>
      <family val="2"/>
    </font>
    <font>
      <sz val="10"/>
      <name val="Courier"/>
      <family val="3"/>
    </font>
    <font>
      <sz val="10"/>
      <name val="Palatino Linotype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Courier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9"/>
      <color indexed="8"/>
      <name val="Calibri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erif"/>
      <family val="1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Helv"/>
    </font>
    <font>
      <sz val="12"/>
      <name val="Verdana"/>
      <family val="2"/>
    </font>
    <font>
      <sz val="11"/>
      <color indexed="8"/>
      <name val="Arial"/>
      <family val="2"/>
    </font>
    <font>
      <sz val="11"/>
      <name val="Palatino Linotype"/>
      <family val="1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sz val="14"/>
      <color indexed="13"/>
      <name val="Helv"/>
    </font>
    <font>
      <b/>
      <sz val="18"/>
      <color indexed="56"/>
      <name val="Cambria"/>
      <family val="2"/>
    </font>
    <font>
      <b/>
      <sz val="9"/>
      <name val="Helv"/>
    </font>
    <font>
      <b/>
      <sz val="10"/>
      <name val="Palatino Linotype"/>
      <family val="1"/>
    </font>
    <font>
      <b/>
      <sz val="11"/>
      <name val="Palatino Linotype"/>
      <family val="1"/>
    </font>
    <font>
      <b/>
      <u/>
      <sz val="11"/>
      <name val="Palatino Linotype"/>
      <family val="1"/>
    </font>
    <font>
      <sz val="10"/>
      <name val="Arial"/>
      <family val="2"/>
    </font>
    <font>
      <i/>
      <sz val="11"/>
      <color theme="1"/>
      <name val="Palatino Linotype"/>
      <family val="2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1"/>
      <color theme="1"/>
      <name val="Palatino Linotype"/>
      <family val="2"/>
    </font>
    <font>
      <sz val="10"/>
      <name val="Times New Roman"/>
      <family val="1"/>
    </font>
    <font>
      <u/>
      <sz val="10"/>
      <name val="Times New Roman"/>
      <family val="1"/>
    </font>
    <font>
      <u/>
      <sz val="11"/>
      <name val="Palatino Linotype"/>
      <family val="1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Palatino Linotype"/>
      <family val="1"/>
    </font>
    <font>
      <sz val="9"/>
      <name val="Times New Roman"/>
      <family val="1"/>
    </font>
    <font>
      <sz val="12"/>
      <name val="Tms Rmn"/>
    </font>
    <font>
      <b/>
      <sz val="12"/>
      <name val="Tms Rmn"/>
    </font>
    <font>
      <sz val="12"/>
      <color indexed="13"/>
      <name val="Tms Rmn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49">
    <xf numFmtId="0" fontId="0" fillId="0" borderId="0"/>
    <xf numFmtId="0" fontId="5" fillId="0" borderId="0"/>
    <xf numFmtId="9" fontId="8" fillId="0" borderId="0" applyFont="0" applyFill="0" applyBorder="0" applyAlignment="0" applyProtection="0"/>
    <xf numFmtId="0" fontId="8" fillId="0" borderId="0"/>
    <xf numFmtId="44" fontId="12" fillId="0" borderId="0" applyFont="0" applyFill="0" applyBorder="0" applyAlignment="0" applyProtection="0"/>
    <xf numFmtId="0" fontId="11" fillId="0" borderId="0"/>
    <xf numFmtId="40" fontId="13" fillId="3" borderId="0">
      <alignment horizontal="right"/>
    </xf>
    <xf numFmtId="0" fontId="14" fillId="3" borderId="0">
      <alignment horizontal="right"/>
    </xf>
    <xf numFmtId="0" fontId="15" fillId="3" borderId="5"/>
    <xf numFmtId="0" fontId="15" fillId="0" borderId="0" applyBorder="0">
      <alignment horizontal="centerContinuous"/>
    </xf>
    <xf numFmtId="0" fontId="16" fillId="0" borderId="0" applyBorder="0">
      <alignment horizontal="centerContinuous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0" fontId="11" fillId="0" borderId="0"/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0" borderId="0">
      <alignment horizontal="center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6" applyNumberFormat="0" applyFont="0" applyProtection="0">
      <alignment wrapText="1"/>
    </xf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2" fillId="23" borderId="8" applyNumberFormat="0" applyAlignment="0" applyProtection="0"/>
    <xf numFmtId="0" fontId="22" fillId="23" borderId="8" applyNumberFormat="0" applyAlignment="0" applyProtection="0"/>
    <xf numFmtId="0" fontId="22" fillId="23" borderId="8" applyNumberFormat="0" applyAlignment="0" applyProtection="0"/>
    <xf numFmtId="0" fontId="22" fillId="23" borderId="8" applyNumberFormat="0" applyAlignment="0" applyProtection="0"/>
    <xf numFmtId="0" fontId="22" fillId="23" borderId="8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24" fillId="0" borderId="0"/>
    <xf numFmtId="0" fontId="24" fillId="0" borderId="9"/>
    <xf numFmtId="0" fontId="18" fillId="0" borderId="0" applyProtection="0"/>
    <xf numFmtId="170" fontId="11" fillId="0" borderId="0" applyFont="0" applyFill="0" applyBorder="0" applyAlignment="0" applyProtection="0"/>
    <xf numFmtId="1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Protection="0"/>
    <xf numFmtId="0" fontId="28" fillId="0" borderId="0" applyProtection="0"/>
    <xf numFmtId="0" fontId="29" fillId="0" borderId="0" applyProtection="0"/>
    <xf numFmtId="0" fontId="30" fillId="0" borderId="0" applyProtection="0"/>
    <xf numFmtId="0" fontId="31" fillId="0" borderId="0" applyProtection="0"/>
    <xf numFmtId="0" fontId="32" fillId="0" borderId="0" applyProtection="0"/>
    <xf numFmtId="0" fontId="33" fillId="0" borderId="0" applyProtection="0"/>
    <xf numFmtId="2" fontId="18" fillId="0" borderId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0" applyProtection="0"/>
    <xf numFmtId="0" fontId="11" fillId="0" borderId="0" applyNumberFormat="0" applyFill="0" applyBorder="0" applyProtection="0">
      <alignment wrapText="1"/>
    </xf>
    <xf numFmtId="0" fontId="10" fillId="24" borderId="0" applyNumberFormat="0" applyBorder="0" applyProtection="0">
      <alignment vertical="top" wrapText="1"/>
    </xf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40" fillId="9" borderId="7" applyNumberFormat="0" applyAlignment="0" applyProtection="0"/>
    <xf numFmtId="0" fontId="40" fillId="9" borderId="7" applyNumberFormat="0" applyAlignment="0" applyProtection="0"/>
    <xf numFmtId="0" fontId="40" fillId="9" borderId="7" applyNumberFormat="0" applyAlignment="0" applyProtection="0"/>
    <xf numFmtId="0" fontId="40" fillId="9" borderId="7" applyNumberFormat="0" applyAlignment="0" applyProtection="0"/>
    <xf numFmtId="0" fontId="40" fillId="9" borderId="7" applyNumberFormat="0" applyAlignment="0" applyProtection="0"/>
    <xf numFmtId="0" fontId="28" fillId="25" borderId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0"/>
    <xf numFmtId="0" fontId="11" fillId="0" borderId="0"/>
    <xf numFmtId="0" fontId="45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45" fillId="0" borderId="0"/>
    <xf numFmtId="0" fontId="45" fillId="0" borderId="0"/>
    <xf numFmtId="0" fontId="23" fillId="0" borderId="0"/>
    <xf numFmtId="0" fontId="11" fillId="0" borderId="0"/>
    <xf numFmtId="37" fontId="24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46" fillId="0" borderId="0"/>
    <xf numFmtId="0" fontId="7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18" fillId="0" borderId="0"/>
    <xf numFmtId="0" fontId="45" fillId="0" borderId="0"/>
    <xf numFmtId="0" fontId="11" fillId="0" borderId="0"/>
    <xf numFmtId="0" fontId="45" fillId="0" borderId="0"/>
    <xf numFmtId="0" fontId="18" fillId="0" borderId="0">
      <alignment vertical="top"/>
    </xf>
    <xf numFmtId="0" fontId="18" fillId="0" borderId="0">
      <alignment vertical="top"/>
    </xf>
    <xf numFmtId="0" fontId="11" fillId="0" borderId="0"/>
    <xf numFmtId="0" fontId="11" fillId="0" borderId="0"/>
    <xf numFmtId="0" fontId="11" fillId="0" borderId="0"/>
    <xf numFmtId="0" fontId="18" fillId="0" borderId="0">
      <alignment vertical="top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1" fillId="27" borderId="14" applyNumberFormat="0" applyFont="0" applyAlignment="0" applyProtection="0"/>
    <xf numFmtId="0" fontId="11" fillId="27" borderId="14" applyNumberFormat="0" applyFont="0" applyAlignment="0" applyProtection="0"/>
    <xf numFmtId="0" fontId="11" fillId="27" borderId="14" applyNumberFormat="0" applyFont="0" applyAlignment="0" applyProtection="0"/>
    <xf numFmtId="0" fontId="11" fillId="27" borderId="14" applyNumberFormat="0" applyFont="0" applyAlignment="0" applyProtection="0"/>
    <xf numFmtId="0" fontId="11" fillId="27" borderId="14" applyNumberFormat="0" applyFont="0" applyAlignment="0" applyProtection="0"/>
    <xf numFmtId="0" fontId="47" fillId="22" borderId="15" applyNumberFormat="0" applyAlignment="0" applyProtection="0"/>
    <xf numFmtId="0" fontId="47" fillId="22" borderId="15" applyNumberFormat="0" applyAlignment="0" applyProtection="0"/>
    <xf numFmtId="0" fontId="47" fillId="22" borderId="15" applyNumberFormat="0" applyAlignment="0" applyProtection="0"/>
    <xf numFmtId="0" fontId="47" fillId="22" borderId="15" applyNumberFormat="0" applyAlignment="0" applyProtection="0"/>
    <xf numFmtId="0" fontId="47" fillId="22" borderId="1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9" fillId="0" borderId="1">
      <alignment horizontal="center"/>
    </xf>
    <xf numFmtId="3" fontId="48" fillId="0" borderId="0" applyFont="0" applyFill="0" applyBorder="0" applyAlignment="0" applyProtection="0"/>
    <xf numFmtId="0" fontId="48" fillId="28" borderId="0" applyNumberFormat="0" applyFont="0" applyBorder="0" applyAlignment="0" applyProtection="0"/>
    <xf numFmtId="0" fontId="24" fillId="0" borderId="0"/>
    <xf numFmtId="4" fontId="9" fillId="26" borderId="16" applyNumberFormat="0" applyProtection="0">
      <alignment vertical="center"/>
    </xf>
    <xf numFmtId="4" fontId="50" fillId="2" borderId="16" applyNumberFormat="0" applyProtection="0">
      <alignment vertical="center"/>
    </xf>
    <xf numFmtId="4" fontId="9" fillId="2" borderId="16" applyNumberFormat="0" applyProtection="0">
      <alignment horizontal="left" vertical="center" indent="1"/>
    </xf>
    <xf numFmtId="0" fontId="9" fillId="2" borderId="16" applyNumberFormat="0" applyProtection="0">
      <alignment horizontal="left" vertical="top" indent="1"/>
    </xf>
    <xf numFmtId="4" fontId="9" fillId="29" borderId="0" applyNumberFormat="0" applyProtection="0">
      <alignment horizontal="left" vertical="center" indent="1"/>
    </xf>
    <xf numFmtId="4" fontId="7" fillId="5" borderId="16" applyNumberFormat="0" applyProtection="0">
      <alignment horizontal="right" vertical="center"/>
    </xf>
    <xf numFmtId="4" fontId="7" fillId="11" borderId="16" applyNumberFormat="0" applyProtection="0">
      <alignment horizontal="right" vertical="center"/>
    </xf>
    <xf numFmtId="4" fontId="7" fillId="19" borderId="16" applyNumberFormat="0" applyProtection="0">
      <alignment horizontal="right" vertical="center"/>
    </xf>
    <xf numFmtId="4" fontId="7" fillId="13" borderId="16" applyNumberFormat="0" applyProtection="0">
      <alignment horizontal="right" vertical="center"/>
    </xf>
    <xf numFmtId="4" fontId="7" fillId="17" borderId="16" applyNumberFormat="0" applyProtection="0">
      <alignment horizontal="right" vertical="center"/>
    </xf>
    <xf numFmtId="4" fontId="7" fillId="21" borderId="16" applyNumberFormat="0" applyProtection="0">
      <alignment horizontal="right" vertical="center"/>
    </xf>
    <xf numFmtId="4" fontId="7" fillId="20" borderId="16" applyNumberFormat="0" applyProtection="0">
      <alignment horizontal="right" vertical="center"/>
    </xf>
    <xf numFmtId="4" fontId="7" fillId="30" borderId="16" applyNumberFormat="0" applyProtection="0">
      <alignment horizontal="right" vertical="center"/>
    </xf>
    <xf numFmtId="4" fontId="7" fillId="12" borderId="16" applyNumberFormat="0" applyProtection="0">
      <alignment horizontal="right" vertical="center"/>
    </xf>
    <xf numFmtId="4" fontId="9" fillId="31" borderId="17" applyNumberFormat="0" applyProtection="0">
      <alignment horizontal="left" vertical="center" indent="1"/>
    </xf>
    <xf numFmtId="4" fontId="7" fillId="32" borderId="0" applyNumberFormat="0" applyProtection="0">
      <alignment horizontal="left" vertical="center" indent="1"/>
    </xf>
    <xf numFmtId="4" fontId="51" fillId="33" borderId="0" applyNumberFormat="0" applyProtection="0">
      <alignment horizontal="left" vertical="center" indent="1"/>
    </xf>
    <xf numFmtId="4" fontId="7" fillId="34" borderId="16" applyNumberFormat="0" applyProtection="0">
      <alignment horizontal="right" vertical="center"/>
    </xf>
    <xf numFmtId="4" fontId="7" fillId="32" borderId="0" applyNumberFormat="0" applyProtection="0">
      <alignment horizontal="left" vertical="center" indent="1"/>
    </xf>
    <xf numFmtId="4" fontId="7" fillId="29" borderId="0" applyNumberFormat="0" applyProtection="0">
      <alignment horizontal="left" vertical="center" indent="1"/>
    </xf>
    <xf numFmtId="0" fontId="11" fillId="33" borderId="16" applyNumberFormat="0" applyProtection="0">
      <alignment horizontal="left" vertical="center" indent="1"/>
    </xf>
    <xf numFmtId="0" fontId="11" fillId="33" borderId="16" applyNumberFormat="0" applyProtection="0">
      <alignment horizontal="left" vertical="top" indent="1"/>
    </xf>
    <xf numFmtId="0" fontId="11" fillId="29" borderId="16" applyNumberFormat="0" applyProtection="0">
      <alignment horizontal="left" vertical="center" indent="1"/>
    </xf>
    <xf numFmtId="0" fontId="11" fillId="29" borderId="16" applyNumberFormat="0" applyProtection="0">
      <alignment horizontal="left" vertical="top" indent="1"/>
    </xf>
    <xf numFmtId="0" fontId="11" fillId="35" borderId="16" applyNumberFormat="0" applyProtection="0">
      <alignment horizontal="left" vertical="center" indent="1"/>
    </xf>
    <xf numFmtId="0" fontId="11" fillId="35" borderId="16" applyNumberFormat="0" applyProtection="0">
      <alignment horizontal="left" vertical="top" indent="1"/>
    </xf>
    <xf numFmtId="0" fontId="11" fillId="36" borderId="16" applyNumberFormat="0" applyProtection="0">
      <alignment horizontal="left" vertical="center" indent="1"/>
    </xf>
    <xf numFmtId="0" fontId="11" fillId="36" borderId="16" applyNumberFormat="0" applyProtection="0">
      <alignment horizontal="left" vertical="top" indent="1"/>
    </xf>
    <xf numFmtId="4" fontId="7" fillId="37" borderId="16" applyNumberFormat="0" applyProtection="0">
      <alignment vertical="center"/>
    </xf>
    <xf numFmtId="4" fontId="52" fillId="37" borderId="16" applyNumberFormat="0" applyProtection="0">
      <alignment vertical="center"/>
    </xf>
    <xf numFmtId="4" fontId="7" fillId="37" borderId="16" applyNumberFormat="0" applyProtection="0">
      <alignment horizontal="left" vertical="center" indent="1"/>
    </xf>
    <xf numFmtId="0" fontId="7" fillId="37" borderId="16" applyNumberFormat="0" applyProtection="0">
      <alignment horizontal="left" vertical="top" indent="1"/>
    </xf>
    <xf numFmtId="4" fontId="7" fillId="32" borderId="16" applyNumberFormat="0" applyProtection="0">
      <alignment horizontal="right" vertical="center"/>
    </xf>
    <xf numFmtId="4" fontId="52" fillId="32" borderId="16" applyNumberFormat="0" applyProtection="0">
      <alignment horizontal="right" vertical="center"/>
    </xf>
    <xf numFmtId="4" fontId="7" fillId="34" borderId="16" applyNumberFormat="0" applyProtection="0">
      <alignment horizontal="left" vertical="center" indent="1"/>
    </xf>
    <xf numFmtId="0" fontId="7" fillId="29" borderId="16" applyNumberFormat="0" applyProtection="0">
      <alignment horizontal="left" vertical="top" indent="1"/>
    </xf>
    <xf numFmtId="4" fontId="53" fillId="38" borderId="0" applyNumberFormat="0" applyProtection="0">
      <alignment horizontal="left" vertical="center" indent="1"/>
    </xf>
    <xf numFmtId="4" fontId="54" fillId="32" borderId="16" applyNumberFormat="0" applyProtection="0">
      <alignment horizontal="right" vertical="center"/>
    </xf>
    <xf numFmtId="168" fontId="11" fillId="0" borderId="0">
      <alignment horizontal="left" wrapText="1"/>
    </xf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55" fillId="39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wrapText="1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wrapText="1"/>
    </xf>
    <xf numFmtId="0" fontId="57" fillId="3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>
      <alignment wrapText="1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>
      <alignment wrapText="1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Protection="0">
      <alignment horizontal="center"/>
    </xf>
    <xf numFmtId="0" fontId="58" fillId="4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1" fillId="24" borderId="0" applyNumberFormat="0" applyFont="0" applyBorder="0" applyAlignment="0" applyProtection="0"/>
    <xf numFmtId="166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11" fillId="0" borderId="1" applyNumberFormat="0" applyFont="0" applyFill="0" applyAlignment="0" applyProtection="0"/>
    <xf numFmtId="0" fontId="61" fillId="0" borderId="0" applyNumberFormat="0" applyBorder="0" applyAlignment="0"/>
    <xf numFmtId="0" fontId="62" fillId="0" borderId="0" applyNumberFormat="0" applyBorder="0" applyAlignment="0"/>
    <xf numFmtId="0" fontId="63" fillId="0" borderId="0" applyNumberFormat="0" applyBorder="0" applyAlignment="0"/>
    <xf numFmtId="0" fontId="63" fillId="0" borderId="0" applyNumberFormat="0" applyBorder="0" applyAlignment="0"/>
    <xf numFmtId="0" fontId="24" fillId="0" borderId="9"/>
    <xf numFmtId="0" fontId="64" fillId="41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66" fillId="0" borderId="20"/>
    <xf numFmtId="0" fontId="66" fillId="0" borderId="9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" fillId="0" borderId="0"/>
    <xf numFmtId="167" fontId="5" fillId="0" borderId="0"/>
    <xf numFmtId="0" fontId="24" fillId="0" borderId="0"/>
    <xf numFmtId="0" fontId="70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8" fillId="0" borderId="0" applyNumberFormat="0" applyFill="0" applyBorder="0" applyAlignment="0" applyProtection="0"/>
    <xf numFmtId="0" fontId="74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/>
    <xf numFmtId="43" fontId="18" fillId="0" borderId="0" applyFont="0" applyFill="0" applyBorder="0" applyAlignment="0" applyProtection="0"/>
    <xf numFmtId="0" fontId="84" fillId="0" borderId="0"/>
    <xf numFmtId="0" fontId="85" fillId="42" borderId="9"/>
    <xf numFmtId="0" fontId="84" fillId="0" borderId="0"/>
    <xf numFmtId="0" fontId="84" fillId="0" borderId="9"/>
    <xf numFmtId="0" fontId="86" fillId="41" borderId="0"/>
    <xf numFmtId="0" fontId="85" fillId="0" borderId="20"/>
    <xf numFmtId="0" fontId="85" fillId="0" borderId="9"/>
  </cellStyleXfs>
  <cellXfs count="248">
    <xf numFmtId="0" fontId="0" fillId="0" borderId="0" xfId="0"/>
    <xf numFmtId="0" fontId="2" fillId="0" borderId="0" xfId="0" applyFon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6" fillId="0" borderId="0" xfId="1" applyFont="1" applyFill="1" applyBorder="1" applyAlignment="1" applyProtection="1">
      <alignment horizontal="left"/>
    </xf>
    <xf numFmtId="0" fontId="6" fillId="0" borderId="0" xfId="14" applyFont="1" applyFill="1" applyBorder="1" applyAlignment="1" applyProtection="1">
      <alignment horizontal="left"/>
    </xf>
    <xf numFmtId="164" fontId="0" fillId="0" borderId="0" xfId="0" applyNumberFormat="1" applyAlignment="1">
      <alignment horizontal="right"/>
    </xf>
    <xf numFmtId="10" fontId="68" fillId="0" borderId="0" xfId="457" applyNumberFormat="1" applyFont="1" applyAlignment="1">
      <alignment horizontal="left"/>
    </xf>
    <xf numFmtId="0" fontId="46" fillId="0" borderId="0" xfId="457" applyNumberFormat="1" applyFont="1" applyAlignment="1">
      <alignment horizontal="centerContinuous"/>
    </xf>
    <xf numFmtId="0" fontId="46" fillId="0" borderId="0" xfId="457" applyNumberFormat="1" applyFont="1"/>
    <xf numFmtId="0" fontId="46" fillId="0" borderId="0" xfId="457" applyNumberFormat="1" applyFont="1" applyAlignment="1" applyProtection="1">
      <protection locked="0"/>
    </xf>
    <xf numFmtId="0" fontId="46" fillId="0" borderId="0" xfId="457" applyNumberFormat="1" applyFont="1" applyAlignment="1" applyProtection="1">
      <alignment horizontal="centerContinuous"/>
      <protection locked="0"/>
    </xf>
    <xf numFmtId="0" fontId="69" fillId="0" borderId="0" xfId="457" applyFont="1" applyAlignment="1">
      <alignment horizontal="left"/>
    </xf>
    <xf numFmtId="0" fontId="68" fillId="0" borderId="0" xfId="457" applyNumberFormat="1" applyFont="1" applyAlignment="1">
      <alignment horizontal="right"/>
    </xf>
    <xf numFmtId="0" fontId="68" fillId="0" borderId="0" xfId="457" applyNumberFormat="1" applyFont="1" applyAlignment="1" applyProtection="1">
      <alignment horizontal="right"/>
      <protection locked="0"/>
    </xf>
    <xf numFmtId="0" fontId="68" fillId="0" borderId="0" xfId="457" applyNumberFormat="1" applyFont="1" applyAlignment="1">
      <alignment horizontal="center"/>
    </xf>
    <xf numFmtId="0" fontId="46" fillId="0" borderId="0" xfId="457" applyNumberFormat="1" applyFont="1" applyAlignment="1" applyProtection="1">
      <alignment horizontal="center"/>
      <protection locked="0"/>
    </xf>
    <xf numFmtId="0" fontId="46" fillId="0" borderId="0" xfId="457" applyNumberFormat="1" applyFont="1" applyAlignment="1">
      <alignment horizontal="center"/>
    </xf>
    <xf numFmtId="0" fontId="46" fillId="0" borderId="0" xfId="629" applyFont="1" applyBorder="1" applyAlignment="1" applyProtection="1">
      <alignment horizontal="left"/>
    </xf>
    <xf numFmtId="0" fontId="46" fillId="0" borderId="4" xfId="457" applyFont="1" applyBorder="1" applyAlignment="1"/>
    <xf numFmtId="0" fontId="46" fillId="0" borderId="0" xfId="457" applyFont="1"/>
    <xf numFmtId="10" fontId="46" fillId="0" borderId="0" xfId="457" applyNumberFormat="1" applyFont="1" applyAlignment="1">
      <alignment horizontal="center"/>
    </xf>
    <xf numFmtId="10" fontId="46" fillId="0" borderId="0" xfId="457" applyNumberFormat="1" applyFont="1"/>
    <xf numFmtId="4" fontId="46" fillId="0" borderId="0" xfId="457" applyNumberFormat="1" applyFont="1"/>
    <xf numFmtId="0" fontId="46" fillId="0" borderId="0" xfId="457" applyFont="1" applyAlignment="1">
      <alignment horizontal="right"/>
    </xf>
    <xf numFmtId="10" fontId="46" fillId="0" borderId="0" xfId="457" applyNumberFormat="1" applyFont="1" applyFill="1" applyAlignment="1">
      <alignment horizontal="center"/>
    </xf>
    <xf numFmtId="0" fontId="46" fillId="0" borderId="0" xfId="457" quotePrefix="1" applyFont="1" applyAlignment="1">
      <alignment horizontal="right"/>
    </xf>
    <xf numFmtId="10" fontId="46" fillId="0" borderId="0" xfId="457" applyNumberFormat="1" applyFont="1" applyFill="1"/>
    <xf numFmtId="10" fontId="46" fillId="0" borderId="21" xfId="457" applyNumberFormat="1" applyFont="1" applyBorder="1" applyAlignment="1">
      <alignment horizontal="center"/>
    </xf>
    <xf numFmtId="0" fontId="69" fillId="0" borderId="0" xfId="457" applyFont="1" applyAlignment="1"/>
    <xf numFmtId="0" fontId="46" fillId="0" borderId="0" xfId="457" applyFont="1" applyAlignment="1"/>
    <xf numFmtId="10" fontId="46" fillId="0" borderId="0" xfId="457" applyNumberFormat="1" applyFont="1" applyFill="1" applyAlignment="1">
      <alignment horizontal="right"/>
    </xf>
    <xf numFmtId="10" fontId="46" fillId="0" borderId="0" xfId="457" applyNumberFormat="1" applyFont="1" applyAlignment="1">
      <alignment horizontal="right"/>
    </xf>
    <xf numFmtId="10" fontId="46" fillId="0" borderId="21" xfId="457" applyNumberFormat="1" applyFont="1" applyBorder="1" applyAlignment="1">
      <alignment horizontal="right"/>
    </xf>
    <xf numFmtId="10" fontId="46" fillId="0" borderId="4" xfId="457" applyNumberFormat="1" applyFont="1" applyBorder="1" applyAlignment="1">
      <alignment horizontal="right"/>
    </xf>
    <xf numFmtId="10" fontId="46" fillId="0" borderId="2" xfId="457" applyNumberFormat="1" applyFont="1" applyBorder="1" applyAlignment="1">
      <alignment horizontal="right"/>
    </xf>
    <xf numFmtId="0" fontId="46" fillId="0" borderId="0" xfId="457" applyNumberFormat="1" applyFont="1" applyAlignment="1" applyProtection="1">
      <alignment horizontal="right"/>
      <protection locked="0"/>
    </xf>
    <xf numFmtId="0" fontId="68" fillId="0" borderId="0" xfId="457" applyFont="1" applyAlignment="1"/>
    <xf numFmtId="0" fontId="68" fillId="0" borderId="0" xfId="457" applyFont="1" applyAlignment="1">
      <alignment horizontal="center"/>
    </xf>
    <xf numFmtId="10" fontId="68" fillId="0" borderId="22" xfId="457" applyNumberFormat="1" applyFont="1" applyBorder="1" applyAlignment="1">
      <alignment horizontal="right"/>
    </xf>
    <xf numFmtId="0" fontId="6" fillId="0" borderId="0" xfId="457" applyFont="1"/>
    <xf numFmtId="0" fontId="6" fillId="0" borderId="0" xfId="457" applyFont="1" applyFill="1"/>
    <xf numFmtId="0" fontId="46" fillId="0" borderId="0" xfId="457" applyFont="1" applyAlignment="1">
      <alignment horizontal="centerContinuous"/>
    </xf>
    <xf numFmtId="164" fontId="68" fillId="0" borderId="0" xfId="457" applyNumberFormat="1" applyFont="1" applyBorder="1" applyAlignment="1">
      <alignment horizontal="center"/>
    </xf>
    <xf numFmtId="0" fontId="68" fillId="0" borderId="0" xfId="457" applyNumberFormat="1" applyFont="1" applyAlignment="1" applyProtection="1">
      <protection locked="0"/>
    </xf>
    <xf numFmtId="0" fontId="68" fillId="0" borderId="4" xfId="457" applyFont="1" applyBorder="1" applyAlignment="1">
      <alignment horizontal="center"/>
    </xf>
    <xf numFmtId="0" fontId="68" fillId="0" borderId="4" xfId="457" applyFont="1" applyBorder="1" applyAlignment="1"/>
    <xf numFmtId="0" fontId="6" fillId="0" borderId="0" xfId="457" applyNumberFormat="1" applyFont="1"/>
    <xf numFmtId="171" fontId="6" fillId="0" borderId="0" xfId="457" applyNumberFormat="1" applyFont="1" applyAlignment="1">
      <alignment horizontal="center"/>
    </xf>
    <xf numFmtId="0" fontId="6" fillId="0" borderId="0" xfId="457" applyNumberFormat="1" applyFont="1" applyAlignment="1" applyProtection="1">
      <protection locked="0"/>
    </xf>
    <xf numFmtId="0" fontId="67" fillId="0" borderId="0" xfId="457" applyFont="1" applyAlignment="1">
      <alignment horizontal="center"/>
    </xf>
    <xf numFmtId="0" fontId="67" fillId="0" borderId="0" xfId="457" applyFont="1" applyAlignment="1"/>
    <xf numFmtId="164" fontId="67" fillId="0" borderId="0" xfId="457" applyNumberFormat="1" applyFont="1" applyBorder="1" applyAlignment="1">
      <alignment horizontal="center"/>
    </xf>
    <xf numFmtId="0" fontId="67" fillId="0" borderId="0" xfId="457" applyFont="1" applyFill="1" applyAlignment="1">
      <alignment horizontal="center"/>
    </xf>
    <xf numFmtId="0" fontId="67" fillId="0" borderId="0" xfId="457" applyFont="1" applyFill="1" applyAlignment="1"/>
    <xf numFmtId="164" fontId="67" fillId="0" borderId="0" xfId="457" applyNumberFormat="1" applyFont="1" applyFill="1" applyBorder="1" applyAlignment="1">
      <alignment horizontal="center"/>
    </xf>
    <xf numFmtId="0" fontId="6" fillId="0" borderId="0" xfId="457" applyNumberFormat="1" applyFont="1" applyFill="1" applyAlignment="1" applyProtection="1">
      <protection locked="0"/>
    </xf>
    <xf numFmtId="0" fontId="68" fillId="0" borderId="0" xfId="630" applyFont="1" applyAlignment="1">
      <alignment horizontal="left"/>
    </xf>
    <xf numFmtId="0" fontId="46" fillId="0" borderId="0" xfId="630" applyFont="1" applyFill="1"/>
    <xf numFmtId="0" fontId="46" fillId="0" borderId="0" xfId="630" applyFont="1"/>
    <xf numFmtId="164" fontId="46" fillId="0" borderId="0" xfId="2" applyNumberFormat="1" applyFont="1"/>
    <xf numFmtId="0" fontId="68" fillId="0" borderId="0" xfId="630" applyFont="1" applyAlignment="1">
      <alignment horizontal="right"/>
    </xf>
    <xf numFmtId="0" fontId="69" fillId="0" borderId="0" xfId="630" applyFont="1" applyAlignment="1">
      <alignment horizontal="left"/>
    </xf>
    <xf numFmtId="0" fontId="46" fillId="0" borderId="0" xfId="630" applyFont="1" applyAlignment="1">
      <alignment horizontal="left"/>
    </xf>
    <xf numFmtId="164" fontId="46" fillId="0" borderId="0" xfId="2" applyNumberFormat="1" applyFont="1" applyAlignment="1">
      <alignment horizontal="center"/>
    </xf>
    <xf numFmtId="0" fontId="46" fillId="0" borderId="0" xfId="631" applyFont="1" applyAlignment="1">
      <alignment horizontal="center"/>
    </xf>
    <xf numFmtId="0" fontId="46" fillId="0" borderId="0" xfId="630" applyFont="1" applyFill="1" applyAlignment="1">
      <alignment horizontal="center"/>
    </xf>
    <xf numFmtId="0" fontId="68" fillId="0" borderId="0" xfId="631" applyFont="1" applyBorder="1" applyAlignment="1">
      <alignment horizontal="center"/>
    </xf>
    <xf numFmtId="164" fontId="68" fillId="0" borderId="0" xfId="2" applyNumberFormat="1" applyFont="1" applyAlignment="1">
      <alignment horizontal="center"/>
    </xf>
    <xf numFmtId="0" fontId="68" fillId="0" borderId="0" xfId="631" applyFont="1" applyAlignment="1">
      <alignment horizontal="center"/>
    </xf>
    <xf numFmtId="0" fontId="68" fillId="0" borderId="0" xfId="630" quotePrefix="1" applyFont="1" applyFill="1" applyAlignment="1">
      <alignment horizontal="left"/>
    </xf>
    <xf numFmtId="0" fontId="68" fillId="0" borderId="0" xfId="630" applyFont="1" applyFill="1" applyAlignment="1">
      <alignment horizontal="center"/>
    </xf>
    <xf numFmtId="0" fontId="68" fillId="0" borderId="4" xfId="630" applyFont="1" applyFill="1" applyBorder="1" applyAlignment="1" applyProtection="1">
      <alignment horizontal="left"/>
    </xf>
    <xf numFmtId="0" fontId="68" fillId="0" borderId="0" xfId="630" applyFont="1" applyBorder="1" applyAlignment="1" applyProtection="1">
      <alignment horizontal="left"/>
    </xf>
    <xf numFmtId="164" fontId="69" fillId="0" borderId="0" xfId="2" applyNumberFormat="1" applyFont="1" applyAlignment="1">
      <alignment horizontal="center"/>
    </xf>
    <xf numFmtId="0" fontId="69" fillId="0" borderId="0" xfId="630" applyFont="1" applyFill="1" applyAlignment="1">
      <alignment horizontal="center"/>
    </xf>
    <xf numFmtId="0" fontId="69" fillId="0" borderId="0" xfId="631" applyFont="1" applyBorder="1" applyAlignment="1">
      <alignment horizontal="center"/>
    </xf>
    <xf numFmtId="165" fontId="6" fillId="0" borderId="0" xfId="630" applyNumberFormat="1" applyFont="1" applyFill="1" applyAlignment="1" applyProtection="1">
      <alignment horizontal="left"/>
    </xf>
    <xf numFmtId="164" fontId="46" fillId="0" borderId="0" xfId="2" applyNumberFormat="1" applyFont="1" applyFill="1"/>
    <xf numFmtId="166" fontId="46" fillId="0" borderId="0" xfId="630" applyNumberFormat="1" applyFont="1" applyAlignment="1">
      <alignment horizontal="center"/>
    </xf>
    <xf numFmtId="164" fontId="46" fillId="0" borderId="0" xfId="632" applyNumberFormat="1" applyFont="1" applyFill="1" applyAlignment="1">
      <alignment horizontal="center"/>
    </xf>
    <xf numFmtId="5" fontId="46" fillId="0" borderId="0" xfId="632" applyNumberFormat="1" applyFont="1" applyFill="1" applyAlignment="1">
      <alignment horizontal="center"/>
    </xf>
    <xf numFmtId="164" fontId="46" fillId="0" borderId="0" xfId="630" applyNumberFormat="1" applyFont="1" applyAlignment="1" applyProtection="1">
      <alignment horizontal="center"/>
    </xf>
    <xf numFmtId="165" fontId="46" fillId="0" borderId="0" xfId="630" applyNumberFormat="1" applyFont="1" applyFill="1" applyAlignment="1" applyProtection="1">
      <alignment horizontal="left"/>
    </xf>
    <xf numFmtId="0" fontId="46" fillId="0" borderId="0" xfId="14" applyFont="1" applyFill="1" applyBorder="1" applyAlignment="1" applyProtection="1">
      <alignment horizontal="left"/>
    </xf>
    <xf numFmtId="166" fontId="46" fillId="0" borderId="0" xfId="633" applyNumberFormat="1" applyFont="1" applyAlignment="1">
      <alignment horizontal="center"/>
    </xf>
    <xf numFmtId="164" fontId="46" fillId="0" borderId="23" xfId="2" applyNumberFormat="1" applyFont="1" applyBorder="1"/>
    <xf numFmtId="10" fontId="68" fillId="0" borderId="0" xfId="630" quotePrefix="1" applyNumberFormat="1" applyFont="1" applyAlignment="1">
      <alignment horizontal="center"/>
    </xf>
    <xf numFmtId="0" fontId="68" fillId="0" borderId="0" xfId="630" applyFont="1"/>
    <xf numFmtId="164" fontId="68" fillId="0" borderId="0" xfId="2" applyNumberFormat="1" applyFont="1"/>
    <xf numFmtId="164" fontId="68" fillId="0" borderId="0" xfId="630" applyNumberFormat="1" applyFont="1"/>
    <xf numFmtId="0" fontId="68" fillId="0" borderId="0" xfId="630" applyFont="1" applyFill="1" applyAlignment="1">
      <alignment horizontal="left" indent="1"/>
    </xf>
    <xf numFmtId="0" fontId="6" fillId="0" borderId="0" xfId="630" applyFont="1" applyAlignment="1">
      <alignment horizontal="left" vertical="top"/>
    </xf>
    <xf numFmtId="0" fontId="6" fillId="0" borderId="0" xfId="630" applyFont="1" applyFill="1"/>
    <xf numFmtId="0" fontId="67" fillId="0" borderId="0" xfId="630" applyFont="1" applyAlignment="1" applyProtection="1">
      <alignment horizontal="left"/>
    </xf>
    <xf numFmtId="164" fontId="6" fillId="0" borderId="0" xfId="2" applyNumberFormat="1" applyFont="1"/>
    <xf numFmtId="0" fontId="6" fillId="0" borderId="0" xfId="630" applyFont="1"/>
    <xf numFmtId="0" fontId="6" fillId="0" borderId="0" xfId="630" applyFont="1" applyAlignment="1">
      <alignment horizontal="left"/>
    </xf>
    <xf numFmtId="0" fontId="6" fillId="0" borderId="0" xfId="630" applyFont="1" applyBorder="1" applyAlignment="1" applyProtection="1">
      <alignment horizontal="left"/>
    </xf>
    <xf numFmtId="0" fontId="46" fillId="0" borderId="0" xfId="630" applyFont="1" applyBorder="1"/>
    <xf numFmtId="164" fontId="68" fillId="0" borderId="0" xfId="630" applyNumberFormat="1" applyFont="1" applyBorder="1"/>
    <xf numFmtId="164" fontId="46" fillId="0" borderId="0" xfId="2" applyNumberFormat="1" applyFont="1" applyFill="1" applyBorder="1"/>
    <xf numFmtId="164" fontId="68" fillId="0" borderId="0" xfId="2" applyNumberFormat="1" applyFont="1" applyBorder="1"/>
    <xf numFmtId="0" fontId="0" fillId="0" borderId="0" xfId="0" applyFill="1" applyBorder="1" applyAlignment="1"/>
    <xf numFmtId="0" fontId="0" fillId="0" borderId="1" xfId="0" applyFill="1" applyBorder="1" applyAlignment="1"/>
    <xf numFmtId="0" fontId="71" fillId="0" borderId="3" xfId="0" applyFont="1" applyFill="1" applyBorder="1" applyAlignment="1">
      <alignment horizontal="center"/>
    </xf>
    <xf numFmtId="0" fontId="71" fillId="0" borderId="3" xfId="0" applyFont="1" applyFill="1" applyBorder="1" applyAlignment="1">
      <alignment horizontal="centerContinuous"/>
    </xf>
    <xf numFmtId="10" fontId="0" fillId="0" borderId="4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46" fillId="0" borderId="0" xfId="635" applyNumberFormat="1" applyFont="1" applyFill="1" applyAlignment="1">
      <alignment horizontal="center"/>
    </xf>
    <xf numFmtId="0" fontId="0" fillId="0" borderId="0" xfId="0" applyAlignment="1">
      <alignment horizontal="center"/>
    </xf>
    <xf numFmtId="10" fontId="0" fillId="0" borderId="4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2" fillId="0" borderId="0" xfId="0" applyFont="1"/>
    <xf numFmtId="0" fontId="46" fillId="0" borderId="0" xfId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68" fillId="0" borderId="0" xfId="635" applyFont="1" applyFill="1"/>
    <xf numFmtId="0" fontId="68" fillId="0" borderId="0" xfId="635" applyFont="1" applyFill="1" applyAlignment="1">
      <alignment horizontal="left" indent="1"/>
    </xf>
    <xf numFmtId="10" fontId="46" fillId="0" borderId="0" xfId="635" quotePrefix="1" applyNumberFormat="1" applyFont="1" applyAlignment="1">
      <alignment horizontal="center"/>
    </xf>
    <xf numFmtId="10" fontId="68" fillId="0" borderId="0" xfId="635" quotePrefix="1" applyNumberFormat="1" applyFont="1" applyAlignment="1">
      <alignment horizontal="center"/>
    </xf>
    <xf numFmtId="0" fontId="46" fillId="0" borderId="0" xfId="0" applyFont="1" applyFill="1" applyBorder="1"/>
    <xf numFmtId="0" fontId="68" fillId="0" borderId="0" xfId="0" applyFont="1" applyFill="1" applyBorder="1" applyAlignment="1" applyProtection="1">
      <alignment horizontal="left"/>
    </xf>
    <xf numFmtId="164" fontId="46" fillId="0" borderId="0" xfId="293" applyNumberFormat="1" applyFont="1" applyFill="1" applyBorder="1"/>
    <xf numFmtId="0" fontId="6" fillId="0" borderId="0" xfId="0" applyFont="1" applyFill="1" applyBorder="1"/>
    <xf numFmtId="10" fontId="46" fillId="0" borderId="0" xfId="501" applyNumberFormat="1" applyFont="1" applyFill="1" applyBorder="1"/>
    <xf numFmtId="10" fontId="46" fillId="0" borderId="0" xfId="293" applyNumberFormat="1" applyFont="1" applyFill="1" applyBorder="1"/>
    <xf numFmtId="0" fontId="73" fillId="0" borderId="0" xfId="0" quotePrefix="1" applyFont="1"/>
    <xf numFmtId="10" fontId="68" fillId="0" borderId="0" xfId="635" applyNumberFormat="1" applyFont="1" applyAlignment="1">
      <alignment horizontal="right"/>
    </xf>
    <xf numFmtId="10" fontId="68" fillId="0" borderId="0" xfId="635" applyNumberFormat="1" applyFont="1" applyAlignment="1">
      <alignment horizontal="left"/>
    </xf>
    <xf numFmtId="0" fontId="4" fillId="0" borderId="0" xfId="0" quotePrefix="1" applyFont="1" applyAlignment="1">
      <alignment horizontal="center" vertical="top"/>
    </xf>
    <xf numFmtId="164" fontId="46" fillId="0" borderId="4" xfId="293" applyNumberFormat="1" applyFont="1" applyFill="1" applyBorder="1"/>
    <xf numFmtId="0" fontId="4" fillId="0" borderId="0" xfId="0" quotePrefix="1" applyFont="1" applyAlignment="1">
      <alignment horizontal="center"/>
    </xf>
    <xf numFmtId="166" fontId="0" fillId="0" borderId="0" xfId="0" applyNumberFormat="1"/>
    <xf numFmtId="0" fontId="46" fillId="0" borderId="0" xfId="635" applyFont="1"/>
    <xf numFmtId="0" fontId="8" fillId="0" borderId="0" xfId="635"/>
    <xf numFmtId="0" fontId="75" fillId="0" borderId="0" xfId="635" applyFont="1"/>
    <xf numFmtId="0" fontId="76" fillId="0" borderId="0" xfId="635" applyFont="1"/>
    <xf numFmtId="0" fontId="75" fillId="0" borderId="0" xfId="635" applyFont="1" applyAlignment="1">
      <alignment horizontal="right"/>
    </xf>
    <xf numFmtId="17" fontId="69" fillId="0" borderId="0" xfId="635" quotePrefix="1" applyNumberFormat="1" applyFont="1" applyAlignment="1">
      <alignment horizontal="center"/>
    </xf>
    <xf numFmtId="0" fontId="69" fillId="0" borderId="0" xfId="635" quotePrefix="1" applyFont="1" applyAlignment="1">
      <alignment horizontal="center"/>
    </xf>
    <xf numFmtId="164" fontId="46" fillId="0" borderId="0" xfId="635" applyNumberFormat="1" applyFont="1" applyAlignment="1">
      <alignment horizontal="center"/>
    </xf>
    <xf numFmtId="164" fontId="46" fillId="0" borderId="4" xfId="635" applyNumberFormat="1" applyFont="1" applyBorder="1" applyAlignment="1">
      <alignment horizontal="center"/>
    </xf>
    <xf numFmtId="0" fontId="68" fillId="0" borderId="0" xfId="635" applyFont="1"/>
    <xf numFmtId="0" fontId="77" fillId="0" borderId="0" xfId="635" applyFont="1"/>
    <xf numFmtId="0" fontId="46" fillId="0" borderId="0" xfId="635" applyFont="1" applyAlignment="1">
      <alignment horizontal="center"/>
    </xf>
    <xf numFmtId="43" fontId="46" fillId="0" borderId="0" xfId="635" applyNumberFormat="1" applyFont="1"/>
    <xf numFmtId="0" fontId="46" fillId="0" borderId="0" xfId="635" applyFont="1" applyBorder="1"/>
    <xf numFmtId="0" fontId="68" fillId="0" borderId="4" xfId="635" applyFont="1" applyBorder="1" applyAlignment="1">
      <alignment horizontal="center"/>
    </xf>
    <xf numFmtId="43" fontId="68" fillId="0" borderId="0" xfId="635" applyNumberFormat="1" applyFont="1" applyAlignment="1">
      <alignment horizontal="center"/>
    </xf>
    <xf numFmtId="43" fontId="68" fillId="0" borderId="4" xfId="635" applyNumberFormat="1" applyFont="1" applyBorder="1" applyAlignment="1">
      <alignment horizontal="center"/>
    </xf>
    <xf numFmtId="0" fontId="68" fillId="0" borderId="4" xfId="635" applyFont="1" applyBorder="1" applyAlignment="1">
      <alignment horizontal="right"/>
    </xf>
    <xf numFmtId="17" fontId="6" fillId="0" borderId="0" xfId="635" quotePrefix="1" applyNumberFormat="1" applyFont="1" applyFill="1" applyAlignment="1">
      <alignment horizontal="left"/>
    </xf>
    <xf numFmtId="10" fontId="46" fillId="0" borderId="0" xfId="635" applyNumberFormat="1" applyFont="1" applyFill="1" applyBorder="1"/>
    <xf numFmtId="43" fontId="46" fillId="0" borderId="0" xfId="635" applyNumberFormat="1" applyFont="1" applyFill="1" applyBorder="1"/>
    <xf numFmtId="0" fontId="46" fillId="0" borderId="0" xfId="635" applyFont="1" applyFill="1" applyBorder="1"/>
    <xf numFmtId="0" fontId="46" fillId="0" borderId="0" xfId="635" applyFont="1" applyFill="1"/>
    <xf numFmtId="0" fontId="46" fillId="0" borderId="0" xfId="635" applyFont="1" applyFill="1" applyAlignment="1">
      <alignment horizontal="center"/>
    </xf>
    <xf numFmtId="43" fontId="46" fillId="0" borderId="4" xfId="635" applyNumberFormat="1" applyFont="1" applyBorder="1"/>
    <xf numFmtId="10" fontId="46" fillId="0" borderId="4" xfId="635" applyNumberFormat="1" applyFont="1" applyBorder="1"/>
    <xf numFmtId="0" fontId="46" fillId="0" borderId="4" xfId="635" applyFont="1" applyBorder="1"/>
    <xf numFmtId="0" fontId="46" fillId="0" borderId="4" xfId="635" applyFont="1" applyFill="1" applyBorder="1"/>
    <xf numFmtId="10" fontId="68" fillId="0" borderId="0" xfId="635" applyNumberFormat="1" applyFont="1"/>
    <xf numFmtId="43" fontId="68" fillId="0" borderId="0" xfId="635" applyNumberFormat="1" applyFont="1"/>
    <xf numFmtId="10" fontId="68" fillId="0" borderId="0" xfId="635" applyNumberFormat="1" applyFont="1" applyFill="1"/>
    <xf numFmtId="10" fontId="46" fillId="0" borderId="0" xfId="635" applyNumberFormat="1" applyFont="1"/>
    <xf numFmtId="0" fontId="79" fillId="0" borderId="0" xfId="636" applyFont="1"/>
    <xf numFmtId="0" fontId="68" fillId="0" borderId="0" xfId="635" applyFont="1" applyAlignment="1">
      <alignment horizontal="center"/>
    </xf>
    <xf numFmtId="0" fontId="68" fillId="0" borderId="0" xfId="635" applyFont="1" applyFill="1" applyBorder="1" applyAlignment="1">
      <alignment horizontal="center"/>
    </xf>
    <xf numFmtId="0" fontId="80" fillId="0" borderId="0" xfId="635" applyFont="1"/>
    <xf numFmtId="0" fontId="80" fillId="0" borderId="0" xfId="635" applyFont="1" applyBorder="1"/>
    <xf numFmtId="0" fontId="81" fillId="0" borderId="4" xfId="635" quotePrefix="1" applyFont="1" applyBorder="1" applyAlignment="1">
      <alignment horizontal="center"/>
    </xf>
    <xf numFmtId="43" fontId="81" fillId="0" borderId="0" xfId="635" applyNumberFormat="1" applyFont="1" applyBorder="1" applyAlignment="1">
      <alignment horizontal="center"/>
    </xf>
    <xf numFmtId="0" fontId="68" fillId="0" borderId="0" xfId="635" quotePrefix="1" applyFont="1" applyFill="1" applyBorder="1" applyAlignment="1">
      <alignment horizontal="center"/>
    </xf>
    <xf numFmtId="0" fontId="68" fillId="0" borderId="4" xfId="635" quotePrefix="1" applyFont="1" applyBorder="1" applyAlignment="1">
      <alignment horizontal="center"/>
    </xf>
    <xf numFmtId="0" fontId="80" fillId="0" borderId="0" xfId="635" applyFont="1" applyAlignment="1">
      <alignment horizontal="center"/>
    </xf>
    <xf numFmtId="43" fontId="46" fillId="0" borderId="0" xfId="635" applyNumberFormat="1" applyFont="1" applyFill="1" applyBorder="1" applyAlignment="1">
      <alignment horizontal="center"/>
    </xf>
    <xf numFmtId="43" fontId="46" fillId="0" borderId="0" xfId="635" applyNumberFormat="1" applyFont="1" applyAlignment="1">
      <alignment horizontal="center"/>
    </xf>
    <xf numFmtId="10" fontId="80" fillId="0" borderId="0" xfId="635" applyNumberFormat="1" applyFont="1" applyFill="1" applyAlignment="1">
      <alignment horizontal="center"/>
    </xf>
    <xf numFmtId="10" fontId="80" fillId="0" borderId="0" xfId="635" applyNumberFormat="1" applyFont="1" applyAlignment="1">
      <alignment horizontal="center"/>
    </xf>
    <xf numFmtId="10" fontId="46" fillId="0" borderId="0" xfId="635" applyNumberFormat="1" applyFont="1" applyBorder="1" applyAlignment="1">
      <alignment horizontal="center"/>
    </xf>
    <xf numFmtId="10" fontId="46" fillId="0" borderId="0" xfId="635" applyNumberFormat="1" applyFont="1" applyAlignment="1">
      <alignment horizontal="center"/>
    </xf>
    <xf numFmtId="10" fontId="80" fillId="0" borderId="4" xfId="635" applyNumberFormat="1" applyFont="1" applyBorder="1" applyAlignment="1">
      <alignment horizontal="center"/>
    </xf>
    <xf numFmtId="10" fontId="46" fillId="0" borderId="4" xfId="635" applyNumberFormat="1" applyFont="1" applyBorder="1" applyAlignment="1">
      <alignment horizontal="center"/>
    </xf>
    <xf numFmtId="0" fontId="81" fillId="0" borderId="0" xfId="635" applyFont="1"/>
    <xf numFmtId="10" fontId="81" fillId="0" borderId="0" xfId="635" applyNumberFormat="1" applyFont="1" applyAlignment="1">
      <alignment horizontal="center"/>
    </xf>
    <xf numFmtId="10" fontId="68" fillId="0" borderId="0" xfId="635" applyNumberFormat="1" applyFont="1" applyBorder="1" applyAlignment="1">
      <alignment horizontal="center"/>
    </xf>
    <xf numFmtId="10" fontId="68" fillId="0" borderId="0" xfId="635" applyNumberFormat="1" applyFont="1" applyAlignment="1">
      <alignment horizontal="center"/>
    </xf>
    <xf numFmtId="0" fontId="68" fillId="0" borderId="0" xfId="635" applyFont="1" applyAlignment="1">
      <alignment horizontal="right"/>
    </xf>
    <xf numFmtId="10" fontId="80" fillId="0" borderId="0" xfId="635" applyNumberFormat="1" applyFont="1"/>
    <xf numFmtId="0" fontId="80" fillId="0" borderId="4" xfId="635" applyFont="1" applyBorder="1"/>
    <xf numFmtId="0" fontId="75" fillId="0" borderId="0" xfId="635" applyFont="1" applyAlignment="1">
      <alignment horizontal="left"/>
    </xf>
    <xf numFmtId="0" fontId="6" fillId="0" borderId="0" xfId="635" applyFont="1"/>
    <xf numFmtId="0" fontId="69" fillId="0" borderId="0" xfId="635" applyFont="1" applyAlignment="1">
      <alignment horizontal="center"/>
    </xf>
    <xf numFmtId="0" fontId="69" fillId="0" borderId="0" xfId="635" applyFont="1" applyBorder="1" applyAlignment="1">
      <alignment horizontal="center"/>
    </xf>
    <xf numFmtId="0" fontId="69" fillId="0" borderId="0" xfId="635" quotePrefix="1" applyFont="1" applyBorder="1" applyAlignment="1">
      <alignment horizontal="center"/>
    </xf>
    <xf numFmtId="164" fontId="46" fillId="0" borderId="0" xfId="635" quotePrefix="1" applyNumberFormat="1" applyFont="1" applyAlignment="1">
      <alignment horizontal="center"/>
    </xf>
    <xf numFmtId="164" fontId="46" fillId="0" borderId="0" xfId="635" quotePrefix="1" applyNumberFormat="1" applyFont="1" applyBorder="1" applyAlignment="1">
      <alignment horizontal="center"/>
    </xf>
    <xf numFmtId="2" fontId="46" fillId="0" borderId="0" xfId="635" applyNumberFormat="1" applyFont="1" applyBorder="1" applyAlignment="1">
      <alignment horizontal="center"/>
    </xf>
    <xf numFmtId="164" fontId="77" fillId="0" borderId="0" xfId="635" applyNumberFormat="1" applyFont="1" applyAlignment="1">
      <alignment horizontal="center"/>
    </xf>
    <xf numFmtId="164" fontId="46" fillId="0" borderId="0" xfId="635" applyNumberFormat="1" applyFont="1" applyBorder="1" applyAlignment="1">
      <alignment horizontal="center"/>
    </xf>
    <xf numFmtId="164" fontId="46" fillId="0" borderId="0" xfId="635" applyNumberFormat="1" applyFont="1"/>
    <xf numFmtId="2" fontId="46" fillId="0" borderId="0" xfId="635" applyNumberFormat="1" applyFont="1" applyFill="1" applyAlignment="1">
      <alignment horizontal="center"/>
    </xf>
    <xf numFmtId="2" fontId="46" fillId="0" borderId="0" xfId="635" applyNumberFormat="1" applyFont="1" applyAlignment="1">
      <alignment horizontal="center"/>
    </xf>
    <xf numFmtId="10" fontId="46" fillId="0" borderId="0" xfId="635" applyNumberFormat="1" applyFont="1" applyFill="1"/>
    <xf numFmtId="0" fontId="46" fillId="0" borderId="0" xfId="635" applyFont="1" applyAlignment="1">
      <alignment wrapText="1"/>
    </xf>
    <xf numFmtId="0" fontId="82" fillId="0" borderId="0" xfId="635" applyFont="1"/>
    <xf numFmtId="0" fontId="46" fillId="0" borderId="0" xfId="635" applyFont="1" applyAlignment="1">
      <alignment horizontal="left" vertical="top" wrapText="1"/>
    </xf>
    <xf numFmtId="16" fontId="77" fillId="0" borderId="0" xfId="635" applyNumberFormat="1" applyFont="1"/>
    <xf numFmtId="16" fontId="77" fillId="0" borderId="0" xfId="635" quotePrefix="1" applyNumberFormat="1" applyFont="1"/>
    <xf numFmtId="0" fontId="77" fillId="0" borderId="0" xfId="635" applyFont="1" applyAlignment="1">
      <alignment horizontal="right"/>
    </xf>
    <xf numFmtId="2" fontId="46" fillId="0" borderId="0" xfId="635" applyNumberFormat="1" applyFont="1"/>
    <xf numFmtId="169" fontId="46" fillId="0" borderId="0" xfId="635" applyNumberFormat="1" applyFont="1"/>
    <xf numFmtId="2" fontId="46" fillId="0" borderId="4" xfId="635" applyNumberFormat="1" applyFont="1" applyBorder="1"/>
    <xf numFmtId="0" fontId="8" fillId="0" borderId="0" xfId="640" applyFont="1"/>
    <xf numFmtId="0" fontId="10" fillId="0" borderId="0" xfId="640" applyFont="1"/>
    <xf numFmtId="0" fontId="8" fillId="0" borderId="24" xfId="640" applyFont="1" applyBorder="1"/>
    <xf numFmtId="0" fontId="8" fillId="0" borderId="0" xfId="640" applyFont="1" applyAlignment="1">
      <alignment horizontal="center"/>
    </xf>
    <xf numFmtId="0" fontId="8" fillId="0" borderId="0" xfId="640" applyFont="1" applyBorder="1" applyAlignment="1">
      <alignment horizontal="center"/>
    </xf>
    <xf numFmtId="6" fontId="8" fillId="0" borderId="0" xfId="640" quotePrefix="1" applyNumberFormat="1" applyFont="1" applyAlignment="1">
      <alignment horizontal="center"/>
    </xf>
    <xf numFmtId="0" fontId="8" fillId="0" borderId="4" xfId="640" applyFont="1" applyBorder="1"/>
    <xf numFmtId="6" fontId="8" fillId="0" borderId="4" xfId="640" applyNumberFormat="1" applyFont="1" applyBorder="1" applyAlignment="1">
      <alignment horizontal="center"/>
    </xf>
    <xf numFmtId="0" fontId="8" fillId="0" borderId="4" xfId="640" applyFont="1" applyBorder="1" applyAlignment="1">
      <alignment horizontal="center"/>
    </xf>
    <xf numFmtId="0" fontId="8" fillId="0" borderId="0" xfId="640" applyFont="1" applyBorder="1"/>
    <xf numFmtId="6" fontId="8" fillId="0" borderId="0" xfId="640" applyNumberFormat="1" applyFont="1" applyBorder="1" applyAlignment="1">
      <alignment horizontal="center"/>
    </xf>
    <xf numFmtId="172" fontId="8" fillId="0" borderId="0" xfId="641" applyNumberFormat="1" applyFont="1" applyAlignment="1">
      <alignment horizontal="center"/>
    </xf>
    <xf numFmtId="2" fontId="8" fillId="0" borderId="0" xfId="640" applyNumberFormat="1" applyFont="1" applyAlignment="1">
      <alignment horizontal="center"/>
    </xf>
    <xf numFmtId="2" fontId="8" fillId="0" borderId="0" xfId="640" applyNumberFormat="1" applyFont="1"/>
    <xf numFmtId="0" fontId="83" fillId="0" borderId="0" xfId="640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2" fontId="8" fillId="0" borderId="0" xfId="0" applyNumberFormat="1" applyFont="1" applyAlignment="1">
      <alignment horizontal="center"/>
    </xf>
    <xf numFmtId="0" fontId="8" fillId="0" borderId="0" xfId="0" applyFont="1"/>
    <xf numFmtId="0" fontId="56" fillId="0" borderId="0" xfId="640" applyFont="1" applyAlignment="1">
      <alignment horizontal="center"/>
    </xf>
    <xf numFmtId="0" fontId="8" fillId="0" borderId="0" xfId="640" applyFont="1" applyBorder="1" applyAlignment="1">
      <alignment horizontal="center"/>
    </xf>
    <xf numFmtId="0" fontId="73" fillId="0" borderId="0" xfId="0" applyFont="1" applyAlignment="1">
      <alignment horizontal="left" wrapText="1"/>
    </xf>
    <xf numFmtId="0" fontId="68" fillId="0" borderId="0" xfId="635" applyFont="1" applyBorder="1" applyAlignment="1">
      <alignment horizontal="center" wrapText="1"/>
    </xf>
    <xf numFmtId="0" fontId="68" fillId="0" borderId="4" xfId="635" applyFont="1" applyBorder="1" applyAlignment="1">
      <alignment horizontal="center" wrapText="1"/>
    </xf>
    <xf numFmtId="0" fontId="75" fillId="0" borderId="0" xfId="635" applyFont="1" applyAlignment="1">
      <alignment horizontal="left" wrapText="1"/>
    </xf>
    <xf numFmtId="0" fontId="46" fillId="0" borderId="0" xfId="635" applyFont="1" applyAlignment="1">
      <alignment horizontal="center"/>
    </xf>
    <xf numFmtId="0" fontId="68" fillId="0" borderId="4" xfId="635" applyFont="1" applyBorder="1" applyAlignment="1">
      <alignment horizontal="center"/>
    </xf>
  </cellXfs>
  <cellStyles count="649">
    <cellStyle name="_x000a_bidires=100_x000d_" xfId="15"/>
    <cellStyle name="_2008 Reforecast 0+12  03.14.08" xfId="16"/>
    <cellStyle name="_2008 Reforecast 0+12  03.14.08_Avera UIL NEEWS Analyses 2011" xfId="17"/>
    <cellStyle name="_2008 Reforecast 0+12  03.14.08_Avera UIL NEEWS Analyses 2011_Baudino Exhibits" xfId="18"/>
    <cellStyle name="_2008 Reforecast 0+12  03.14.08_Avera UIL NEEWS Analyses 2011_Baudino Exhibits 2" xfId="19"/>
    <cellStyle name="_2008 Reforecast 0+12  03.14.08_Avera UIL NEEWS Analyses 2011_Baudino Exhibits 2_Electric Analyses DRAFT" xfId="20"/>
    <cellStyle name="_2008 Reforecast 0+12  03.14.08_Avera UIL NEEWS Analyses 2011_Baudino Exhibits 2_FERC Analyses Template - Midpoint" xfId="21"/>
    <cellStyle name="_2008 Reforecast 0+12  03.14.08_Avera UIL NEEWS Analyses 2011_Baudino Exhibits_Electric Analyses DRAFT" xfId="22"/>
    <cellStyle name="_2008 Reforecast 0+12  03.14.08_Avera UIL NEEWS Analyses 2011_Baudino Exhibits_Electric Analyses Template" xfId="23"/>
    <cellStyle name="_2008 Reforecast 0+12  03.14.08_Avera UIL NEEWS Analyses 2011_Bond Yields &amp; Stk Mkt Trends" xfId="24"/>
    <cellStyle name="_2008 Reforecast 0+12  03.14.08_Avera UIL NEEWS Analyses 2011_Electric Analyses DRAFT" xfId="25"/>
    <cellStyle name="_2008 Reforecast 0+12  03.14.08_Avera UIL NEEWS Analyses 2011_Electric Analyses Template" xfId="26"/>
    <cellStyle name="_2008 Reforecast 0+12  03.14.08_Avera UIL NEEWS Analyses 2011_Gas Analyses Template(BLH)" xfId="27"/>
    <cellStyle name="_2008 Reforecast 0+12  03.14.08_Baudino Exhibits" xfId="28"/>
    <cellStyle name="_2008 Reforecast 0+12  03.14.08_Baudino Exhibits 2" xfId="29"/>
    <cellStyle name="_2008 Reforecast 0+12  03.14.08_Baudino Exhibits 2_Electric Analyses DRAFT" xfId="30"/>
    <cellStyle name="_2008 Reforecast 0+12  03.14.08_Baudino Exhibits 2_FERC Analyses Template - Midpoint" xfId="31"/>
    <cellStyle name="_2008 Reforecast 0+12  03.14.08_Baudino Exhibits_Electric Analyses DRAFT" xfId="32"/>
    <cellStyle name="_2008 Reforecast 0+12  03.14.08_Baudino Exhibits_Electric Analyses Template" xfId="33"/>
    <cellStyle name="_2008 Reforecast 0+12  03.14.08_Bond Yields &amp; Stk Mkt Trends" xfId="34"/>
    <cellStyle name="_2008 Reforecast 0+12  03.14.08_Electric Analyses DRAFT" xfId="35"/>
    <cellStyle name="_2008 Reforecast 0+12  03.14.08_Electric Analyses Template" xfId="36"/>
    <cellStyle name="_2008 Reforecast 0+12  03.14.08_Gas Analyses Template(BLH)" xfId="37"/>
    <cellStyle name="_2008 Reforecast 0+12  03.14.08_Value Line Data Base" xfId="38"/>
    <cellStyle name="_2008 Reforecast 0+12  03.14.08_Value Line Data Base 2" xfId="39"/>
    <cellStyle name="_2008 Reforecast 0+12  03.14.08_Value Line Data Base 2_Electric Analyses DRAFT" xfId="40"/>
    <cellStyle name="_2008 Reforecast 0+12  03.14.08_Value Line Data Base 2_FERC Analyses Template - Midpoint" xfId="41"/>
    <cellStyle name="_2008 Reforecast 0+12  03.14.08_Value Line Data Base_Electric Analyses DRAFT" xfId="42"/>
    <cellStyle name="_2008 Reforecast 0+12  03.14.08_Value Line Data Base_Electric Analyses Template" xfId="43"/>
    <cellStyle name="_2008_ACCT 17103" xfId="44"/>
    <cellStyle name="_2008_ACCT 17103_Avera UIL NEEWS Analyses 2011" xfId="45"/>
    <cellStyle name="_2008_ACCT 17103_Avera UIL NEEWS Analyses 2011_Baudino Exhibits" xfId="46"/>
    <cellStyle name="_2008_ACCT 17103_Avera UIL NEEWS Analyses 2011_Baudino Exhibits 2" xfId="47"/>
    <cellStyle name="_2008_ACCT 17103_Avera UIL NEEWS Analyses 2011_Baudino Exhibits 2_Electric Analyses DRAFT" xfId="48"/>
    <cellStyle name="_2008_ACCT 17103_Avera UIL NEEWS Analyses 2011_Baudino Exhibits 2_FERC Analyses Template - Midpoint" xfId="49"/>
    <cellStyle name="_2008_ACCT 17103_Avera UIL NEEWS Analyses 2011_Baudino Exhibits_Electric Analyses DRAFT" xfId="50"/>
    <cellStyle name="_2008_ACCT 17103_Avera UIL NEEWS Analyses 2011_Baudino Exhibits_Electric Analyses Template" xfId="51"/>
    <cellStyle name="_2008_ACCT 17103_Avera UIL NEEWS Analyses 2011_Bond Yields &amp; Stk Mkt Trends" xfId="52"/>
    <cellStyle name="_2008_ACCT 17103_Avera UIL NEEWS Analyses 2011_Electric Analyses DRAFT" xfId="53"/>
    <cellStyle name="_2008_ACCT 17103_Avera UIL NEEWS Analyses 2011_Electric Analyses Template" xfId="54"/>
    <cellStyle name="_2008_ACCT 17103_Avera UIL NEEWS Analyses 2011_Gas Analyses Template(BLH)" xfId="55"/>
    <cellStyle name="_2008_ACCT 17103_Baudino Exhibits" xfId="56"/>
    <cellStyle name="_2008_ACCT 17103_Baudino Exhibits 2" xfId="57"/>
    <cellStyle name="_2008_ACCT 17103_Baudino Exhibits 2_Electric Analyses DRAFT" xfId="58"/>
    <cellStyle name="_2008_ACCT 17103_Baudino Exhibits 2_FERC Analyses Template - Midpoint" xfId="59"/>
    <cellStyle name="_2008_ACCT 17103_Baudino Exhibits_Electric Analyses DRAFT" xfId="60"/>
    <cellStyle name="_2008_ACCT 17103_Baudino Exhibits_Electric Analyses Template" xfId="61"/>
    <cellStyle name="_2008_ACCT 17103_Bond Yields &amp; Stk Mkt Trends" xfId="62"/>
    <cellStyle name="_2008_ACCT 17103_Electric Analyses DRAFT" xfId="63"/>
    <cellStyle name="_2008_ACCT 17103_Electric Analyses Template" xfId="64"/>
    <cellStyle name="_2008_ACCT 17103_Gas Analyses Template(BLH)" xfId="65"/>
    <cellStyle name="_2008_ACCT 17103_Value Line Data Base" xfId="66"/>
    <cellStyle name="_2008_ACCT 17103_Value Line Data Base 2" xfId="67"/>
    <cellStyle name="_2008_ACCT 17103_Value Line Data Base 2_Electric Analyses DRAFT" xfId="68"/>
    <cellStyle name="_2008_ACCT 17103_Value Line Data Base 2_FERC Analyses Template - Midpoint" xfId="69"/>
    <cellStyle name="_2008_ACCT 17103_Value Line Data Base_Electric Analyses DRAFT" xfId="70"/>
    <cellStyle name="_2008_ACCT 17103_Value Line Data Base_Electric Analyses Template" xfId="71"/>
    <cellStyle name="_2009 Budget 5_02_08  FINAL" xfId="72"/>
    <cellStyle name="_2009 Budget 5_02_08  FINAL_Avera UIL NEEWS Analyses 2011" xfId="73"/>
    <cellStyle name="_2009 Budget 5_02_08  FINAL_Avera UIL NEEWS Analyses 2011_Baudino Exhibits" xfId="74"/>
    <cellStyle name="_2009 Budget 5_02_08  FINAL_Avera UIL NEEWS Analyses 2011_Baudino Exhibits 2" xfId="75"/>
    <cellStyle name="_2009 Budget 5_02_08  FINAL_Avera UIL NEEWS Analyses 2011_Baudino Exhibits 2_Electric Analyses DRAFT" xfId="76"/>
    <cellStyle name="_2009 Budget 5_02_08  FINAL_Avera UIL NEEWS Analyses 2011_Baudino Exhibits 2_FERC Analyses Template - Midpoint" xfId="77"/>
    <cellStyle name="_2009 Budget 5_02_08  FINAL_Avera UIL NEEWS Analyses 2011_Baudino Exhibits_Electric Analyses DRAFT" xfId="78"/>
    <cellStyle name="_2009 Budget 5_02_08  FINAL_Avera UIL NEEWS Analyses 2011_Baudino Exhibits_Electric Analyses Template" xfId="79"/>
    <cellStyle name="_2009 Budget 5_02_08  FINAL_Avera UIL NEEWS Analyses 2011_Bond Yields &amp; Stk Mkt Trends" xfId="80"/>
    <cellStyle name="_2009 Budget 5_02_08  FINAL_Avera UIL NEEWS Analyses 2011_Electric Analyses DRAFT" xfId="81"/>
    <cellStyle name="_2009 Budget 5_02_08  FINAL_Avera UIL NEEWS Analyses 2011_Electric Analyses Template" xfId="82"/>
    <cellStyle name="_2009 Budget 5_02_08  FINAL_Avera UIL NEEWS Analyses 2011_Gas Analyses Template(BLH)" xfId="83"/>
    <cellStyle name="_2009 Budget 5_02_08  FINAL_Baudino Exhibits" xfId="84"/>
    <cellStyle name="_2009 Budget 5_02_08  FINAL_Baudino Exhibits 2" xfId="85"/>
    <cellStyle name="_2009 Budget 5_02_08  FINAL_Baudino Exhibits 2_Electric Analyses DRAFT" xfId="86"/>
    <cellStyle name="_2009 Budget 5_02_08  FINAL_Baudino Exhibits 2_FERC Analyses Template - Midpoint" xfId="87"/>
    <cellStyle name="_2009 Budget 5_02_08  FINAL_Baudino Exhibits_Electric Analyses DRAFT" xfId="88"/>
    <cellStyle name="_2009 Budget 5_02_08  FINAL_Baudino Exhibits_Electric Analyses Template" xfId="89"/>
    <cellStyle name="_2009 Budget 5_02_08  FINAL_Bond Yields &amp; Stk Mkt Trends" xfId="90"/>
    <cellStyle name="_2009 Budget 5_02_08  FINAL_Electric Analyses DRAFT" xfId="91"/>
    <cellStyle name="_2009 Budget 5_02_08  FINAL_Electric Analyses Template" xfId="92"/>
    <cellStyle name="_2009 Budget 5_02_08  FINAL_Gas Analyses Template(BLH)" xfId="93"/>
    <cellStyle name="_2009 Budget 5_02_08  FINAL_Value Line Data Base" xfId="94"/>
    <cellStyle name="_2009 Budget 5_02_08  FINAL_Value Line Data Base 2" xfId="95"/>
    <cellStyle name="_2009 Budget 5_02_08  FINAL_Value Line Data Base 2_Electric Analyses DRAFT" xfId="96"/>
    <cellStyle name="_2009 Budget 5_02_08  FINAL_Value Line Data Base 2_FERC Analyses Template - Midpoint" xfId="97"/>
    <cellStyle name="_2009 Budget 5_02_08  FINAL_Value Line Data Base_Electric Analyses DRAFT" xfId="98"/>
    <cellStyle name="_2009 Budget 5_02_08  FINAL_Value Line Data Base_Electric Analyses Template" xfId="99"/>
    <cellStyle name="_Reformatted Cash Flow Consolidation 0706" xfId="100"/>
    <cellStyle name="_Reformatted Cash Flow Consolidation 0706_Avera UIL NEEWS Analyses 2011" xfId="101"/>
    <cellStyle name="_Reformatted Cash Flow Consolidation 0706_Avera UIL NEEWS Analyses 2011_Baudino Exhibits" xfId="102"/>
    <cellStyle name="_Reformatted Cash Flow Consolidation 0706_Avera UIL NEEWS Analyses 2011_Baudino Exhibits 2" xfId="103"/>
    <cellStyle name="_Reformatted Cash Flow Consolidation 0706_Avera UIL NEEWS Analyses 2011_Baudino Exhibits 2_Electric Analyses DRAFT" xfId="104"/>
    <cellStyle name="_Reformatted Cash Flow Consolidation 0706_Avera UIL NEEWS Analyses 2011_Baudino Exhibits 2_FERC Analyses Template - Midpoint" xfId="105"/>
    <cellStyle name="_Reformatted Cash Flow Consolidation 0706_Avera UIL NEEWS Analyses 2011_Baudino Exhibits_Electric Analyses DRAFT" xfId="106"/>
    <cellStyle name="_Reformatted Cash Flow Consolidation 0706_Avera UIL NEEWS Analyses 2011_Baudino Exhibits_Electric Analyses Template" xfId="107"/>
    <cellStyle name="_Reformatted Cash Flow Consolidation 0706_Avera UIL NEEWS Analyses 2011_Bond Yields &amp; Stk Mkt Trends" xfId="108"/>
    <cellStyle name="_Reformatted Cash Flow Consolidation 0706_Avera UIL NEEWS Analyses 2011_Electric Analyses DRAFT" xfId="109"/>
    <cellStyle name="_Reformatted Cash Flow Consolidation 0706_Avera UIL NEEWS Analyses 2011_Electric Analyses Template" xfId="110"/>
    <cellStyle name="_Reformatted Cash Flow Consolidation 0706_Avera UIL NEEWS Analyses 2011_Gas Analyses Template(BLH)" xfId="111"/>
    <cellStyle name="_Reformatted Cash Flow Consolidation 0706_Baudino Exhibits" xfId="112"/>
    <cellStyle name="_Reformatted Cash Flow Consolidation 0706_Baudino Exhibits 2" xfId="113"/>
    <cellStyle name="_Reformatted Cash Flow Consolidation 0706_Baudino Exhibits 2_Electric Analyses DRAFT" xfId="114"/>
    <cellStyle name="_Reformatted Cash Flow Consolidation 0706_Baudino Exhibits 2_FERC Analyses Template - Midpoint" xfId="115"/>
    <cellStyle name="_Reformatted Cash Flow Consolidation 0706_Baudino Exhibits_Electric Analyses DRAFT" xfId="116"/>
    <cellStyle name="_Reformatted Cash Flow Consolidation 0706_Baudino Exhibits_Electric Analyses Template" xfId="117"/>
    <cellStyle name="_Reformatted Cash Flow Consolidation 0706_Bond Yields &amp; Stk Mkt Trends" xfId="118"/>
    <cellStyle name="_Reformatted Cash Flow Consolidation 0706_Electric Analyses DRAFT" xfId="119"/>
    <cellStyle name="_Reformatted Cash Flow Consolidation 0706_Electric Analyses Template" xfId="120"/>
    <cellStyle name="_Reformatted Cash Flow Consolidation 0706_Gas Analyses Template(BLH)" xfId="121"/>
    <cellStyle name="_Reformatted Cash Flow Consolidation 0706_Value Line Data Base" xfId="122"/>
    <cellStyle name="_Reformatted Cash Flow Consolidation 0706_Value Line Data Base 2" xfId="123"/>
    <cellStyle name="_Reformatted Cash Flow Consolidation 0706_Value Line Data Base 2_Electric Analyses DRAFT" xfId="124"/>
    <cellStyle name="_Reformatted Cash Flow Consolidation 0706_Value Line Data Base 2_FERC Analyses Template - Midpoint" xfId="125"/>
    <cellStyle name="_Reformatted Cash Flow Consolidation 0706_Value Line Data Base_Electric Analyses DRAFT" xfId="126"/>
    <cellStyle name="_Reformatted Cash Flow Consolidation 0706_Value Line Data Base_Electric Analyses Template" xfId="127"/>
    <cellStyle name="_Reformatted Cash Flow Consolidation 0906" xfId="128"/>
    <cellStyle name="_Reformatted Cash Flow Consolidation 0906_Avera UIL NEEWS Analyses 2011" xfId="129"/>
    <cellStyle name="_Reformatted Cash Flow Consolidation 0906_Avera UIL NEEWS Analyses 2011_Baudino Exhibits" xfId="130"/>
    <cellStyle name="_Reformatted Cash Flow Consolidation 0906_Avera UIL NEEWS Analyses 2011_Baudino Exhibits 2" xfId="131"/>
    <cellStyle name="_Reformatted Cash Flow Consolidation 0906_Avera UIL NEEWS Analyses 2011_Baudino Exhibits 2_Electric Analyses DRAFT" xfId="132"/>
    <cellStyle name="_Reformatted Cash Flow Consolidation 0906_Avera UIL NEEWS Analyses 2011_Baudino Exhibits 2_FERC Analyses Template - Midpoint" xfId="133"/>
    <cellStyle name="_Reformatted Cash Flow Consolidation 0906_Avera UIL NEEWS Analyses 2011_Baudino Exhibits_Electric Analyses DRAFT" xfId="134"/>
    <cellStyle name="_Reformatted Cash Flow Consolidation 0906_Avera UIL NEEWS Analyses 2011_Baudino Exhibits_Electric Analyses Template" xfId="135"/>
    <cellStyle name="_Reformatted Cash Flow Consolidation 0906_Avera UIL NEEWS Analyses 2011_Bond Yields &amp; Stk Mkt Trends" xfId="136"/>
    <cellStyle name="_Reformatted Cash Flow Consolidation 0906_Avera UIL NEEWS Analyses 2011_Electric Analyses DRAFT" xfId="137"/>
    <cellStyle name="_Reformatted Cash Flow Consolidation 0906_Avera UIL NEEWS Analyses 2011_Electric Analyses Template" xfId="138"/>
    <cellStyle name="_Reformatted Cash Flow Consolidation 0906_Avera UIL NEEWS Analyses 2011_Gas Analyses Template(BLH)" xfId="139"/>
    <cellStyle name="_Reformatted Cash Flow Consolidation 0906_Baudino Exhibits" xfId="140"/>
    <cellStyle name="_Reformatted Cash Flow Consolidation 0906_Baudino Exhibits 2" xfId="141"/>
    <cellStyle name="_Reformatted Cash Flow Consolidation 0906_Baudino Exhibits 2_Electric Analyses DRAFT" xfId="142"/>
    <cellStyle name="_Reformatted Cash Flow Consolidation 0906_Baudino Exhibits 2_FERC Analyses Template - Midpoint" xfId="143"/>
    <cellStyle name="_Reformatted Cash Flow Consolidation 0906_Baudino Exhibits_Electric Analyses DRAFT" xfId="144"/>
    <cellStyle name="_Reformatted Cash Flow Consolidation 0906_Baudino Exhibits_Electric Analyses Template" xfId="145"/>
    <cellStyle name="_Reformatted Cash Flow Consolidation 0906_Bond Yields &amp; Stk Mkt Trends" xfId="146"/>
    <cellStyle name="_Reformatted Cash Flow Consolidation 0906_Electric Analyses DRAFT" xfId="147"/>
    <cellStyle name="_Reformatted Cash Flow Consolidation 0906_Electric Analyses Template" xfId="148"/>
    <cellStyle name="_Reformatted Cash Flow Consolidation 0906_Gas Analyses Template(BLH)" xfId="149"/>
    <cellStyle name="_Reformatted Cash Flow Consolidation 0906_Value Line Data Base" xfId="150"/>
    <cellStyle name="_Reformatted Cash Flow Consolidation 0906_Value Line Data Base 2" xfId="151"/>
    <cellStyle name="_Reformatted Cash Flow Consolidation 0906_Value Line Data Base 2_Electric Analyses DRAFT" xfId="152"/>
    <cellStyle name="_Reformatted Cash Flow Consolidation 0906_Value Line Data Base 2_FERC Analyses Template - Midpoint" xfId="153"/>
    <cellStyle name="_Reformatted Cash Flow Consolidation 0906_Value Line Data Base_Electric Analyses DRAFT" xfId="154"/>
    <cellStyle name="_Reformatted Cash Flow Consolidation 0906_Value Line Data Base_Electric Analyses Template" xfId="155"/>
    <cellStyle name="20% - Accent1 2" xfId="156"/>
    <cellStyle name="20% - Accent1 3" xfId="157"/>
    <cellStyle name="20% - Accent1 4" xfId="158"/>
    <cellStyle name="20% - Accent1 5" xfId="159"/>
    <cellStyle name="20% - Accent1 6" xfId="160"/>
    <cellStyle name="20% - Accent2 2" xfId="161"/>
    <cellStyle name="20% - Accent2 3" xfId="162"/>
    <cellStyle name="20% - Accent2 4" xfId="163"/>
    <cellStyle name="20% - Accent2 5" xfId="164"/>
    <cellStyle name="20% - Accent2 6" xfId="165"/>
    <cellStyle name="20% - Accent3 2" xfId="166"/>
    <cellStyle name="20% - Accent3 3" xfId="167"/>
    <cellStyle name="20% - Accent3 4" xfId="168"/>
    <cellStyle name="20% - Accent3 5" xfId="169"/>
    <cellStyle name="20% - Accent3 6" xfId="170"/>
    <cellStyle name="20% - Accent4 2" xfId="171"/>
    <cellStyle name="20% - Accent4 3" xfId="172"/>
    <cellStyle name="20% - Accent4 4" xfId="173"/>
    <cellStyle name="20% - Accent4 5" xfId="174"/>
    <cellStyle name="20% - Accent4 6" xfId="175"/>
    <cellStyle name="20% - Accent5 2" xfId="176"/>
    <cellStyle name="20% - Accent5 3" xfId="177"/>
    <cellStyle name="20% - Accent5 4" xfId="178"/>
    <cellStyle name="20% - Accent5 5" xfId="179"/>
    <cellStyle name="20% - Accent5 6" xfId="180"/>
    <cellStyle name="20% - Accent6 2" xfId="181"/>
    <cellStyle name="20% - Accent6 3" xfId="182"/>
    <cellStyle name="20% - Accent6 4" xfId="183"/>
    <cellStyle name="20% - Accent6 5" xfId="184"/>
    <cellStyle name="20% - Accent6 6" xfId="185"/>
    <cellStyle name="40% - Accent1 2" xfId="186"/>
    <cellStyle name="40% - Accent1 3" xfId="187"/>
    <cellStyle name="40% - Accent1 4" xfId="188"/>
    <cellStyle name="40% - Accent1 5" xfId="189"/>
    <cellStyle name="40% - Accent1 6" xfId="190"/>
    <cellStyle name="40% - Accent2 2" xfId="191"/>
    <cellStyle name="40% - Accent2 3" xfId="192"/>
    <cellStyle name="40% - Accent2 4" xfId="193"/>
    <cellStyle name="40% - Accent2 5" xfId="194"/>
    <cellStyle name="40% - Accent2 6" xfId="195"/>
    <cellStyle name="40% - Accent3 2" xfId="196"/>
    <cellStyle name="40% - Accent3 3" xfId="197"/>
    <cellStyle name="40% - Accent3 4" xfId="198"/>
    <cellStyle name="40% - Accent3 5" xfId="199"/>
    <cellStyle name="40% - Accent3 6" xfId="200"/>
    <cellStyle name="40% - Accent4 2" xfId="201"/>
    <cellStyle name="40% - Accent4 3" xfId="202"/>
    <cellStyle name="40% - Accent4 4" xfId="203"/>
    <cellStyle name="40% - Accent4 5" xfId="204"/>
    <cellStyle name="40% - Accent4 6" xfId="205"/>
    <cellStyle name="40% - Accent5 2" xfId="206"/>
    <cellStyle name="40% - Accent5 3" xfId="207"/>
    <cellStyle name="40% - Accent5 4" xfId="208"/>
    <cellStyle name="40% - Accent5 5" xfId="209"/>
    <cellStyle name="40% - Accent5 6" xfId="210"/>
    <cellStyle name="40% - Accent6 2" xfId="211"/>
    <cellStyle name="40% - Accent6 3" xfId="212"/>
    <cellStyle name="40% - Accent6 4" xfId="213"/>
    <cellStyle name="40% - Accent6 5" xfId="214"/>
    <cellStyle name="40% - Accent6 6" xfId="215"/>
    <cellStyle name="60% - Accent1 2" xfId="216"/>
    <cellStyle name="60% - Accent1 3" xfId="217"/>
    <cellStyle name="60% - Accent1 4" xfId="218"/>
    <cellStyle name="60% - Accent1 5" xfId="219"/>
    <cellStyle name="60% - Accent1 6" xfId="220"/>
    <cellStyle name="60% - Accent2 2" xfId="221"/>
    <cellStyle name="60% - Accent2 3" xfId="222"/>
    <cellStyle name="60% - Accent2 4" xfId="223"/>
    <cellStyle name="60% - Accent2 5" xfId="224"/>
    <cellStyle name="60% - Accent2 6" xfId="225"/>
    <cellStyle name="60% - Accent3 2" xfId="226"/>
    <cellStyle name="60% - Accent3 3" xfId="227"/>
    <cellStyle name="60% - Accent3 4" xfId="228"/>
    <cellStyle name="60% - Accent3 5" xfId="229"/>
    <cellStyle name="60% - Accent3 6" xfId="230"/>
    <cellStyle name="60% - Accent4 2" xfId="231"/>
    <cellStyle name="60% - Accent4 3" xfId="232"/>
    <cellStyle name="60% - Accent4 4" xfId="233"/>
    <cellStyle name="60% - Accent4 5" xfId="234"/>
    <cellStyle name="60% - Accent4 6" xfId="235"/>
    <cellStyle name="60% - Accent5 2" xfId="236"/>
    <cellStyle name="60% - Accent5 3" xfId="237"/>
    <cellStyle name="60% - Accent5 4" xfId="238"/>
    <cellStyle name="60% - Accent5 5" xfId="239"/>
    <cellStyle name="60% - Accent5 6" xfId="240"/>
    <cellStyle name="60% - Accent6 2" xfId="241"/>
    <cellStyle name="60% - Accent6 3" xfId="242"/>
    <cellStyle name="60% - Accent6 4" xfId="243"/>
    <cellStyle name="60% - Accent6 5" xfId="244"/>
    <cellStyle name="60% - Accent6 6" xfId="245"/>
    <cellStyle name="Accent1 2" xfId="246"/>
    <cellStyle name="Accent1 3" xfId="247"/>
    <cellStyle name="Accent1 4" xfId="248"/>
    <cellStyle name="Accent1 5" xfId="249"/>
    <cellStyle name="Accent1 6" xfId="250"/>
    <cellStyle name="Accent2 2" xfId="251"/>
    <cellStyle name="Accent2 3" xfId="252"/>
    <cellStyle name="Accent2 4" xfId="253"/>
    <cellStyle name="Accent2 5" xfId="254"/>
    <cellStyle name="Accent2 6" xfId="255"/>
    <cellStyle name="Accent3 2" xfId="256"/>
    <cellStyle name="Accent3 3" xfId="257"/>
    <cellStyle name="Accent3 4" xfId="258"/>
    <cellStyle name="Accent3 5" xfId="259"/>
    <cellStyle name="Accent3 6" xfId="260"/>
    <cellStyle name="Accent4 2" xfId="261"/>
    <cellStyle name="Accent4 3" xfId="262"/>
    <cellStyle name="Accent4 4" xfId="263"/>
    <cellStyle name="Accent4 5" xfId="264"/>
    <cellStyle name="Accent4 6" xfId="265"/>
    <cellStyle name="Accent5 2" xfId="266"/>
    <cellStyle name="Accent5 3" xfId="267"/>
    <cellStyle name="Accent5 4" xfId="268"/>
    <cellStyle name="Accent5 5" xfId="269"/>
    <cellStyle name="Accent5 6" xfId="270"/>
    <cellStyle name="Accent6 2" xfId="271"/>
    <cellStyle name="Accent6 3" xfId="272"/>
    <cellStyle name="Accent6 4" xfId="273"/>
    <cellStyle name="Accent6 5" xfId="274"/>
    <cellStyle name="Accent6 6" xfId="275"/>
    <cellStyle name="alternate1" xfId="276"/>
    <cellStyle name="Bad 2" xfId="277"/>
    <cellStyle name="Bad 3" xfId="278"/>
    <cellStyle name="Bad 4" xfId="279"/>
    <cellStyle name="Bad 5" xfId="280"/>
    <cellStyle name="Bad 6" xfId="281"/>
    <cellStyle name="Body: normal cell" xfId="282"/>
    <cellStyle name="Calculation 2" xfId="283"/>
    <cellStyle name="Calculation 3" xfId="284"/>
    <cellStyle name="Calculation 4" xfId="285"/>
    <cellStyle name="Calculation 5" xfId="286"/>
    <cellStyle name="Calculation 6" xfId="287"/>
    <cellStyle name="Check Cell 2" xfId="288"/>
    <cellStyle name="Check Cell 3" xfId="289"/>
    <cellStyle name="Check Cell 4" xfId="290"/>
    <cellStyle name="Check Cell 5" xfId="291"/>
    <cellStyle name="Check Cell 6" xfId="292"/>
    <cellStyle name="Comma 10" xfId="293"/>
    <cellStyle name="Comma 11" xfId="633"/>
    <cellStyle name="Comma 2" xfId="13"/>
    <cellStyle name="Comma 2 2" xfId="294"/>
    <cellStyle name="Comma 2 3" xfId="295"/>
    <cellStyle name="Comma 2 4" xfId="296"/>
    <cellStyle name="Comma 2 5" xfId="297"/>
    <cellStyle name="Comma 2 6" xfId="298"/>
    <cellStyle name="Comma 2 7" xfId="641"/>
    <cellStyle name="Comma 3" xfId="299"/>
    <cellStyle name="Comma 3 2" xfId="300"/>
    <cellStyle name="Comma 3 3" xfId="301"/>
    <cellStyle name="Comma 3 4" xfId="302"/>
    <cellStyle name="Comma 3 5" xfId="303"/>
    <cellStyle name="Comma 3 6" xfId="304"/>
    <cellStyle name="Comma 4" xfId="305"/>
    <cellStyle name="Comma 4 2" xfId="306"/>
    <cellStyle name="Comma 4 3" xfId="307"/>
    <cellStyle name="Comma 4 4" xfId="308"/>
    <cellStyle name="Comma 4 5" xfId="309"/>
    <cellStyle name="Comma 5" xfId="310"/>
    <cellStyle name="Comma 6" xfId="311"/>
    <cellStyle name="Comma 7" xfId="312"/>
    <cellStyle name="Comma 7 2" xfId="313"/>
    <cellStyle name="Comma 8" xfId="314"/>
    <cellStyle name="Comma 9" xfId="315"/>
    <cellStyle name="Comma0" xfId="316"/>
    <cellStyle name="Currency 10" xfId="317"/>
    <cellStyle name="Currency 11" xfId="318"/>
    <cellStyle name="Currency 12" xfId="632"/>
    <cellStyle name="Currency 2" xfId="4"/>
    <cellStyle name="Currency 2 2" xfId="319"/>
    <cellStyle name="Currency 2 3" xfId="320"/>
    <cellStyle name="Currency 2 4" xfId="321"/>
    <cellStyle name="Currency 2 5" xfId="322"/>
    <cellStyle name="Currency 2 6" xfId="323"/>
    <cellStyle name="Currency 3" xfId="11"/>
    <cellStyle name="Currency 3 2" xfId="324"/>
    <cellStyle name="Currency 4" xfId="325"/>
    <cellStyle name="Currency 5" xfId="326"/>
    <cellStyle name="Currency 6" xfId="327"/>
    <cellStyle name="Currency 7" xfId="328"/>
    <cellStyle name="Currency 8" xfId="329"/>
    <cellStyle name="Currency 9" xfId="330"/>
    <cellStyle name="Currency0" xfId="331"/>
    <cellStyle name="Custom - Style1" xfId="642"/>
    <cellStyle name="Custom - Style8" xfId="332"/>
    <cellStyle name="Data   - Style2" xfId="333"/>
    <cellStyle name="Date" xfId="334"/>
    <cellStyle name="Euro" xfId="335"/>
    <cellStyle name="Exhibits" xfId="336"/>
    <cellStyle name="Explanatory Text 2" xfId="337"/>
    <cellStyle name="Explanatory Text 3" xfId="338"/>
    <cellStyle name="Explanatory Text 4" xfId="339"/>
    <cellStyle name="Explanatory Text 5" xfId="340"/>
    <cellStyle name="Explanatory Text 6" xfId="341"/>
    <cellStyle name="F2" xfId="342"/>
    <cellStyle name="F3" xfId="343"/>
    <cellStyle name="F4" xfId="344"/>
    <cellStyle name="F5" xfId="345"/>
    <cellStyle name="F6" xfId="346"/>
    <cellStyle name="F7" xfId="347"/>
    <cellStyle name="F8" xfId="348"/>
    <cellStyle name="Fixed" xfId="349"/>
    <cellStyle name="Good 2" xfId="350"/>
    <cellStyle name="Good 3" xfId="351"/>
    <cellStyle name="Good 4" xfId="352"/>
    <cellStyle name="Good 5" xfId="353"/>
    <cellStyle name="Good 6" xfId="354"/>
    <cellStyle name="Heading 1 2" xfId="355"/>
    <cellStyle name="Heading 1 3" xfId="356"/>
    <cellStyle name="Heading 1 4" xfId="357"/>
    <cellStyle name="Heading 1 5" xfId="358"/>
    <cellStyle name="Heading 1 6" xfId="359"/>
    <cellStyle name="Heading 2 2" xfId="360"/>
    <cellStyle name="Heading 2 3" xfId="361"/>
    <cellStyle name="Heading 2 4" xfId="362"/>
    <cellStyle name="Heading 2 5" xfId="363"/>
    <cellStyle name="Heading 2 6" xfId="364"/>
    <cellStyle name="Heading 3 2" xfId="365"/>
    <cellStyle name="Heading 3 3" xfId="366"/>
    <cellStyle name="Heading 3 4" xfId="367"/>
    <cellStyle name="Heading 3 5" xfId="368"/>
    <cellStyle name="Heading 3 6" xfId="369"/>
    <cellStyle name="Heading 4 2" xfId="370"/>
    <cellStyle name="Heading 4 3" xfId="371"/>
    <cellStyle name="Heading 4 4" xfId="372"/>
    <cellStyle name="Heading 4 5" xfId="373"/>
    <cellStyle name="Heading 4 6" xfId="374"/>
    <cellStyle name="HEADING1" xfId="375"/>
    <cellStyle name="HEADING2" xfId="376"/>
    <cellStyle name="HeadlineStyle" xfId="377"/>
    <cellStyle name="HeadlineStyle 2" xfId="378"/>
    <cellStyle name="HeadlineStyle_Bond Yields &amp; Stk Mkt Trends" xfId="379"/>
    <cellStyle name="HeadlineStyleJustified" xfId="380"/>
    <cellStyle name="Hyperlink" xfId="636" builtinId="8"/>
    <cellStyle name="Input 2" xfId="381"/>
    <cellStyle name="Input 3" xfId="382"/>
    <cellStyle name="Input 4" xfId="383"/>
    <cellStyle name="Input 5" xfId="384"/>
    <cellStyle name="Input 6" xfId="385"/>
    <cellStyle name="Labels - Style3" xfId="643"/>
    <cellStyle name="Lines" xfId="386"/>
    <cellStyle name="Linked Cell 2" xfId="387"/>
    <cellStyle name="Linked Cell 3" xfId="388"/>
    <cellStyle name="Linked Cell 4" xfId="389"/>
    <cellStyle name="Linked Cell 5" xfId="390"/>
    <cellStyle name="Linked Cell 6" xfId="391"/>
    <cellStyle name="Neutral 2" xfId="392"/>
    <cellStyle name="Neutral 3" xfId="393"/>
    <cellStyle name="Neutral 4" xfId="394"/>
    <cellStyle name="Neutral 5" xfId="395"/>
    <cellStyle name="Neutral 6" xfId="396"/>
    <cellStyle name="Normal" xfId="0" builtinId="0"/>
    <cellStyle name="Normal - Style1" xfId="397"/>
    <cellStyle name="Normal - Style2" xfId="398"/>
    <cellStyle name="Normal - Style3" xfId="399"/>
    <cellStyle name="Normal - Style4" xfId="400"/>
    <cellStyle name="Normal - Style5" xfId="401"/>
    <cellStyle name="Normal - Style6" xfId="402"/>
    <cellStyle name="Normal - Style7" xfId="403"/>
    <cellStyle name="Normal - Style8" xfId="404"/>
    <cellStyle name="Normal 10" xfId="405"/>
    <cellStyle name="Normal 10 2" xfId="406"/>
    <cellStyle name="Normal 10 21 3" xfId="635"/>
    <cellStyle name="Normal 10 3" xfId="407"/>
    <cellStyle name="Normal 10 70" xfId="408"/>
    <cellStyle name="Normal 10_Avera Rebuttal Analyses" xfId="409"/>
    <cellStyle name="Normal 11" xfId="410"/>
    <cellStyle name="Normal 11 2" xfId="411"/>
    <cellStyle name="Normal 11 3" xfId="412"/>
    <cellStyle name="Normal 11_Avera Rebuttal Analyses" xfId="413"/>
    <cellStyle name="Normal 12" xfId="414"/>
    <cellStyle name="Normal 12 2" xfId="415"/>
    <cellStyle name="Normal 12_Avera Rebuttal Analyses" xfId="416"/>
    <cellStyle name="Normal 13" xfId="417"/>
    <cellStyle name="Normal 13 2" xfId="418"/>
    <cellStyle name="Normal 13_Avera Rebuttal Analyses" xfId="419"/>
    <cellStyle name="Normal 14" xfId="420"/>
    <cellStyle name="Normal 14 2" xfId="421"/>
    <cellStyle name="Normal 14 2 2" xfId="422"/>
    <cellStyle name="Normal 14_Bond Yields &amp; Stk Mkt Trends" xfId="423"/>
    <cellStyle name="Normal 15" xfId="424"/>
    <cellStyle name="Normal 16" xfId="425"/>
    <cellStyle name="Normal 17" xfId="426"/>
    <cellStyle name="Normal 18" xfId="427"/>
    <cellStyle name="Normal 19" xfId="428"/>
    <cellStyle name="Normal 2" xfId="3"/>
    <cellStyle name="Normal 2 10" xfId="429"/>
    <cellStyle name="Normal 2 11" xfId="430"/>
    <cellStyle name="Normal 2 12" xfId="431"/>
    <cellStyle name="Normal 2 13" xfId="432"/>
    <cellStyle name="Normal 2 14" xfId="640"/>
    <cellStyle name="Normal 2 2" xfId="433"/>
    <cellStyle name="Normal 2 3" xfId="434"/>
    <cellStyle name="Normal 2 4" xfId="435"/>
    <cellStyle name="Normal 2 4 2" xfId="436"/>
    <cellStyle name="Normal 2 4 2 2" xfId="437"/>
    <cellStyle name="Normal 2 4 2_Avera Analyses - Black Hills CO" xfId="438"/>
    <cellStyle name="Normal 2 4 3" xfId="439"/>
    <cellStyle name="Normal 2 4 4" xfId="440"/>
    <cellStyle name="Normal 2 4_Avera Analyses - Black Hills CO" xfId="441"/>
    <cellStyle name="Normal 2 5" xfId="442"/>
    <cellStyle name="Normal 2 5 2" xfId="443"/>
    <cellStyle name="Normal 2 5_Avera Analyses - Black Hills CO" xfId="444"/>
    <cellStyle name="Normal 2 6" xfId="445"/>
    <cellStyle name="Normal 2 7" xfId="446"/>
    <cellStyle name="Normal 2 8" xfId="447"/>
    <cellStyle name="Normal 2 9" xfId="448"/>
    <cellStyle name="Normal 2_Atmos Rebuttal Analyses" xfId="449"/>
    <cellStyle name="Normal 20" xfId="450"/>
    <cellStyle name="Normal 208" xfId="637"/>
    <cellStyle name="Normal 209" xfId="639"/>
    <cellStyle name="Normal 21" xfId="451"/>
    <cellStyle name="Normal 22" xfId="628"/>
    <cellStyle name="Normal 23" xfId="630"/>
    <cellStyle name="Normal 3" xfId="5"/>
    <cellStyle name="Normal 3 2" xfId="452"/>
    <cellStyle name="Normal 3 2 10" xfId="453"/>
    <cellStyle name="Normal 3 2 2" xfId="454"/>
    <cellStyle name="Normal 3 2_Avera Rebuttal Analyses" xfId="455"/>
    <cellStyle name="Normal 3_Atmos Rebuttal Analyses" xfId="456"/>
    <cellStyle name="Normal 4" xfId="457"/>
    <cellStyle name="Normal 4 2" xfId="458"/>
    <cellStyle name="Normal 4 3" xfId="459"/>
    <cellStyle name="Normal 4_Exhibits MPG-5 thru 18, 22" xfId="460"/>
    <cellStyle name="Normal 5" xfId="461"/>
    <cellStyle name="Normal 5 2" xfId="462"/>
    <cellStyle name="Normal 5 3" xfId="463"/>
    <cellStyle name="Normal 5 4" xfId="464"/>
    <cellStyle name="Normal 5 5" xfId="465"/>
    <cellStyle name="Normal 5_Atmos Rebuttal Analyses" xfId="466"/>
    <cellStyle name="Normal 6" xfId="467"/>
    <cellStyle name="Normal 6 2" xfId="468"/>
    <cellStyle name="Normal 6 3" xfId="469"/>
    <cellStyle name="Normal 6 4" xfId="470"/>
    <cellStyle name="Normal 6 5" xfId="471"/>
    <cellStyle name="Normal 6 6" xfId="472"/>
    <cellStyle name="Normal 6_Atmos Rebuttal Analyses" xfId="473"/>
    <cellStyle name="Normal 7" xfId="474"/>
    <cellStyle name="Normal 7 2" xfId="475"/>
    <cellStyle name="Normal 7 3" xfId="476"/>
    <cellStyle name="Normal 7 4" xfId="477"/>
    <cellStyle name="Normal 7 5" xfId="478"/>
    <cellStyle name="Normal 7 6" xfId="479"/>
    <cellStyle name="Normal 7_Avera Rebuttal Analyses" xfId="480"/>
    <cellStyle name="Normal 8" xfId="481"/>
    <cellStyle name="Normal 8 2" xfId="482"/>
    <cellStyle name="Normal 8 3" xfId="483"/>
    <cellStyle name="Normal 8 4" xfId="484"/>
    <cellStyle name="Normal 8_Avera Rebuttal Analyses" xfId="485"/>
    <cellStyle name="Normal 9" xfId="486"/>
    <cellStyle name="Normal 9 2" xfId="487"/>
    <cellStyle name="Normal 9 3" xfId="488"/>
    <cellStyle name="Normal 9 4" xfId="489"/>
    <cellStyle name="Normal 9_Avera Rebuttal Analyses" xfId="490"/>
    <cellStyle name="Normal_DCF" xfId="631"/>
    <cellStyle name="Normal_Risk Premium" xfId="629"/>
    <cellStyle name="Normal_Value Line Group" xfId="14"/>
    <cellStyle name="Normal_West Group" xfId="1"/>
    <cellStyle name="Note 2" xfId="491"/>
    <cellStyle name="Note 3" xfId="492"/>
    <cellStyle name="Note 4" xfId="493"/>
    <cellStyle name="Note 5" xfId="494"/>
    <cellStyle name="Note 6" xfId="495"/>
    <cellStyle name="Output 2" xfId="496"/>
    <cellStyle name="Output 3" xfId="497"/>
    <cellStyle name="Output 4" xfId="498"/>
    <cellStyle name="Output 5" xfId="499"/>
    <cellStyle name="Output 6" xfId="500"/>
    <cellStyle name="Output Amounts" xfId="6"/>
    <cellStyle name="Output Column Headings" xfId="7"/>
    <cellStyle name="Output Line Items" xfId="8"/>
    <cellStyle name="Output Report Heading" xfId="9"/>
    <cellStyle name="Output Report Title" xfId="10"/>
    <cellStyle name="Percent 10" xfId="501"/>
    <cellStyle name="Percent 11" xfId="502"/>
    <cellStyle name="Percent 12" xfId="503"/>
    <cellStyle name="Percent 13" xfId="634"/>
    <cellStyle name="Percent 2" xfId="2"/>
    <cellStyle name="Percent 2 2" xfId="504"/>
    <cellStyle name="Percent 2 2 2" xfId="505"/>
    <cellStyle name="Percent 2 2 2 2" xfId="506"/>
    <cellStyle name="Percent 2 3" xfId="507"/>
    <cellStyle name="Percent 2 4" xfId="508"/>
    <cellStyle name="Percent 2 5" xfId="509"/>
    <cellStyle name="Percent 2 6" xfId="510"/>
    <cellStyle name="Percent 2_Atmos Rebuttal Analyses" xfId="511"/>
    <cellStyle name="Percent 3" xfId="12"/>
    <cellStyle name="Percent 3 2" xfId="512"/>
    <cellStyle name="Percent 4" xfId="513"/>
    <cellStyle name="Percent 4 2" xfId="514"/>
    <cellStyle name="Percent 5" xfId="515"/>
    <cellStyle name="Percent 6" xfId="516"/>
    <cellStyle name="Percent 7" xfId="517"/>
    <cellStyle name="Percent 8" xfId="518"/>
    <cellStyle name="Percent 8 2" xfId="519"/>
    <cellStyle name="Percent 85" xfId="638"/>
    <cellStyle name="Percent 9" xfId="520"/>
    <cellStyle name="PSChar" xfId="521"/>
    <cellStyle name="PSDate" xfId="522"/>
    <cellStyle name="PSDec" xfId="523"/>
    <cellStyle name="PSHeading" xfId="524"/>
    <cellStyle name="PSInt" xfId="525"/>
    <cellStyle name="PSSpacer" xfId="526"/>
    <cellStyle name="Reset  - Style4" xfId="644"/>
    <cellStyle name="Reset  - Style7" xfId="527"/>
    <cellStyle name="SAPBEXaggData" xfId="528"/>
    <cellStyle name="SAPBEXaggDataEmph" xfId="529"/>
    <cellStyle name="SAPBEXaggItem" xfId="530"/>
    <cellStyle name="SAPBEXaggItemX" xfId="531"/>
    <cellStyle name="SAPBEXchaText" xfId="532"/>
    <cellStyle name="SAPBEXexcBad7" xfId="533"/>
    <cellStyle name="SAPBEXexcBad8" xfId="534"/>
    <cellStyle name="SAPBEXexcBad9" xfId="535"/>
    <cellStyle name="SAPBEXexcCritical4" xfId="536"/>
    <cellStyle name="SAPBEXexcCritical5" xfId="537"/>
    <cellStyle name="SAPBEXexcCritical6" xfId="538"/>
    <cellStyle name="SAPBEXexcGood1" xfId="539"/>
    <cellStyle name="SAPBEXexcGood2" xfId="540"/>
    <cellStyle name="SAPBEXexcGood3" xfId="541"/>
    <cellStyle name="SAPBEXfilterDrill" xfId="542"/>
    <cellStyle name="SAPBEXfilterItem" xfId="543"/>
    <cellStyle name="SAPBEXfilterText" xfId="544"/>
    <cellStyle name="SAPBEXformats" xfId="545"/>
    <cellStyle name="SAPBEXheaderItem" xfId="546"/>
    <cellStyle name="SAPBEXheaderText" xfId="547"/>
    <cellStyle name="SAPBEXHLevel0" xfId="548"/>
    <cellStyle name="SAPBEXHLevel0X" xfId="549"/>
    <cellStyle name="SAPBEXHLevel1" xfId="550"/>
    <cellStyle name="SAPBEXHLevel1X" xfId="551"/>
    <cellStyle name="SAPBEXHLevel2" xfId="552"/>
    <cellStyle name="SAPBEXHLevel2X" xfId="553"/>
    <cellStyle name="SAPBEXHLevel3" xfId="554"/>
    <cellStyle name="SAPBEXHLevel3X" xfId="555"/>
    <cellStyle name="SAPBEXresData" xfId="556"/>
    <cellStyle name="SAPBEXresDataEmph" xfId="557"/>
    <cellStyle name="SAPBEXresItem" xfId="558"/>
    <cellStyle name="SAPBEXresItemX" xfId="559"/>
    <cellStyle name="SAPBEXstdData" xfId="560"/>
    <cellStyle name="SAPBEXstdDataEmph" xfId="561"/>
    <cellStyle name="SAPBEXstdItem" xfId="562"/>
    <cellStyle name="SAPBEXstdItemX" xfId="563"/>
    <cellStyle name="SAPBEXtitle" xfId="564"/>
    <cellStyle name="SAPBEXundefined" xfId="565"/>
    <cellStyle name="Style 1" xfId="566"/>
    <cellStyle name="Style 105" xfId="567"/>
    <cellStyle name="Style 109" xfId="568"/>
    <cellStyle name="Style 113" xfId="569"/>
    <cellStyle name="Style 117" xfId="570"/>
    <cellStyle name="Style 140" xfId="571"/>
    <cellStyle name="Style 144" xfId="572"/>
    <cellStyle name="Style 21" xfId="573"/>
    <cellStyle name="Style 21 2" xfId="574"/>
    <cellStyle name="Style 22" xfId="575"/>
    <cellStyle name="Style 22 2" xfId="576"/>
    <cellStyle name="Style 22 2 2" xfId="577"/>
    <cellStyle name="Style 22 2_Avera Rebuttal Analyses" xfId="578"/>
    <cellStyle name="Style 23" xfId="579"/>
    <cellStyle name="Style 24" xfId="580"/>
    <cellStyle name="Style 24 2" xfId="581"/>
    <cellStyle name="Style 24 2 2" xfId="582"/>
    <cellStyle name="Style 24 2_Avera Rebuttal Analyses" xfId="583"/>
    <cellStyle name="Style 25" xfId="584"/>
    <cellStyle name="Style 26" xfId="585"/>
    <cellStyle name="Style 26 2" xfId="586"/>
    <cellStyle name="Style 26 2 2" xfId="587"/>
    <cellStyle name="Style 26 2_Avera Rebuttal Analyses" xfId="588"/>
    <cellStyle name="Style 26 3" xfId="589"/>
    <cellStyle name="Style 26 4" xfId="590"/>
    <cellStyle name="Style 27" xfId="591"/>
    <cellStyle name="Style 28" xfId="592"/>
    <cellStyle name="Style 29" xfId="593"/>
    <cellStyle name="Style 30" xfId="594"/>
    <cellStyle name="Style 31" xfId="595"/>
    <cellStyle name="Style 32" xfId="596"/>
    <cellStyle name="Style 33" xfId="597"/>
    <cellStyle name="Style 34" xfId="598"/>
    <cellStyle name="Style 35" xfId="599"/>
    <cellStyle name="Style 36" xfId="600"/>
    <cellStyle name="Style 37" xfId="601"/>
    <cellStyle name="Style 38" xfId="602"/>
    <cellStyle name="Style 39" xfId="603"/>
    <cellStyle name="STYLE1" xfId="604"/>
    <cellStyle name="STYLE2" xfId="605"/>
    <cellStyle name="STYLE3" xfId="606"/>
    <cellStyle name="STYLE4" xfId="607"/>
    <cellStyle name="Table  - Style5" xfId="645"/>
    <cellStyle name="Table  - Style6" xfId="608"/>
    <cellStyle name="Title  - Style1" xfId="609"/>
    <cellStyle name="Title  - Style6" xfId="646"/>
    <cellStyle name="Title 2" xfId="610"/>
    <cellStyle name="Title 3" xfId="611"/>
    <cellStyle name="Title 4" xfId="612"/>
    <cellStyle name="Title 5" xfId="613"/>
    <cellStyle name="Title 6" xfId="614"/>
    <cellStyle name="Total 2" xfId="615"/>
    <cellStyle name="Total 3" xfId="616"/>
    <cellStyle name="Total 4" xfId="617"/>
    <cellStyle name="Total 5" xfId="618"/>
    <cellStyle name="Total 6" xfId="619"/>
    <cellStyle name="TotCol - Style5" xfId="620"/>
    <cellStyle name="TotCol - Style7" xfId="647"/>
    <cellStyle name="TotRow - Style4" xfId="621"/>
    <cellStyle name="TotRow - Style8" xfId="648"/>
    <cellStyle name="Warning Text 2" xfId="622"/>
    <cellStyle name="Warning Text 3" xfId="623"/>
    <cellStyle name="Warning Text 4" xfId="624"/>
    <cellStyle name="Warning Text 5" xfId="625"/>
    <cellStyle name="Warning Text 6" xfId="626"/>
    <cellStyle name="Обычный_RTS_select_issues" xfId="627"/>
  </cellStyles>
  <dxfs count="6"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907261592301"/>
          <c:y val="5.1400554097404488E-2"/>
          <c:w val="0.58421850393700792"/>
          <c:h val="0.64965660542432191"/>
        </c:manualLayout>
      </c:layout>
      <c:barChart>
        <c:barDir val="col"/>
        <c:grouping val="clustered"/>
        <c:varyColors val="0"/>
        <c:ser>
          <c:idx val="0"/>
          <c:order val="0"/>
          <c:tx>
            <c:v>Allowed ROE</c:v>
          </c:tx>
          <c:invertIfNegative val="0"/>
          <c:cat>
            <c:strRef>
              <c:f>'Reb Figure 1'!$A$5:$H$5</c:f>
              <c:strCache>
                <c:ptCount val="7"/>
                <c:pt idx="1">
                  <c:v>Parcell Group</c:v>
                </c:pt>
                <c:pt idx="2">
                  <c:v>Gorman/Garrett Group</c:v>
                </c:pt>
                <c:pt idx="3">
                  <c:v>Parcell Group</c:v>
                </c:pt>
                <c:pt idx="4">
                  <c:v>Gorman/Garrett Group</c:v>
                </c:pt>
                <c:pt idx="5">
                  <c:v>Electric</c:v>
                </c:pt>
                <c:pt idx="6">
                  <c:v>Gas</c:v>
                </c:pt>
              </c:strCache>
            </c:strRef>
          </c:cat>
          <c:val>
            <c:numRef>
              <c:f>'Reb Figure 1'!$A$6:$H$6</c:f>
              <c:numCache>
                <c:formatCode>0.00%</c:formatCode>
                <c:ptCount val="8"/>
                <c:pt idx="1">
                  <c:v>9.8307575757575746E-2</c:v>
                </c:pt>
                <c:pt idx="2">
                  <c:v>9.908802083333336E-2</c:v>
                </c:pt>
              </c:numCache>
            </c:numRef>
          </c:val>
        </c:ser>
        <c:ser>
          <c:idx val="1"/>
          <c:order val="1"/>
          <c:tx>
            <c:v>Earned ROE</c:v>
          </c:tx>
          <c:invertIfNegative val="0"/>
          <c:cat>
            <c:strRef>
              <c:f>'Reb Figure 1'!$A$5:$H$5</c:f>
              <c:strCache>
                <c:ptCount val="7"/>
                <c:pt idx="1">
                  <c:v>Parcell Group</c:v>
                </c:pt>
                <c:pt idx="2">
                  <c:v>Gorman/Garrett Group</c:v>
                </c:pt>
                <c:pt idx="3">
                  <c:v>Parcell Group</c:v>
                </c:pt>
                <c:pt idx="4">
                  <c:v>Gorman/Garrett Group</c:v>
                </c:pt>
                <c:pt idx="5">
                  <c:v>Electric</c:v>
                </c:pt>
                <c:pt idx="6">
                  <c:v>Gas</c:v>
                </c:pt>
              </c:strCache>
            </c:strRef>
          </c:cat>
          <c:val>
            <c:numRef>
              <c:f>'Reb Figure 1'!$A$7:$H$7</c:f>
              <c:numCache>
                <c:formatCode>General</c:formatCode>
                <c:ptCount val="8"/>
                <c:pt idx="3" formatCode="0.0000">
                  <c:v>0.10587202657911465</c:v>
                </c:pt>
                <c:pt idx="4" formatCode="0.0000">
                  <c:v>0.10791237038012186</c:v>
                </c:pt>
              </c:numCache>
            </c:numRef>
          </c:val>
        </c:ser>
        <c:ser>
          <c:idx val="2"/>
          <c:order val="2"/>
          <c:tx>
            <c:v>RRA Authorized 2017</c:v>
          </c:tx>
          <c:invertIfNegative val="0"/>
          <c:cat>
            <c:strRef>
              <c:f>'Reb Figure 1'!$A$5:$H$5</c:f>
              <c:strCache>
                <c:ptCount val="7"/>
                <c:pt idx="1">
                  <c:v>Parcell Group</c:v>
                </c:pt>
                <c:pt idx="2">
                  <c:v>Gorman/Garrett Group</c:v>
                </c:pt>
                <c:pt idx="3">
                  <c:v>Parcell Group</c:v>
                </c:pt>
                <c:pt idx="4">
                  <c:v>Gorman/Garrett Group</c:v>
                </c:pt>
                <c:pt idx="5">
                  <c:v>Electric</c:v>
                </c:pt>
                <c:pt idx="6">
                  <c:v>Gas</c:v>
                </c:pt>
              </c:strCache>
            </c:strRef>
          </c:cat>
          <c:val>
            <c:numRef>
              <c:f>'Reb Figure 1'!$A$8:$H$8</c:f>
              <c:numCache>
                <c:formatCode>General</c:formatCode>
                <c:ptCount val="8"/>
                <c:pt idx="5">
                  <c:v>9.7000000000000003E-2</c:v>
                </c:pt>
                <c:pt idx="6">
                  <c:v>9.7500000000000003E-2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93"/>
        <c:axId val="171103728"/>
        <c:axId val="173438664"/>
      </c:barChart>
      <c:lineChart>
        <c:grouping val="standard"/>
        <c:varyColors val="0"/>
        <c:ser>
          <c:idx val="3"/>
          <c:order val="3"/>
          <c:tx>
            <c:v>Parcell/Gorman Recommended</c:v>
          </c:tx>
          <c:marker>
            <c:symbol val="none"/>
          </c:marker>
          <c:cat>
            <c:strRef>
              <c:f>'Reb Figure 1'!$A$5:$H$5</c:f>
              <c:strCache>
                <c:ptCount val="7"/>
                <c:pt idx="1">
                  <c:v>Parcell Group</c:v>
                </c:pt>
                <c:pt idx="2">
                  <c:v>Gorman/Garrett Group</c:v>
                </c:pt>
                <c:pt idx="3">
                  <c:v>Parcell Group</c:v>
                </c:pt>
                <c:pt idx="4">
                  <c:v>Gorman/Garrett Group</c:v>
                </c:pt>
                <c:pt idx="5">
                  <c:v>Electric</c:v>
                </c:pt>
                <c:pt idx="6">
                  <c:v>Gas</c:v>
                </c:pt>
              </c:strCache>
            </c:strRef>
          </c:cat>
          <c:val>
            <c:numRef>
              <c:f>'Reb Figure 1'!$A$9:$H$9</c:f>
              <c:numCache>
                <c:formatCode>General</c:formatCode>
                <c:ptCount val="8"/>
                <c:pt idx="0">
                  <c:v>9.0999999999999998E-2</c:v>
                </c:pt>
                <c:pt idx="1">
                  <c:v>9.0999999999999998E-2</c:v>
                </c:pt>
                <c:pt idx="2">
                  <c:v>9.0999999999999998E-2</c:v>
                </c:pt>
                <c:pt idx="3">
                  <c:v>9.0999999999999998E-2</c:v>
                </c:pt>
                <c:pt idx="4">
                  <c:v>9.0999999999999998E-2</c:v>
                </c:pt>
                <c:pt idx="5">
                  <c:v>9.0999999999999998E-2</c:v>
                </c:pt>
                <c:pt idx="6">
                  <c:v>9.0999999999999998E-2</c:v>
                </c:pt>
                <c:pt idx="7">
                  <c:v>9.0999999999999998E-2</c:v>
                </c:pt>
              </c:numCache>
            </c:numRef>
          </c:val>
          <c:smooth val="0"/>
        </c:ser>
        <c:ser>
          <c:idx val="4"/>
          <c:order val="4"/>
          <c:tx>
            <c:v>Garrett Recommended</c:v>
          </c:tx>
          <c:marker>
            <c:symbol val="none"/>
          </c:marker>
          <c:val>
            <c:numRef>
              <c:f>'Reb Figure 1'!$A$10:$H$10</c:f>
              <c:numCache>
                <c:formatCode>General</c:formatCode>
                <c:ptCount val="8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</c:numCache>
            </c:numRef>
          </c:val>
          <c:smooth val="0"/>
        </c:ser>
        <c:ser>
          <c:idx val="5"/>
          <c:order val="5"/>
          <c:tx>
            <c:v>Garrett "True" Cost of Equity</c:v>
          </c:tx>
          <c:marker>
            <c:symbol val="none"/>
          </c:marker>
          <c:val>
            <c:numRef>
              <c:f>'Reb Figure 1'!$A$11:$H$11</c:f>
              <c:numCache>
                <c:formatCode>General</c:formatCode>
                <c:ptCount val="8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03728"/>
        <c:axId val="173438664"/>
      </c:lineChart>
      <c:catAx>
        <c:axId val="17110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5400000" vert="horz" anchor="t" anchorCtr="0"/>
          <a:lstStyle/>
          <a:p>
            <a:pPr>
              <a:defRPr/>
            </a:pPr>
            <a:endParaRPr lang="en-US"/>
          </a:p>
        </c:txPr>
        <c:crossAx val="173438664"/>
        <c:crosses val="autoZero"/>
        <c:auto val="0"/>
        <c:lblAlgn val="ctr"/>
        <c:lblOffset val="100"/>
        <c:noMultiLvlLbl val="0"/>
      </c:catAx>
      <c:valAx>
        <c:axId val="173438664"/>
        <c:scaling>
          <c:orientation val="minMax"/>
          <c:max val="0.11000000000000001"/>
          <c:min val="6.5000000000000016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171103728"/>
        <c:crosses val="autoZero"/>
        <c:crossBetween val="between"/>
      </c:valAx>
    </c:plotArea>
    <c:legend>
      <c:legendPos val="r"/>
      <c:legendEntry>
        <c:idx val="3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8860979877515316"/>
          <c:y val="5.8265893846602509E-2"/>
          <c:w val="0.30130504253695894"/>
          <c:h val="0.711457958371106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686549469482217E-2"/>
          <c:y val="6.4017798051613492E-2"/>
          <c:w val="0.91057091306790094"/>
          <c:h val="0.75717602523115268"/>
        </c:manualLayout>
      </c:layout>
      <c:lineChart>
        <c:grouping val="standard"/>
        <c:varyColors val="0"/>
        <c:ser>
          <c:idx val="0"/>
          <c:order val="0"/>
          <c:tx>
            <c:v>Aa Utility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'Reb Figure 2'!$E$31:$J$31</c:f>
              <c:strCache>
                <c:ptCount val="6"/>
                <c:pt idx="0">
                  <c:v>Oct. 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'Reb Figure 2'!$E$35:$J$35</c:f>
              <c:numCache>
                <c:formatCode>0.0%</c:formatCode>
                <c:ptCount val="6"/>
                <c:pt idx="0">
                  <c:v>3.7699999999999997E-2</c:v>
                </c:pt>
                <c:pt idx="1">
                  <c:v>5.1000000000000004E-2</c:v>
                </c:pt>
                <c:pt idx="2">
                  <c:v>5.595E-2</c:v>
                </c:pt>
                <c:pt idx="3">
                  <c:v>5.8700000000000002E-2</c:v>
                </c:pt>
                <c:pt idx="4">
                  <c:v>5.8900000000000001E-2</c:v>
                </c:pt>
                <c:pt idx="5">
                  <c:v>5.9049999999999998E-2</c:v>
                </c:pt>
              </c:numCache>
            </c:numRef>
          </c:val>
          <c:smooth val="0"/>
        </c:ser>
        <c:ser>
          <c:idx val="1"/>
          <c:order val="1"/>
          <c:tx>
            <c:v>Aaa Corp.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'Reb Figure 2'!$E$31:$J$31</c:f>
              <c:strCache>
                <c:ptCount val="6"/>
                <c:pt idx="0">
                  <c:v>Oct. 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'Reb Figure 2'!$E$34:$J$34</c:f>
              <c:numCache>
                <c:formatCode>0.0%</c:formatCode>
                <c:ptCount val="6"/>
                <c:pt idx="0">
                  <c:v>3.6799999999999999E-2</c:v>
                </c:pt>
                <c:pt idx="1">
                  <c:v>4.7011111111111115E-2</c:v>
                </c:pt>
                <c:pt idx="2">
                  <c:v>5.2033333333333327E-2</c:v>
                </c:pt>
                <c:pt idx="3">
                  <c:v>5.4166666666666669E-2</c:v>
                </c:pt>
                <c:pt idx="4">
                  <c:v>5.4833333333333338E-2</c:v>
                </c:pt>
                <c:pt idx="5">
                  <c:v>5.425E-2</c:v>
                </c:pt>
              </c:numCache>
            </c:numRef>
          </c:val>
          <c:smooth val="0"/>
        </c:ser>
        <c:ser>
          <c:idx val="2"/>
          <c:order val="2"/>
          <c:tx>
            <c:v>30-Yr Govt.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'Reb Figure 2'!$E$31:$J$31</c:f>
              <c:strCache>
                <c:ptCount val="6"/>
                <c:pt idx="0">
                  <c:v>Oct. 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'Reb Figure 2'!$E$33:$J$33</c:f>
              <c:numCache>
                <c:formatCode>0.0%</c:formatCode>
                <c:ptCount val="6"/>
                <c:pt idx="0">
                  <c:v>2.8500000000000001E-2</c:v>
                </c:pt>
                <c:pt idx="1">
                  <c:v>3.6499999999999998E-2</c:v>
                </c:pt>
                <c:pt idx="2">
                  <c:v>4.1200000000000007E-2</c:v>
                </c:pt>
                <c:pt idx="3">
                  <c:v>4.2899999999999994E-2</c:v>
                </c:pt>
                <c:pt idx="4">
                  <c:v>4.3233333333333325E-2</c:v>
                </c:pt>
                <c:pt idx="5">
                  <c:v>4.4850000000000001E-2</c:v>
                </c:pt>
              </c:numCache>
            </c:numRef>
          </c:val>
          <c:smooth val="0"/>
        </c:ser>
        <c:ser>
          <c:idx val="3"/>
          <c:order val="3"/>
          <c:tx>
            <c:v>10-Yr Govt.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'Reb Figure 2'!$E$31:$J$31</c:f>
              <c:strCache>
                <c:ptCount val="6"/>
                <c:pt idx="0">
                  <c:v>Oct. 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'Reb Figure 2'!$E$32:$J$32</c:f>
              <c:numCache>
                <c:formatCode>0.0%</c:formatCode>
                <c:ptCount val="6"/>
                <c:pt idx="0">
                  <c:v>2.2599999999999999E-2</c:v>
                </c:pt>
                <c:pt idx="1">
                  <c:v>3.0416666666666665E-2</c:v>
                </c:pt>
                <c:pt idx="2">
                  <c:v>3.5799999999999998E-2</c:v>
                </c:pt>
                <c:pt idx="3">
                  <c:v>3.8275000000000003E-2</c:v>
                </c:pt>
                <c:pt idx="4">
                  <c:v>3.9175000000000001E-2</c:v>
                </c:pt>
                <c:pt idx="5">
                  <c:v>3.9300000000000002E-2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18816"/>
        <c:axId val="548649976"/>
      </c:lineChart>
      <c:catAx>
        <c:axId val="17401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649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649976"/>
        <c:scaling>
          <c:orientation val="minMax"/>
          <c:max val="6.0000000000000012E-2"/>
          <c:min val="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0188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106913465085154"/>
          <c:y val="0.93598436784805872"/>
          <c:w val="0.48780579256861184"/>
          <c:h val="5.29801324503311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4"/>
          </c:marker>
          <c:trendline>
            <c:spPr>
              <a:ln w="31750"/>
            </c:spPr>
            <c:trendlineType val="linear"/>
            <c:dispRSqr val="0"/>
            <c:dispEq val="0"/>
          </c:trendline>
          <c:cat>
            <c:numRef>
              <c:f>'Reb Figure 3'!$C$12:$C$51</c:f>
              <c:numCache>
                <c:formatCode>_(* #,##0.0_);_(* \(#,##0.0\);_(* "-"??_);_(@_)</c:formatCode>
                <c:ptCount val="40"/>
                <c:pt idx="0">
                  <c:v>1.5</c:v>
                </c:pt>
                <c:pt idx="1">
                  <c:v>2.1</c:v>
                </c:pt>
                <c:pt idx="2">
                  <c:v>2.2000000000000002</c:v>
                </c:pt>
                <c:pt idx="3">
                  <c:v>2.6</c:v>
                </c:pt>
                <c:pt idx="4">
                  <c:v>2.7</c:v>
                </c:pt>
                <c:pt idx="5">
                  <c:v>2.9</c:v>
                </c:pt>
                <c:pt idx="6">
                  <c:v>3.3</c:v>
                </c:pt>
                <c:pt idx="7">
                  <c:v>3.7</c:v>
                </c:pt>
                <c:pt idx="8">
                  <c:v>3.7</c:v>
                </c:pt>
                <c:pt idx="9">
                  <c:v>4.0999999999999996</c:v>
                </c:pt>
                <c:pt idx="10">
                  <c:v>4.3</c:v>
                </c:pt>
                <c:pt idx="11">
                  <c:v>4.7</c:v>
                </c:pt>
                <c:pt idx="12">
                  <c:v>6.2</c:v>
                </c:pt>
                <c:pt idx="13">
                  <c:v>7.3</c:v>
                </c:pt>
                <c:pt idx="14">
                  <c:v>7.7</c:v>
                </c:pt>
                <c:pt idx="15">
                  <c:v>8.9</c:v>
                </c:pt>
                <c:pt idx="16">
                  <c:v>9.4</c:v>
                </c:pt>
                <c:pt idx="17">
                  <c:v>9.6</c:v>
                </c:pt>
                <c:pt idx="18">
                  <c:v>12</c:v>
                </c:pt>
                <c:pt idx="19">
                  <c:v>12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19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26</c:v>
                </c:pt>
                <c:pt idx="31">
                  <c:v>26</c:v>
                </c:pt>
                <c:pt idx="32">
                  <c:v>28</c:v>
                </c:pt>
                <c:pt idx="33">
                  <c:v>31</c:v>
                </c:pt>
                <c:pt idx="34">
                  <c:v>33</c:v>
                </c:pt>
                <c:pt idx="35">
                  <c:v>34</c:v>
                </c:pt>
                <c:pt idx="36">
                  <c:v>49</c:v>
                </c:pt>
                <c:pt idx="37">
                  <c:v>50</c:v>
                </c:pt>
                <c:pt idx="38">
                  <c:v>57</c:v>
                </c:pt>
                <c:pt idx="39">
                  <c:v>63</c:v>
                </c:pt>
              </c:numCache>
            </c:numRef>
          </c:cat>
          <c:val>
            <c:numRef>
              <c:f>'Reb Figure 3'!$E$12:$E$51</c:f>
              <c:numCache>
                <c:formatCode>0.00</c:formatCode>
                <c:ptCount val="40"/>
                <c:pt idx="0">
                  <c:v>0.85</c:v>
                </c:pt>
                <c:pt idx="1">
                  <c:v>0.75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0.65</c:v>
                </c:pt>
                <c:pt idx="6">
                  <c:v>0.8</c:v>
                </c:pt>
                <c:pt idx="7">
                  <c:v>0.85</c:v>
                </c:pt>
                <c:pt idx="8">
                  <c:v>0.7</c:v>
                </c:pt>
                <c:pt idx="9">
                  <c:v>0.7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0.95</c:v>
                </c:pt>
                <c:pt idx="14">
                  <c:v>0.7</c:v>
                </c:pt>
                <c:pt idx="15">
                  <c:v>0.7</c:v>
                </c:pt>
                <c:pt idx="16">
                  <c:v>0.65</c:v>
                </c:pt>
                <c:pt idx="17">
                  <c:v>0.7</c:v>
                </c:pt>
                <c:pt idx="18">
                  <c:v>0.65</c:v>
                </c:pt>
                <c:pt idx="19">
                  <c:v>0.85</c:v>
                </c:pt>
                <c:pt idx="20">
                  <c:v>0.7</c:v>
                </c:pt>
                <c:pt idx="21">
                  <c:v>0.65</c:v>
                </c:pt>
                <c:pt idx="22">
                  <c:v>0.65</c:v>
                </c:pt>
                <c:pt idx="23">
                  <c:v>0.65</c:v>
                </c:pt>
                <c:pt idx="24">
                  <c:v>0.65</c:v>
                </c:pt>
                <c:pt idx="25">
                  <c:v>0.65</c:v>
                </c:pt>
                <c:pt idx="26">
                  <c:v>0.6</c:v>
                </c:pt>
                <c:pt idx="27">
                  <c:v>0.65</c:v>
                </c:pt>
                <c:pt idx="28">
                  <c:v>0.6</c:v>
                </c:pt>
                <c:pt idx="29">
                  <c:v>0.5</c:v>
                </c:pt>
                <c:pt idx="30">
                  <c:v>0.6</c:v>
                </c:pt>
                <c:pt idx="31">
                  <c:v>0.7</c:v>
                </c:pt>
                <c:pt idx="32">
                  <c:v>0.8</c:v>
                </c:pt>
                <c:pt idx="33">
                  <c:v>0.7</c:v>
                </c:pt>
                <c:pt idx="34">
                  <c:v>0.65</c:v>
                </c:pt>
                <c:pt idx="35">
                  <c:v>0.65</c:v>
                </c:pt>
                <c:pt idx="36">
                  <c:v>0.65</c:v>
                </c:pt>
                <c:pt idx="37">
                  <c:v>0.55000000000000004</c:v>
                </c:pt>
                <c:pt idx="38">
                  <c:v>0.6</c:v>
                </c:pt>
                <c:pt idx="39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50760"/>
        <c:axId val="548651152"/>
      </c:lineChart>
      <c:catAx>
        <c:axId val="548650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Capitalization</a:t>
                </a:r>
                <a:r>
                  <a:rPr lang="en-US" baseline="0"/>
                  <a:t> ($ billions)</a:t>
                </a:r>
                <a:endParaRPr lang="en-US"/>
              </a:p>
            </c:rich>
          </c:tx>
          <c:layout/>
          <c:overlay val="0"/>
        </c:title>
        <c:numFmt formatCode="_(* #,##0.0_);_(* \(#,##0.0\);_(* &quot;-&quot;??_);_(@_)" sourceLinked="1"/>
        <c:majorTickMark val="out"/>
        <c:minorTickMark val="none"/>
        <c:tickLblPos val="nextTo"/>
        <c:crossAx val="548651152"/>
        <c:crosses val="autoZero"/>
        <c:auto val="1"/>
        <c:lblAlgn val="ctr"/>
        <c:lblOffset val="100"/>
        <c:noMultiLvlLbl val="0"/>
      </c:catAx>
      <c:valAx>
        <c:axId val="548651152"/>
        <c:scaling>
          <c:orientation val="minMax"/>
          <c:min val="0.4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Beta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48650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Authorized Equity Risk Premiums vs. Treasury Bond Interest Rates (1986 - 2Q 2017)</a:t>
            </a:r>
          </a:p>
        </c:rich>
      </c:tx>
      <c:layout>
        <c:manualLayout>
          <c:xMode val="edge"/>
          <c:yMode val="edge"/>
          <c:x val="0.14648720062729909"/>
          <c:y val="2.958573706205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5300700997507"/>
          <c:y val="0.20915896455777194"/>
          <c:w val="0.82859707354407741"/>
          <c:h val="0.6340819136067191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9675938243161731"/>
                  <c:y val="1.4084603060981013E-2"/>
                </c:manualLayout>
              </c:layout>
              <c:numFmt formatCode="General" sourceLinked="0"/>
            </c:trendlineLbl>
          </c:trendline>
          <c:xVal>
            <c:numRef>
              <c:f>'AMM-17 (1)'!$C$9:$C$40</c:f>
              <c:numCache>
                <c:formatCode>0.00%</c:formatCode>
                <c:ptCount val="32"/>
                <c:pt idx="0">
                  <c:v>7.7983333333333335E-2</c:v>
                </c:pt>
                <c:pt idx="1">
                  <c:v>8.5800000000000001E-2</c:v>
                </c:pt>
                <c:pt idx="2">
                  <c:v>8.9591666666666681E-2</c:v>
                </c:pt>
                <c:pt idx="3">
                  <c:v>8.4491666666666645E-2</c:v>
                </c:pt>
                <c:pt idx="4">
                  <c:v>8.6083333333333331E-2</c:v>
                </c:pt>
                <c:pt idx="5">
                  <c:v>8.1358333333333324E-2</c:v>
                </c:pt>
                <c:pt idx="6">
                  <c:v>7.6666666666666661E-2</c:v>
                </c:pt>
                <c:pt idx="7">
                  <c:v>6.5983333333333324E-2</c:v>
                </c:pt>
                <c:pt idx="8">
                  <c:v>7.3700000000000002E-2</c:v>
                </c:pt>
                <c:pt idx="9">
                  <c:v>6.8841666666666676E-2</c:v>
                </c:pt>
                <c:pt idx="10">
                  <c:v>6.700833333333335E-2</c:v>
                </c:pt>
                <c:pt idx="11">
                  <c:v>6.6058333333333344E-2</c:v>
                </c:pt>
                <c:pt idx="12">
                  <c:v>5.5783333333333331E-2</c:v>
                </c:pt>
                <c:pt idx="13">
                  <c:v>5.8658333333333333E-2</c:v>
                </c:pt>
                <c:pt idx="14">
                  <c:v>5.9425000000000006E-2</c:v>
                </c:pt>
                <c:pt idx="15">
                  <c:v>5.4933333333333334E-2</c:v>
                </c:pt>
                <c:pt idx="16">
                  <c:v>5.4300000000000008E-2</c:v>
                </c:pt>
                <c:pt idx="17">
                  <c:v>4.9575000000000001E-2</c:v>
                </c:pt>
                <c:pt idx="18">
                  <c:v>5.046666666666666E-2</c:v>
                </c:pt>
                <c:pt idx="19">
                  <c:v>4.6458333333333331E-2</c:v>
                </c:pt>
                <c:pt idx="20">
                  <c:v>4.8981818181818175E-2</c:v>
                </c:pt>
                <c:pt idx="21">
                  <c:v>4.8341666666666672E-2</c:v>
                </c:pt>
                <c:pt idx="22">
                  <c:v>4.2791666666666665E-2</c:v>
                </c:pt>
                <c:pt idx="23">
                  <c:v>4.0691666666666668E-2</c:v>
                </c:pt>
                <c:pt idx="24">
                  <c:v>4.2508333333333335E-2</c:v>
                </c:pt>
                <c:pt idx="25">
                  <c:v>3.9108333333333335E-2</c:v>
                </c:pt>
                <c:pt idx="26">
                  <c:v>2.9208333333333333E-2</c:v>
                </c:pt>
                <c:pt idx="27">
                  <c:v>3.4483333333333331E-2</c:v>
                </c:pt>
                <c:pt idx="28">
                  <c:v>3.3399999999999999E-2</c:v>
                </c:pt>
                <c:pt idx="29">
                  <c:v>2.8408333333333331E-2</c:v>
                </c:pt>
                <c:pt idx="30">
                  <c:v>2.5975000000000002E-2</c:v>
                </c:pt>
                <c:pt idx="31">
                  <c:v>2.9716666666666666E-2</c:v>
                </c:pt>
              </c:numCache>
            </c:numRef>
          </c:xVal>
          <c:yVal>
            <c:numRef>
              <c:f>'AMM-17 (1)'!$G$9:$G$40</c:f>
              <c:numCache>
                <c:formatCode>0.00%</c:formatCode>
                <c:ptCount val="32"/>
                <c:pt idx="0">
                  <c:v>6.1316666666666672E-2</c:v>
                </c:pt>
                <c:pt idx="1">
                  <c:v>4.4099999999999986E-2</c:v>
                </c:pt>
                <c:pt idx="2">
                  <c:v>3.8308333333333333E-2</c:v>
                </c:pt>
                <c:pt idx="3">
                  <c:v>4.5208333333333364E-2</c:v>
                </c:pt>
                <c:pt idx="4">
                  <c:v>4.0916666666666671E-2</c:v>
                </c:pt>
                <c:pt idx="5">
                  <c:v>4.4141666666666676E-2</c:v>
                </c:pt>
                <c:pt idx="6">
                  <c:v>4.4233333333333333E-2</c:v>
                </c:pt>
                <c:pt idx="7">
                  <c:v>4.8116666666666669E-2</c:v>
                </c:pt>
                <c:pt idx="8">
                  <c:v>3.9699999999999999E-2</c:v>
                </c:pt>
                <c:pt idx="9">
                  <c:v>4.6658333333333329E-2</c:v>
                </c:pt>
                <c:pt idx="10">
                  <c:v>4.6891666666666651E-2</c:v>
                </c:pt>
                <c:pt idx="11">
                  <c:v>4.794166666666666E-2</c:v>
                </c:pt>
                <c:pt idx="12">
                  <c:v>6.0816666666666665E-2</c:v>
                </c:pt>
                <c:pt idx="13">
                  <c:v>4.9041666666666671E-2</c:v>
                </c:pt>
                <c:pt idx="14">
                  <c:v>5.4874999999999993E-2</c:v>
                </c:pt>
                <c:pt idx="15">
                  <c:v>5.5966666666666665E-2</c:v>
                </c:pt>
                <c:pt idx="16">
                  <c:v>5.7299999999999997E-2</c:v>
                </c:pt>
                <c:pt idx="17">
                  <c:v>6.0125000000000005E-2</c:v>
                </c:pt>
                <c:pt idx="18">
                  <c:v>5.7033333333333339E-2</c:v>
                </c:pt>
                <c:pt idx="19">
                  <c:v>5.8941666666666663E-2</c:v>
                </c:pt>
                <c:pt idx="20">
                  <c:v>5.4418181818181831E-2</c:v>
                </c:pt>
                <c:pt idx="21">
                  <c:v>5.4758333333333326E-2</c:v>
                </c:pt>
                <c:pt idx="22">
                  <c:v>6.0908333333333335E-2</c:v>
                </c:pt>
                <c:pt idx="23">
                  <c:v>6.4508333333333334E-2</c:v>
                </c:pt>
                <c:pt idx="24">
                  <c:v>6.039166666666667E-2</c:v>
                </c:pt>
                <c:pt idx="25">
                  <c:v>6.2791666666666662E-2</c:v>
                </c:pt>
                <c:pt idx="26">
                  <c:v>7.0891666666666658E-2</c:v>
                </c:pt>
                <c:pt idx="27">
                  <c:v>6.3616666666666682E-2</c:v>
                </c:pt>
                <c:pt idx="28">
                  <c:v>6.4100000000000004E-2</c:v>
                </c:pt>
                <c:pt idx="29">
                  <c:v>6.7591666666666675E-2</c:v>
                </c:pt>
                <c:pt idx="30">
                  <c:v>7.0025000000000004E-2</c:v>
                </c:pt>
                <c:pt idx="31">
                  <c:v>6.6383333333333336E-2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651936"/>
        <c:axId val="548652328"/>
      </c:scatterChart>
      <c:valAx>
        <c:axId val="548651936"/>
        <c:scaling>
          <c:orientation val="minMax"/>
          <c:max val="9.0000000000000011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Average Treasury Bond Interest Rates</a:t>
                </a:r>
              </a:p>
            </c:rich>
          </c:tx>
          <c:layout>
            <c:manualLayout>
              <c:xMode val="edge"/>
              <c:yMode val="edge"/>
              <c:x val="0.37070301370830083"/>
              <c:y val="0.9132166220339208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48652328"/>
        <c:crossesAt val="-1.0000000000000004E-2"/>
        <c:crossBetween val="midCat"/>
      </c:valAx>
      <c:valAx>
        <c:axId val="548652328"/>
        <c:scaling>
          <c:orientation val="minMax"/>
          <c:min val="3.0000000000000002E-2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Equity Risk Premiums</a:t>
                </a:r>
              </a:p>
            </c:rich>
          </c:tx>
          <c:layout>
            <c:manualLayout>
              <c:xMode val="edge"/>
              <c:yMode val="edge"/>
              <c:x val="1.7772004003822287E-2"/>
              <c:y val="0.35897473475714009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5486519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Authorized Equity Risk Premiums vs. Utility Interest Rates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(1986 - 2Q 2017)</a:t>
            </a:r>
          </a:p>
        </c:rich>
      </c:tx>
      <c:layout>
        <c:manualLayout>
          <c:xMode val="edge"/>
          <c:yMode val="edge"/>
          <c:x val="0.14648737801303022"/>
          <c:y val="2.9585832456863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028252217347"/>
          <c:y val="0.20767494356659141"/>
          <c:w val="0.8284750078447688"/>
          <c:h val="0.6343115124153498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2275697889938804"/>
                  <c:y val="-2.1545287434738526E-2"/>
                </c:manualLayout>
              </c:layout>
              <c:numFmt formatCode="General" sourceLinked="0"/>
            </c:trendlineLbl>
          </c:trendline>
          <c:xVal>
            <c:numRef>
              <c:f>'AMM-17 (3)'!$C$9:$C$40</c:f>
              <c:numCache>
                <c:formatCode>0.00%</c:formatCode>
                <c:ptCount val="32"/>
                <c:pt idx="0">
                  <c:v>9.5799999999999996E-2</c:v>
                </c:pt>
                <c:pt idx="1">
                  <c:v>0.10100000000000001</c:v>
                </c:pt>
                <c:pt idx="2">
                  <c:v>0.10489999999999999</c:v>
                </c:pt>
                <c:pt idx="3">
                  <c:v>9.7699999999999995E-2</c:v>
                </c:pt>
                <c:pt idx="4">
                  <c:v>9.8599999999999993E-2</c:v>
                </c:pt>
                <c:pt idx="5">
                  <c:v>9.3600000000000003E-2</c:v>
                </c:pt>
                <c:pt idx="6">
                  <c:v>8.6900000000000005E-2</c:v>
                </c:pt>
                <c:pt idx="7">
                  <c:v>7.5899999999999995E-2</c:v>
                </c:pt>
                <c:pt idx="8">
                  <c:v>8.3099999999999993E-2</c:v>
                </c:pt>
                <c:pt idx="9">
                  <c:v>7.8899999999999998E-2</c:v>
                </c:pt>
                <c:pt idx="10">
                  <c:v>7.7499999999999999E-2</c:v>
                </c:pt>
                <c:pt idx="11">
                  <c:v>7.5999999999999998E-2</c:v>
                </c:pt>
                <c:pt idx="12">
                  <c:v>7.0400000000000004E-2</c:v>
                </c:pt>
                <c:pt idx="13">
                  <c:v>7.6200000000000004E-2</c:v>
                </c:pt>
                <c:pt idx="14">
                  <c:v>8.2441666666666663E-2</c:v>
                </c:pt>
                <c:pt idx="15">
                  <c:v>7.7625E-2</c:v>
                </c:pt>
                <c:pt idx="16">
                  <c:v>7.3724999999999999E-2</c:v>
                </c:pt>
                <c:pt idx="17">
                  <c:v>6.5808333333333344E-2</c:v>
                </c:pt>
                <c:pt idx="18">
                  <c:v>6.1600833333333334E-2</c:v>
                </c:pt>
                <c:pt idx="19">
                  <c:v>5.6491666666666662E-2</c:v>
                </c:pt>
                <c:pt idx="20">
                  <c:v>6.0683333333333325E-2</c:v>
                </c:pt>
                <c:pt idx="21">
                  <c:v>6.0733333333333334E-2</c:v>
                </c:pt>
                <c:pt idx="22">
                  <c:v>6.5283333333333332E-2</c:v>
                </c:pt>
                <c:pt idx="23">
                  <c:v>6.0367365027151197E-2</c:v>
                </c:pt>
                <c:pt idx="24">
                  <c:v>5.4612557558110959E-2</c:v>
                </c:pt>
                <c:pt idx="25">
                  <c:v>5.0411142903926134E-2</c:v>
                </c:pt>
                <c:pt idx="26">
                  <c:v>4.1307867339918432E-2</c:v>
                </c:pt>
                <c:pt idx="27">
                  <c:v>4.4761066776790454E-2</c:v>
                </c:pt>
                <c:pt idx="28">
                  <c:v>4.2774094021446961E-2</c:v>
                </c:pt>
                <c:pt idx="29">
                  <c:v>4.115396758942811E-2</c:v>
                </c:pt>
                <c:pt idx="30">
                  <c:v>3.930199127182251E-2</c:v>
                </c:pt>
                <c:pt idx="31">
                  <c:v>4.1210937174953187E-2</c:v>
                </c:pt>
              </c:numCache>
            </c:numRef>
          </c:xVal>
          <c:yVal>
            <c:numRef>
              <c:f>'AMM-17 (3)'!$G$9:$G$40</c:f>
              <c:numCache>
                <c:formatCode>0.00%</c:formatCode>
                <c:ptCount val="32"/>
                <c:pt idx="0">
                  <c:v>4.3500000000000011E-2</c:v>
                </c:pt>
                <c:pt idx="1">
                  <c:v>2.8899999999999981E-2</c:v>
                </c:pt>
                <c:pt idx="2">
                  <c:v>2.300000000000002E-2</c:v>
                </c:pt>
                <c:pt idx="3">
                  <c:v>3.2000000000000015E-2</c:v>
                </c:pt>
                <c:pt idx="4">
                  <c:v>2.8400000000000009E-2</c:v>
                </c:pt>
                <c:pt idx="5">
                  <c:v>3.1899999999999998E-2</c:v>
                </c:pt>
                <c:pt idx="6">
                  <c:v>3.3999999999999989E-2</c:v>
                </c:pt>
                <c:pt idx="7">
                  <c:v>3.8199999999999998E-2</c:v>
                </c:pt>
                <c:pt idx="8">
                  <c:v>3.0300000000000007E-2</c:v>
                </c:pt>
                <c:pt idx="9">
                  <c:v>3.6600000000000008E-2</c:v>
                </c:pt>
                <c:pt idx="10">
                  <c:v>3.6400000000000002E-2</c:v>
                </c:pt>
                <c:pt idx="11">
                  <c:v>3.8000000000000006E-2</c:v>
                </c:pt>
                <c:pt idx="12">
                  <c:v>4.6199999999999991E-2</c:v>
                </c:pt>
                <c:pt idx="13">
                  <c:v>3.15E-2</c:v>
                </c:pt>
                <c:pt idx="14">
                  <c:v>3.1858333333333336E-2</c:v>
                </c:pt>
                <c:pt idx="15">
                  <c:v>3.3274999999999999E-2</c:v>
                </c:pt>
                <c:pt idx="16">
                  <c:v>3.7875000000000006E-2</c:v>
                </c:pt>
                <c:pt idx="17">
                  <c:v>4.3891666666666662E-2</c:v>
                </c:pt>
                <c:pt idx="18">
                  <c:v>4.5899166666666665E-2</c:v>
                </c:pt>
                <c:pt idx="19">
                  <c:v>4.8908333333333331E-2</c:v>
                </c:pt>
                <c:pt idx="20">
                  <c:v>4.2716666666666681E-2</c:v>
                </c:pt>
                <c:pt idx="21">
                  <c:v>4.2366666666666664E-2</c:v>
                </c:pt>
                <c:pt idx="22">
                  <c:v>3.8416666666666668E-2</c:v>
                </c:pt>
                <c:pt idx="23">
                  <c:v>4.4832634972848805E-2</c:v>
                </c:pt>
                <c:pt idx="24">
                  <c:v>4.8287442441889046E-2</c:v>
                </c:pt>
                <c:pt idx="25">
                  <c:v>5.148885709607387E-2</c:v>
                </c:pt>
                <c:pt idx="26">
                  <c:v>5.8792132660081563E-2</c:v>
                </c:pt>
                <c:pt idx="27">
                  <c:v>5.3338933223209553E-2</c:v>
                </c:pt>
                <c:pt idx="28">
                  <c:v>5.4725905978553042E-2</c:v>
                </c:pt>
                <c:pt idx="29">
                  <c:v>5.4846032410571892E-2</c:v>
                </c:pt>
                <c:pt idx="30">
                  <c:v>5.6698008728177492E-2</c:v>
                </c:pt>
                <c:pt idx="31">
                  <c:v>5.4889062825046818E-2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653112"/>
        <c:axId val="548653504"/>
      </c:scatterChart>
      <c:valAx>
        <c:axId val="548653112"/>
        <c:scaling>
          <c:orientation val="minMax"/>
          <c:max val="0.12000000000000002"/>
          <c:min val="0.05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Average Utility Interest Rates</a:t>
                </a:r>
              </a:p>
            </c:rich>
          </c:tx>
          <c:layout>
            <c:manualLayout>
              <c:xMode val="edge"/>
              <c:yMode val="edge"/>
              <c:x val="0.37070299015337077"/>
              <c:y val="0.91321669177634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48653504"/>
        <c:crossesAt val="-1.0000000000000005E-2"/>
        <c:crossBetween val="midCat"/>
      </c:valAx>
      <c:valAx>
        <c:axId val="548653504"/>
        <c:scaling>
          <c:orientation val="minMax"/>
          <c:max val="0.05"/>
          <c:min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Equity Risk Premiums</a:t>
                </a:r>
              </a:p>
            </c:rich>
          </c:tx>
          <c:layout>
            <c:manualLayout>
              <c:xMode val="edge"/>
              <c:yMode val="edge"/>
              <c:x val="1.3675828360703347E-2"/>
              <c:y val="0.3589748145200261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5486531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</xdr:colOff>
      <xdr:row>12</xdr:row>
      <xdr:rowOff>26669</xdr:rowOff>
    </xdr:from>
    <xdr:to>
      <xdr:col>8</xdr:col>
      <xdr:colOff>354330</xdr:colOff>
      <xdr:row>28</xdr:row>
      <xdr:rowOff>121920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2</xdr:row>
      <xdr:rowOff>45720</xdr:rowOff>
    </xdr:from>
    <xdr:to>
      <xdr:col>12</xdr:col>
      <xdr:colOff>594360</xdr:colOff>
      <xdr:row>19</xdr:row>
      <xdr:rowOff>190500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55</xdr:row>
      <xdr:rowOff>30480</xdr:rowOff>
    </xdr:from>
    <xdr:to>
      <xdr:col>16</xdr:col>
      <xdr:colOff>480060</xdr:colOff>
      <xdr:row>71</xdr:row>
      <xdr:rowOff>91440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1297941</xdr:colOff>
      <xdr:row>4</xdr:row>
      <xdr:rowOff>155575</xdr:rowOff>
    </xdr:from>
    <xdr:to>
      <xdr:col>7</xdr:col>
      <xdr:colOff>371475</xdr:colOff>
      <xdr:row>24</xdr:row>
      <xdr:rowOff>14605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1345565</xdr:colOff>
      <xdr:row>4</xdr:row>
      <xdr:rowOff>171450</xdr:rowOff>
    </xdr:from>
    <xdr:to>
      <xdr:col>7</xdr:col>
      <xdr:colOff>698500</xdr:colOff>
      <xdr:row>25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fred.stlouisfed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"/>
  <sheetViews>
    <sheetView tabSelected="1" workbookViewId="0">
      <selection activeCell="M12" sqref="M12"/>
    </sheetView>
  </sheetViews>
  <sheetFormatPr defaultRowHeight="16.5" x14ac:dyDescent="0.3"/>
  <cols>
    <col min="5" max="5" width="10.375" bestFit="1" customWidth="1"/>
  </cols>
  <sheetData>
    <row r="5" spans="1:8" x14ac:dyDescent="0.3">
      <c r="B5" t="s">
        <v>104</v>
      </c>
      <c r="C5" t="s">
        <v>134</v>
      </c>
      <c r="D5" t="s">
        <v>104</v>
      </c>
      <c r="E5" t="s">
        <v>134</v>
      </c>
      <c r="F5" t="s">
        <v>103</v>
      </c>
      <c r="G5" t="s">
        <v>105</v>
      </c>
    </row>
    <row r="6" spans="1:8" x14ac:dyDescent="0.3">
      <c r="B6" s="2">
        <f>'AMM-15'!E24</f>
        <v>9.8307575757575746E-2</v>
      </c>
      <c r="C6" s="2">
        <f>'AMM-15'!E49</f>
        <v>9.908802083333336E-2</v>
      </c>
    </row>
    <row r="7" spans="1:8" x14ac:dyDescent="0.3">
      <c r="D7" s="139">
        <f>'AMM-16'!K25</f>
        <v>0.10587202657911465</v>
      </c>
      <c r="E7" s="139">
        <f>'AMM-16'!K52</f>
        <v>0.10791237038012186</v>
      </c>
    </row>
    <row r="8" spans="1:8" x14ac:dyDescent="0.3">
      <c r="F8">
        <v>9.7000000000000003E-2</v>
      </c>
      <c r="G8">
        <v>9.7500000000000003E-2</v>
      </c>
    </row>
    <row r="9" spans="1:8" x14ac:dyDescent="0.3">
      <c r="A9">
        <v>9.0999999999999998E-2</v>
      </c>
      <c r="B9">
        <v>9.0999999999999998E-2</v>
      </c>
      <c r="C9">
        <v>9.0999999999999998E-2</v>
      </c>
      <c r="D9">
        <v>9.0999999999999998E-2</v>
      </c>
      <c r="E9">
        <v>9.0999999999999998E-2</v>
      </c>
      <c r="F9">
        <v>9.0999999999999998E-2</v>
      </c>
      <c r="G9">
        <v>9.0999999999999998E-2</v>
      </c>
      <c r="H9">
        <v>9.0999999999999998E-2</v>
      </c>
    </row>
    <row r="10" spans="1:8" x14ac:dyDescent="0.3">
      <c r="A10">
        <v>0.09</v>
      </c>
      <c r="B10">
        <v>0.09</v>
      </c>
      <c r="C10">
        <v>0.09</v>
      </c>
      <c r="D10">
        <v>0.09</v>
      </c>
      <c r="E10">
        <v>0.09</v>
      </c>
      <c r="F10">
        <v>0.09</v>
      </c>
      <c r="G10">
        <v>0.09</v>
      </c>
      <c r="H10">
        <v>0.09</v>
      </c>
    </row>
    <row r="11" spans="1:8" x14ac:dyDescent="0.3">
      <c r="A11">
        <v>7.0000000000000007E-2</v>
      </c>
      <c r="B11">
        <v>7.0000000000000007E-2</v>
      </c>
      <c r="C11">
        <v>7.0000000000000007E-2</v>
      </c>
      <c r="D11">
        <v>7.0000000000000007E-2</v>
      </c>
      <c r="E11">
        <v>7.0000000000000007E-2</v>
      </c>
      <c r="F11">
        <v>7.0000000000000007E-2</v>
      </c>
      <c r="G11">
        <v>7.0000000000000007E-2</v>
      </c>
      <c r="H11">
        <v>7.0000000000000007E-2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9"/>
  <sheetViews>
    <sheetView showGridLines="0" tabSelected="1" zoomScaleNormal="100" workbookViewId="0">
      <selection activeCell="M12" sqref="M12"/>
    </sheetView>
  </sheetViews>
  <sheetFormatPr defaultColWidth="8" defaultRowHeight="16.5" x14ac:dyDescent="0.3"/>
  <cols>
    <col min="1" max="1" width="2.75" style="140" customWidth="1"/>
    <col min="2" max="2" width="20.75" style="140" customWidth="1"/>
    <col min="3" max="3" width="6.125" style="140" customWidth="1"/>
    <col min="4" max="4" width="1.875" style="140" customWidth="1"/>
    <col min="5" max="5" width="9.75" style="140" bestFit="1" customWidth="1"/>
    <col min="6" max="6" width="1.125" style="140" customWidth="1"/>
    <col min="7" max="7" width="6.125" style="140" customWidth="1"/>
    <col min="8" max="8" width="1.125" style="140" customWidth="1"/>
    <col min="9" max="9" width="6.125" style="140" customWidth="1"/>
    <col min="10" max="10" width="1.125" style="140" customWidth="1"/>
    <col min="11" max="11" width="6.125" style="140" customWidth="1"/>
    <col min="12" max="12" width="1.125" style="140" customWidth="1"/>
    <col min="13" max="13" width="6.125" style="140" customWidth="1"/>
    <col min="14" max="14" width="1.125" style="140" customWidth="1"/>
    <col min="15" max="15" width="6.125" style="140" customWidth="1"/>
    <col min="16" max="16" width="2.875" style="140" customWidth="1"/>
    <col min="17" max="17" width="8.625" style="140" customWidth="1"/>
    <col min="18" max="26" width="8" style="140" customWidth="1"/>
    <col min="27" max="27" width="1" style="140" customWidth="1"/>
    <col min="28" max="28" width="1.25" style="140" customWidth="1"/>
    <col min="29" max="16384" width="8" style="140"/>
  </cols>
  <sheetData>
    <row r="1" spans="1:19" ht="17.25" x14ac:dyDescent="0.35">
      <c r="A1" s="149" t="s">
        <v>144</v>
      </c>
    </row>
    <row r="2" spans="1:19" ht="17.25" x14ac:dyDescent="0.35">
      <c r="A2" s="149"/>
    </row>
    <row r="3" spans="1:19" ht="17.25" x14ac:dyDescent="0.35">
      <c r="A3" s="149"/>
    </row>
    <row r="4" spans="1:19" x14ac:dyDescent="0.3">
      <c r="A4" s="150"/>
      <c r="C4" s="246" t="s">
        <v>31</v>
      </c>
      <c r="D4" s="246"/>
      <c r="E4" s="246"/>
      <c r="F4" s="246"/>
      <c r="G4" s="246"/>
      <c r="H4" s="246"/>
      <c r="I4" s="246"/>
      <c r="K4" s="151" t="s">
        <v>32</v>
      </c>
      <c r="L4" s="151"/>
      <c r="M4" s="151" t="s">
        <v>32</v>
      </c>
      <c r="N4" s="151"/>
      <c r="O4" s="151" t="s">
        <v>31</v>
      </c>
    </row>
    <row r="5" spans="1:19" ht="15" customHeight="1" x14ac:dyDescent="0.35">
      <c r="C5" s="247" t="s">
        <v>145</v>
      </c>
      <c r="D5" s="247"/>
      <c r="E5" s="247"/>
      <c r="F5" s="247"/>
      <c r="G5" s="247"/>
      <c r="H5" s="247"/>
      <c r="I5" s="247"/>
      <c r="K5" s="243" t="s">
        <v>146</v>
      </c>
      <c r="M5" s="243" t="s">
        <v>147</v>
      </c>
      <c r="O5" s="243" t="s">
        <v>148</v>
      </c>
    </row>
    <row r="6" spans="1:19" ht="3" customHeight="1" x14ac:dyDescent="0.3">
      <c r="C6" s="151"/>
      <c r="D6" s="152"/>
      <c r="E6" s="152"/>
      <c r="I6" s="153"/>
      <c r="K6" s="243"/>
      <c r="M6" s="243"/>
      <c r="O6" s="243"/>
    </row>
    <row r="7" spans="1:19" s="149" customFormat="1" ht="14.25" customHeight="1" x14ac:dyDescent="0.35">
      <c r="C7" s="154" t="s">
        <v>149</v>
      </c>
      <c r="D7" s="155"/>
      <c r="E7" s="154" t="s">
        <v>150</v>
      </c>
      <c r="F7" s="155"/>
      <c r="G7" s="156" t="s">
        <v>151</v>
      </c>
      <c r="I7" s="157" t="s">
        <v>152</v>
      </c>
      <c r="K7" s="244"/>
      <c r="M7" s="244"/>
      <c r="O7" s="244"/>
    </row>
    <row r="8" spans="1:19" ht="3" customHeight="1" x14ac:dyDescent="0.3">
      <c r="D8" s="152"/>
      <c r="F8" s="152"/>
      <c r="G8" s="152"/>
    </row>
    <row r="9" spans="1:19" x14ac:dyDescent="0.3">
      <c r="B9" s="158" t="s">
        <v>153</v>
      </c>
      <c r="C9" s="159">
        <v>4.4999999999999998E-2</v>
      </c>
      <c r="D9" s="160"/>
      <c r="E9" s="159">
        <v>4.1300000000000003E-2</v>
      </c>
      <c r="F9" s="160"/>
      <c r="G9" s="159">
        <v>3.9399999999999998E-2</v>
      </c>
      <c r="H9" s="160"/>
      <c r="I9" s="159">
        <f t="shared" ref="I9:I13" si="0">AVERAGE(C9:G9)</f>
        <v>4.19E-2</v>
      </c>
      <c r="J9" s="161"/>
      <c r="K9" s="159">
        <v>2.9600000000000001E-2</v>
      </c>
      <c r="L9" s="161"/>
      <c r="M9" s="159">
        <v>2.3E-2</v>
      </c>
      <c r="N9" s="162"/>
      <c r="O9" s="159">
        <v>3.85E-2</v>
      </c>
      <c r="Q9" s="114"/>
    </row>
    <row r="10" spans="1:19" x14ac:dyDescent="0.3">
      <c r="B10" s="158" t="s">
        <v>154</v>
      </c>
      <c r="C10" s="159">
        <v>4.3200000000000002E-2</v>
      </c>
      <c r="D10" s="160"/>
      <c r="E10" s="159">
        <v>3.9399999999999998E-2</v>
      </c>
      <c r="F10" s="160"/>
      <c r="G10" s="159">
        <v>3.7699999999999997E-2</v>
      </c>
      <c r="H10" s="160"/>
      <c r="I10" s="159">
        <f t="shared" si="0"/>
        <v>4.0100000000000004E-2</v>
      </c>
      <c r="J10" s="161"/>
      <c r="K10" s="159">
        <v>2.8000000000000001E-2</v>
      </c>
      <c r="L10" s="161"/>
      <c r="M10" s="159">
        <v>2.1899999999999999E-2</v>
      </c>
      <c r="N10" s="162"/>
      <c r="O10" s="159">
        <v>3.6799999999999999E-2</v>
      </c>
      <c r="P10" s="162"/>
      <c r="Q10" s="114"/>
    </row>
    <row r="11" spans="1:19" x14ac:dyDescent="0.3">
      <c r="B11" s="158" t="s">
        <v>155</v>
      </c>
      <c r="C11" s="159">
        <v>4.36E-2</v>
      </c>
      <c r="D11" s="160"/>
      <c r="E11" s="159">
        <v>3.9899999999999998E-2</v>
      </c>
      <c r="F11" s="160"/>
      <c r="G11" s="159">
        <v>3.8199999999999998E-2</v>
      </c>
      <c r="H11" s="160"/>
      <c r="I11" s="159">
        <f t="shared" si="0"/>
        <v>4.0566666666666661E-2</v>
      </c>
      <c r="J11" s="161"/>
      <c r="K11" s="159">
        <v>2.8799999999999999E-2</v>
      </c>
      <c r="L11" s="161"/>
      <c r="M11" s="159">
        <v>2.3199999999999998E-2</v>
      </c>
      <c r="N11" s="162"/>
      <c r="O11" s="159">
        <v>3.6999999999999998E-2</v>
      </c>
      <c r="P11" s="163"/>
      <c r="Q11" s="114"/>
      <c r="R11" s="151"/>
      <c r="S11" s="151"/>
    </row>
    <row r="12" spans="1:19" x14ac:dyDescent="0.3">
      <c r="B12" s="158" t="s">
        <v>156</v>
      </c>
      <c r="C12" s="159">
        <v>4.2299999999999997E-2</v>
      </c>
      <c r="D12" s="160"/>
      <c r="E12" s="159">
        <v>3.8600000000000002E-2</v>
      </c>
      <c r="F12" s="160"/>
      <c r="G12" s="159">
        <v>3.6700000000000003E-2</v>
      </c>
      <c r="H12" s="160"/>
      <c r="I12" s="159">
        <f t="shared" si="0"/>
        <v>3.9200000000000006E-2</v>
      </c>
      <c r="J12" s="161"/>
      <c r="K12" s="159">
        <v>2.8000000000000001E-2</v>
      </c>
      <c r="L12" s="161"/>
      <c r="M12" s="159">
        <v>2.2100000000000002E-2</v>
      </c>
      <c r="N12" s="162"/>
      <c r="O12" s="159">
        <v>3.6299999999999999E-2</v>
      </c>
      <c r="P12" s="163"/>
      <c r="Q12" s="114"/>
      <c r="R12" s="163"/>
      <c r="S12" s="163"/>
    </row>
    <row r="13" spans="1:19" s="162" customFormat="1" x14ac:dyDescent="0.3">
      <c r="B13" s="158" t="s">
        <v>186</v>
      </c>
      <c r="C13" s="159">
        <v>4.2349999999999999E-2</v>
      </c>
      <c r="D13" s="160"/>
      <c r="E13" s="159">
        <v>3.8649999999999997E-2</v>
      </c>
      <c r="F13" s="160"/>
      <c r="G13" s="159">
        <v>3.703E-2</v>
      </c>
      <c r="H13" s="160"/>
      <c r="I13" s="159">
        <f t="shared" si="0"/>
        <v>3.9343333333333334E-2</v>
      </c>
      <c r="J13" s="161"/>
      <c r="K13" s="159">
        <v>2.7799999999999998E-2</v>
      </c>
      <c r="L13" s="161"/>
      <c r="M13" s="159">
        <v>2.1999999999999999E-2</v>
      </c>
      <c r="O13" s="159">
        <v>3.6299999999999999E-2</v>
      </c>
      <c r="P13" s="163"/>
      <c r="Q13" s="114"/>
      <c r="R13" s="163"/>
      <c r="S13" s="163"/>
    </row>
    <row r="14" spans="1:19" s="162" customFormat="1" x14ac:dyDescent="0.3">
      <c r="B14" s="158" t="s">
        <v>187</v>
      </c>
      <c r="C14" s="159">
        <v>4.2599999999999999E-2</v>
      </c>
      <c r="D14" s="160"/>
      <c r="E14" s="159">
        <v>3.9100000000000003E-2</v>
      </c>
      <c r="F14" s="160"/>
      <c r="G14" s="159">
        <v>3.7400000000000003E-2</v>
      </c>
      <c r="H14" s="160"/>
      <c r="I14" s="159">
        <f t="shared" ref="I14" si="1">AVERAGE(C14:G14)</f>
        <v>3.9699999999999999E-2</v>
      </c>
      <c r="J14" s="161"/>
      <c r="K14" s="159">
        <v>2.8799999999999999E-2</v>
      </c>
      <c r="L14" s="161"/>
      <c r="M14" s="159">
        <v>2.3599999999999999E-2</v>
      </c>
      <c r="O14" s="159">
        <v>3.5999999999999997E-2</v>
      </c>
      <c r="P14" s="163"/>
      <c r="Q14" s="114"/>
      <c r="R14" s="163"/>
      <c r="S14" s="163"/>
    </row>
    <row r="15" spans="1:19" ht="1.5" customHeight="1" x14ac:dyDescent="0.3">
      <c r="C15" s="164"/>
      <c r="D15" s="152"/>
      <c r="E15" s="164"/>
      <c r="F15" s="152"/>
      <c r="G15" s="165"/>
      <c r="H15" s="152"/>
      <c r="I15" s="166"/>
      <c r="K15" s="167"/>
      <c r="L15" s="162"/>
      <c r="M15" s="167"/>
      <c r="N15" s="162"/>
      <c r="O15" s="167"/>
      <c r="P15" s="162"/>
      <c r="Q15" s="162"/>
    </row>
    <row r="16" spans="1:19" s="149" customFormat="1" ht="17.25" x14ac:dyDescent="0.35">
      <c r="A16" s="149" t="s">
        <v>41</v>
      </c>
      <c r="C16" s="168">
        <f>ROUND(AVERAGE(C9:C14),4)</f>
        <v>4.3200000000000002E-2</v>
      </c>
      <c r="D16" s="169"/>
      <c r="E16" s="168">
        <f>ROUND(AVERAGE(E9:E14),4)</f>
        <v>3.95E-2</v>
      </c>
      <c r="F16" s="169"/>
      <c r="G16" s="168">
        <f>ROUND(AVERAGE(G9:G14),4)</f>
        <v>3.7699999999999997E-2</v>
      </c>
      <c r="H16" s="168"/>
      <c r="I16" s="168">
        <f>ROUND(AVERAGE(I9:I14),4)</f>
        <v>4.0099999999999997E-2</v>
      </c>
      <c r="K16" s="170">
        <f>ROUND(AVERAGE(K9:K14),4)</f>
        <v>2.8500000000000001E-2</v>
      </c>
      <c r="L16" s="123"/>
      <c r="M16" s="170">
        <f>ROUND(AVERAGE(M9:M14),4)</f>
        <v>2.2599999999999999E-2</v>
      </c>
      <c r="N16" s="123"/>
      <c r="O16" s="170">
        <f>ROUND(AVERAGE(O9:O14),4)</f>
        <v>3.6799999999999999E-2</v>
      </c>
      <c r="P16" s="123"/>
      <c r="Q16" s="123"/>
    </row>
    <row r="17" spans="1:19" s="149" customFormat="1" ht="17.25" x14ac:dyDescent="0.35">
      <c r="B17" s="149" t="s">
        <v>157</v>
      </c>
      <c r="C17" s="168">
        <f>C16-G16</f>
        <v>5.5000000000000049E-3</v>
      </c>
      <c r="D17" s="168"/>
      <c r="E17" s="168">
        <f>E16-G16</f>
        <v>1.800000000000003E-3</v>
      </c>
      <c r="I17" s="168">
        <f>I16-G16</f>
        <v>2.3999999999999994E-3</v>
      </c>
      <c r="K17" s="168">
        <f>K16-M16</f>
        <v>5.9000000000000025E-3</v>
      </c>
      <c r="M17" s="168"/>
    </row>
    <row r="18" spans="1:19" ht="17.25" x14ac:dyDescent="0.35">
      <c r="A18" s="149"/>
      <c r="B18" s="149"/>
      <c r="C18" s="168"/>
      <c r="D18" s="168"/>
      <c r="E18" s="171"/>
      <c r="M18" s="171"/>
    </row>
    <row r="19" spans="1:19" x14ac:dyDescent="0.3">
      <c r="C19" s="152"/>
      <c r="D19" s="171"/>
      <c r="E19" s="171"/>
    </row>
    <row r="20" spans="1:19" x14ac:dyDescent="0.3">
      <c r="A20" s="140" t="s">
        <v>158</v>
      </c>
      <c r="M20" s="171"/>
    </row>
    <row r="21" spans="1:19" x14ac:dyDescent="0.3">
      <c r="A21" s="140" t="s">
        <v>32</v>
      </c>
      <c r="B21" s="172" t="s">
        <v>159</v>
      </c>
    </row>
    <row r="24" spans="1:19" ht="17.25" x14ac:dyDescent="0.35">
      <c r="A24" s="149" t="s">
        <v>160</v>
      </c>
    </row>
    <row r="25" spans="1:19" x14ac:dyDescent="0.3">
      <c r="O25" s="153"/>
      <c r="P25" s="161"/>
      <c r="Q25" s="161"/>
    </row>
    <row r="26" spans="1:19" ht="17.25" x14ac:dyDescent="0.35">
      <c r="E26" s="173" t="s">
        <v>161</v>
      </c>
      <c r="I26" s="153"/>
      <c r="J26" s="153"/>
      <c r="L26" s="153"/>
      <c r="O26" s="173" t="s">
        <v>162</v>
      </c>
      <c r="P26" s="174"/>
      <c r="Q26" s="161"/>
      <c r="R26" s="153"/>
      <c r="S26" s="153"/>
    </row>
    <row r="27" spans="1:19" ht="17.25" x14ac:dyDescent="0.35">
      <c r="A27" s="175" t="s">
        <v>163</v>
      </c>
      <c r="B27" s="175"/>
      <c r="C27" s="175"/>
      <c r="D27" s="176"/>
      <c r="E27" s="177" t="s">
        <v>164</v>
      </c>
      <c r="F27" s="178"/>
      <c r="G27" s="175"/>
      <c r="H27" s="175"/>
      <c r="I27" s="179"/>
      <c r="J27" s="153"/>
      <c r="L27" s="153"/>
      <c r="N27" s="153"/>
      <c r="O27" s="180" t="str">
        <f>E27</f>
        <v>2018-22</v>
      </c>
      <c r="Q27" s="161"/>
      <c r="R27" s="153"/>
      <c r="S27" s="153"/>
    </row>
    <row r="28" spans="1:19" x14ac:dyDescent="0.3">
      <c r="A28" s="175" t="s">
        <v>165</v>
      </c>
      <c r="B28" s="175"/>
      <c r="C28" s="175"/>
      <c r="D28" s="175"/>
      <c r="E28" s="181"/>
      <c r="F28" s="181"/>
      <c r="G28" s="175"/>
      <c r="H28" s="175"/>
      <c r="I28" s="182"/>
      <c r="J28" s="153"/>
      <c r="L28" s="153"/>
      <c r="N28" s="153"/>
      <c r="O28" s="183"/>
      <c r="Q28" s="161"/>
      <c r="R28" s="153"/>
      <c r="S28" s="153"/>
    </row>
    <row r="29" spans="1:19" x14ac:dyDescent="0.3">
      <c r="A29" s="175"/>
      <c r="B29" s="175" t="s">
        <v>166</v>
      </c>
      <c r="C29" s="175"/>
      <c r="D29" s="175"/>
      <c r="E29" s="184">
        <f>M67</f>
        <v>5.7860000000000002E-2</v>
      </c>
      <c r="F29" s="185"/>
      <c r="G29" s="175"/>
      <c r="H29" s="175"/>
      <c r="I29" s="186"/>
      <c r="J29" s="153"/>
      <c r="L29" s="153"/>
      <c r="N29" s="153"/>
      <c r="O29" s="187">
        <f>E29</f>
        <v>5.7860000000000002E-2</v>
      </c>
      <c r="Q29" s="161"/>
      <c r="R29" s="153"/>
      <c r="S29" s="153"/>
    </row>
    <row r="30" spans="1:19" x14ac:dyDescent="0.3">
      <c r="A30" s="175"/>
      <c r="B30" s="175" t="s">
        <v>167</v>
      </c>
      <c r="C30" s="175"/>
      <c r="D30" s="175"/>
      <c r="E30" s="188">
        <f>M68</f>
        <v>5.5580000000000004E-2</v>
      </c>
      <c r="F30" s="185"/>
      <c r="G30" s="175"/>
      <c r="H30" s="175"/>
      <c r="I30" s="186"/>
      <c r="J30" s="153"/>
      <c r="L30" s="153"/>
      <c r="N30" s="153"/>
      <c r="O30" s="189">
        <f>E30</f>
        <v>5.5580000000000004E-2</v>
      </c>
      <c r="Q30" s="161"/>
      <c r="R30" s="153"/>
      <c r="S30" s="153"/>
    </row>
    <row r="31" spans="1:19" ht="21" customHeight="1" x14ac:dyDescent="0.3">
      <c r="A31" s="175"/>
      <c r="B31" s="175" t="s">
        <v>41</v>
      </c>
      <c r="C31" s="175"/>
      <c r="D31" s="175"/>
      <c r="E31" s="185">
        <f>AVERAGE(E29:E30)</f>
        <v>5.6720000000000007E-2</v>
      </c>
      <c r="F31" s="185"/>
      <c r="G31" s="175"/>
      <c r="H31" s="175"/>
      <c r="I31" s="186"/>
      <c r="J31" s="153"/>
      <c r="L31" s="153"/>
      <c r="N31" s="153"/>
      <c r="O31" s="187">
        <f>AVERAGE(O29:O30)</f>
        <v>5.6720000000000007E-2</v>
      </c>
      <c r="Q31" s="161"/>
      <c r="R31" s="153"/>
      <c r="S31" s="153"/>
    </row>
    <row r="32" spans="1:19" ht="8.25" customHeight="1" x14ac:dyDescent="0.3">
      <c r="A32" s="175"/>
      <c r="B32" s="175"/>
      <c r="C32" s="175"/>
      <c r="D32" s="175"/>
      <c r="E32" s="185"/>
      <c r="F32" s="185"/>
      <c r="G32" s="175"/>
      <c r="H32" s="175"/>
      <c r="I32" s="186"/>
      <c r="J32" s="153"/>
      <c r="L32" s="153"/>
      <c r="N32" s="153"/>
      <c r="O32" s="187"/>
      <c r="Q32" s="161"/>
      <c r="R32" s="153"/>
      <c r="S32" s="153"/>
    </row>
    <row r="33" spans="1:19" ht="15.6" hidden="1" customHeight="1" x14ac:dyDescent="0.3">
      <c r="A33" s="175" t="s">
        <v>168</v>
      </c>
      <c r="B33" s="175"/>
      <c r="C33" s="175"/>
      <c r="D33" s="175"/>
      <c r="E33" s="188">
        <f>E17</f>
        <v>1.800000000000003E-3</v>
      </c>
      <c r="F33" s="185"/>
      <c r="G33" s="175"/>
      <c r="H33" s="175"/>
      <c r="I33" s="186"/>
      <c r="J33" s="153"/>
      <c r="L33" s="153"/>
      <c r="Q33" s="161"/>
      <c r="R33" s="153"/>
      <c r="S33" s="153"/>
    </row>
    <row r="34" spans="1:19" ht="6.6" hidden="1" customHeight="1" x14ac:dyDescent="0.3">
      <c r="A34" s="175"/>
      <c r="B34" s="175"/>
      <c r="C34" s="175"/>
      <c r="D34" s="175"/>
      <c r="E34" s="185"/>
      <c r="F34" s="185"/>
      <c r="G34" s="175"/>
      <c r="H34" s="175"/>
      <c r="I34" s="186"/>
      <c r="J34" s="153"/>
      <c r="L34" s="153"/>
      <c r="Q34" s="161"/>
      <c r="R34" s="153"/>
      <c r="S34" s="153"/>
    </row>
    <row r="35" spans="1:19" ht="15.6" hidden="1" customHeight="1" x14ac:dyDescent="0.35">
      <c r="A35" s="190" t="s">
        <v>169</v>
      </c>
      <c r="B35" s="190"/>
      <c r="C35" s="175"/>
      <c r="D35" s="175"/>
      <c r="E35" s="191">
        <f>E31+E33</f>
        <v>5.852000000000001E-2</v>
      </c>
      <c r="F35" s="191"/>
      <c r="G35" s="175"/>
      <c r="H35" s="175"/>
      <c r="I35" s="192"/>
      <c r="J35" s="153"/>
      <c r="L35" s="153"/>
      <c r="Q35" s="161"/>
      <c r="R35" s="153"/>
      <c r="S35" s="153"/>
    </row>
    <row r="36" spans="1:19" ht="15.6" hidden="1" customHeight="1" x14ac:dyDescent="0.35">
      <c r="A36" s="190"/>
      <c r="B36" s="190"/>
      <c r="C36" s="175"/>
      <c r="D36" s="175"/>
      <c r="E36" s="191"/>
      <c r="F36" s="191"/>
      <c r="G36" s="175"/>
      <c r="H36" s="175"/>
      <c r="I36" s="192"/>
      <c r="J36" s="153"/>
      <c r="L36" s="153"/>
      <c r="O36" s="193"/>
      <c r="Q36" s="161"/>
      <c r="R36" s="153"/>
      <c r="S36" s="153"/>
    </row>
    <row r="37" spans="1:19" x14ac:dyDescent="0.3">
      <c r="A37" s="175" t="s">
        <v>170</v>
      </c>
      <c r="B37" s="175"/>
      <c r="C37" s="175"/>
      <c r="D37" s="175"/>
      <c r="E37" s="188">
        <f>C17</f>
        <v>5.5000000000000049E-3</v>
      </c>
      <c r="F37" s="185"/>
      <c r="G37" s="175"/>
      <c r="H37" s="175"/>
      <c r="I37" s="186"/>
      <c r="J37" s="153" t="s">
        <v>171</v>
      </c>
      <c r="L37" s="153"/>
      <c r="O37" s="189">
        <f>I17</f>
        <v>2.3999999999999994E-3</v>
      </c>
      <c r="Q37" s="161"/>
      <c r="R37" s="153"/>
      <c r="S37" s="153"/>
    </row>
    <row r="38" spans="1:19" ht="6.6" customHeight="1" x14ac:dyDescent="0.3">
      <c r="A38" s="175"/>
      <c r="B38" s="175"/>
      <c r="C38" s="175"/>
      <c r="D38" s="175"/>
      <c r="E38" s="185"/>
      <c r="F38" s="185"/>
      <c r="G38" s="175"/>
      <c r="H38" s="175"/>
      <c r="I38" s="186"/>
      <c r="J38" s="153"/>
      <c r="L38" s="153"/>
      <c r="O38" s="187"/>
      <c r="Q38" s="161"/>
      <c r="R38" s="153"/>
      <c r="S38" s="153"/>
    </row>
    <row r="39" spans="1:19" ht="17.25" x14ac:dyDescent="0.35">
      <c r="A39" s="190" t="s">
        <v>172</v>
      </c>
      <c r="B39" s="190"/>
      <c r="C39" s="175"/>
      <c r="D39" s="175"/>
      <c r="E39" s="191">
        <f>ROUND(E31+E37,4)</f>
        <v>6.2199999999999998E-2</v>
      </c>
      <c r="F39" s="191"/>
      <c r="G39" s="175"/>
      <c r="H39" s="175"/>
      <c r="I39" s="192"/>
      <c r="J39" s="153"/>
      <c r="L39" s="153"/>
      <c r="M39" s="194" t="s">
        <v>173</v>
      </c>
      <c r="O39" s="193">
        <f>ROUND(O31+O37,4)</f>
        <v>5.91E-2</v>
      </c>
      <c r="Q39" s="161"/>
      <c r="R39" s="153"/>
      <c r="S39" s="153"/>
    </row>
    <row r="40" spans="1:19" x14ac:dyDescent="0.3">
      <c r="A40" s="175"/>
      <c r="B40" s="175"/>
      <c r="C40" s="195"/>
      <c r="D40" s="175"/>
      <c r="E40" s="175"/>
      <c r="F40" s="175"/>
      <c r="G40" s="175"/>
      <c r="H40" s="175"/>
      <c r="I40" s="153"/>
      <c r="J40" s="153"/>
      <c r="K40" s="153"/>
      <c r="L40" s="153"/>
      <c r="M40" s="153"/>
      <c r="N40" s="153"/>
      <c r="O40" s="153"/>
      <c r="P40" s="153"/>
      <c r="Q40" s="153"/>
      <c r="R40" s="153"/>
    </row>
    <row r="41" spans="1:19" x14ac:dyDescent="0.3">
      <c r="A41" s="196"/>
      <c r="B41" s="196"/>
      <c r="C41" s="175"/>
      <c r="D41" s="175"/>
      <c r="E41" s="175"/>
      <c r="F41" s="175"/>
      <c r="G41" s="175"/>
      <c r="H41" s="175"/>
      <c r="I41" s="153"/>
      <c r="J41" s="153"/>
      <c r="K41" s="153"/>
      <c r="L41" s="153"/>
      <c r="M41" s="153"/>
      <c r="N41" s="153"/>
      <c r="O41" s="153"/>
      <c r="P41" s="153"/>
      <c r="Q41" s="153"/>
      <c r="R41" s="153"/>
    </row>
    <row r="42" spans="1:19" ht="3" customHeight="1" x14ac:dyDescent="0.3">
      <c r="A42" s="175"/>
      <c r="B42" s="175"/>
      <c r="C42" s="175"/>
      <c r="D42" s="175"/>
      <c r="E42" s="175"/>
      <c r="F42" s="175"/>
      <c r="G42" s="175"/>
      <c r="H42" s="175"/>
    </row>
    <row r="43" spans="1:19" s="198" customFormat="1" ht="13.9" customHeight="1" x14ac:dyDescent="0.3">
      <c r="A43" s="197" t="s">
        <v>31</v>
      </c>
      <c r="B43" s="245" t="str">
        <f>B73&amp;"."</f>
        <v>IHS Global Insight (Aug. 24, 2017).</v>
      </c>
      <c r="C43" s="245"/>
      <c r="D43" s="245"/>
      <c r="E43" s="245"/>
      <c r="F43" s="245"/>
      <c r="G43" s="245"/>
      <c r="H43" s="245"/>
    </row>
    <row r="44" spans="1:19" s="198" customFormat="1" ht="13.9" customHeight="1" x14ac:dyDescent="0.3">
      <c r="A44" s="197" t="s">
        <v>32</v>
      </c>
      <c r="B44" s="245" t="str">
        <f>B74</f>
        <v>Energy Information Administration, Annual Energy Outlook 2017 (Jan. 5, 2017)</v>
      </c>
      <c r="C44" s="245"/>
      <c r="D44" s="245"/>
      <c r="E44" s="245"/>
      <c r="F44" s="245"/>
      <c r="G44" s="245"/>
      <c r="H44" s="245"/>
    </row>
    <row r="45" spans="1:19" s="198" customFormat="1" ht="13.9" customHeight="1" x14ac:dyDescent="0.3">
      <c r="A45" s="197"/>
      <c r="B45" s="245"/>
      <c r="C45" s="245"/>
      <c r="D45" s="245"/>
      <c r="E45" s="245"/>
      <c r="F45" s="245"/>
      <c r="G45" s="245"/>
      <c r="H45" s="245"/>
    </row>
    <row r="46" spans="1:19" s="198" customFormat="1" ht="13.9" customHeight="1" x14ac:dyDescent="0.3">
      <c r="A46" s="197" t="s">
        <v>33</v>
      </c>
      <c r="B46" s="245" t="str">
        <f>"Based on monthly average bond yields from Moody's Investors Service for the six-month period "&amp;B9&amp;" - "&amp;B14&amp;"."</f>
        <v>Based on monthly average bond yields from Moody's Investors Service for the six-month period May - Oct. 2017.</v>
      </c>
      <c r="C46" s="245"/>
      <c r="D46" s="245"/>
      <c r="E46" s="245"/>
      <c r="F46" s="245"/>
      <c r="G46" s="245"/>
      <c r="H46" s="245"/>
    </row>
    <row r="47" spans="1:19" s="198" customFormat="1" ht="13.9" customHeight="1" x14ac:dyDescent="0.3">
      <c r="A47" s="142"/>
      <c r="B47" s="245"/>
      <c r="C47" s="245"/>
      <c r="D47" s="245"/>
      <c r="E47" s="245"/>
      <c r="F47" s="245"/>
      <c r="G47" s="245"/>
      <c r="H47" s="245"/>
    </row>
    <row r="48" spans="1:19" ht="17.25" x14ac:dyDescent="0.35">
      <c r="O48" s="173"/>
      <c r="S48" s="173"/>
    </row>
    <row r="49" spans="1:25" s="151" customFormat="1" ht="17.25" x14ac:dyDescent="0.35">
      <c r="M49" s="173" t="s">
        <v>41</v>
      </c>
      <c r="R49" s="173"/>
      <c r="S49" s="173"/>
    </row>
    <row r="50" spans="1:25" s="199" customFormat="1" ht="17.25" x14ac:dyDescent="0.35">
      <c r="A50" s="140" t="s">
        <v>140</v>
      </c>
      <c r="B50" s="140"/>
      <c r="C50" s="199">
        <v>2018</v>
      </c>
      <c r="E50" s="199">
        <v>2019</v>
      </c>
      <c r="G50" s="199">
        <v>2020</v>
      </c>
      <c r="I50" s="199">
        <v>2021</v>
      </c>
      <c r="K50" s="199">
        <v>2022</v>
      </c>
      <c r="M50" s="146" t="s">
        <v>164</v>
      </c>
      <c r="R50" s="200"/>
      <c r="S50" s="201"/>
      <c r="T50" s="200"/>
    </row>
    <row r="51" spans="1:25" x14ac:dyDescent="0.3">
      <c r="B51" s="140" t="s">
        <v>174</v>
      </c>
      <c r="C51" s="202">
        <v>3.1E-2</v>
      </c>
      <c r="E51" s="147">
        <v>3.4000000000000002E-2</v>
      </c>
      <c r="G51" s="147">
        <v>3.6999999999999998E-2</v>
      </c>
      <c r="I51" s="147">
        <v>0.04</v>
      </c>
      <c r="M51" s="147"/>
      <c r="R51" s="153"/>
      <c r="S51" s="153"/>
      <c r="T51" s="203"/>
      <c r="U51" s="202"/>
      <c r="V51" s="202"/>
    </row>
    <row r="52" spans="1:25" x14ac:dyDescent="0.3">
      <c r="B52" s="140" t="s">
        <v>175</v>
      </c>
      <c r="C52" s="187">
        <v>3.1199999999999999E-2</v>
      </c>
      <c r="D52" s="171"/>
      <c r="E52" s="187">
        <v>3.8399999999999997E-2</v>
      </c>
      <c r="F52" s="171"/>
      <c r="G52" s="187">
        <v>4.0599999999999997E-2</v>
      </c>
      <c r="I52" s="187">
        <v>4.0599999999999997E-2</v>
      </c>
      <c r="K52" s="187">
        <v>4.0599999999999997E-2</v>
      </c>
      <c r="M52" s="147"/>
      <c r="R52" s="203"/>
      <c r="S52" s="203"/>
      <c r="T52" s="203"/>
      <c r="U52" s="202"/>
      <c r="V52" s="202"/>
      <c r="W52" s="202"/>
      <c r="X52" s="202"/>
      <c r="Y52" s="202"/>
    </row>
    <row r="53" spans="1:25" x14ac:dyDescent="0.3">
      <c r="B53" s="140" t="s">
        <v>176</v>
      </c>
      <c r="C53" s="187">
        <v>2.8799999999999999E-2</v>
      </c>
      <c r="D53" s="171"/>
      <c r="E53" s="187">
        <v>3.4799999999999998E-2</v>
      </c>
      <c r="F53" s="171"/>
      <c r="G53" s="187">
        <v>3.7499999999999999E-2</v>
      </c>
      <c r="I53" s="187">
        <v>3.8100000000000002E-2</v>
      </c>
      <c r="K53" s="187">
        <v>3.8300000000000001E-2</v>
      </c>
      <c r="M53" s="147"/>
      <c r="R53" s="203"/>
      <c r="S53" s="203"/>
      <c r="T53" s="204"/>
    </row>
    <row r="54" spans="1:25" x14ac:dyDescent="0.3">
      <c r="B54" s="140" t="s">
        <v>177</v>
      </c>
      <c r="C54" s="147">
        <f>AVERAGE(0.029,0.031,0.032)</f>
        <v>3.0666666666666665E-2</v>
      </c>
      <c r="E54" s="147">
        <v>3.5999999999999997E-2</v>
      </c>
      <c r="G54" s="147">
        <v>3.7999999999999999E-2</v>
      </c>
      <c r="I54" s="147">
        <v>3.7999999999999999E-2</v>
      </c>
      <c r="K54" s="147">
        <v>3.9E-2</v>
      </c>
      <c r="M54" s="205"/>
      <c r="R54" s="203"/>
      <c r="S54" s="203"/>
      <c r="T54" s="204"/>
    </row>
    <row r="55" spans="1:25" x14ac:dyDescent="0.3">
      <c r="E55" s="147"/>
      <c r="G55" s="147"/>
      <c r="M55" s="147"/>
      <c r="R55" s="203"/>
      <c r="S55" s="203"/>
      <c r="T55" s="204"/>
    </row>
    <row r="56" spans="1:25" x14ac:dyDescent="0.3">
      <c r="A56" s="140" t="s">
        <v>141</v>
      </c>
      <c r="E56" s="147"/>
      <c r="G56" s="147"/>
      <c r="R56" s="203"/>
      <c r="S56" s="203"/>
      <c r="T56" s="204"/>
    </row>
    <row r="57" spans="1:25" x14ac:dyDescent="0.3">
      <c r="B57" s="140" t="s">
        <v>174</v>
      </c>
      <c r="C57" s="202">
        <v>3.5999999999999997E-2</v>
      </c>
      <c r="E57" s="147">
        <v>3.7999999999999999E-2</v>
      </c>
      <c r="G57" s="147">
        <v>0.04</v>
      </c>
      <c r="I57" s="147">
        <v>0.04</v>
      </c>
      <c r="M57" s="147">
        <f>AVERAGE(C57:K57)</f>
        <v>3.85E-2</v>
      </c>
      <c r="R57" s="153"/>
      <c r="S57" s="153"/>
      <c r="T57" s="203"/>
      <c r="U57" s="202"/>
      <c r="V57" s="202"/>
    </row>
    <row r="58" spans="1:25" x14ac:dyDescent="0.3">
      <c r="B58" s="140" t="s">
        <v>175</v>
      </c>
      <c r="C58" s="187">
        <v>3.7499999999999999E-2</v>
      </c>
      <c r="D58" s="171"/>
      <c r="E58" s="187">
        <v>4.36E-2</v>
      </c>
      <c r="F58" s="171"/>
      <c r="G58" s="187">
        <v>4.5699999999999998E-2</v>
      </c>
      <c r="I58" s="187">
        <v>4.5699999999999998E-2</v>
      </c>
      <c r="K58" s="187">
        <v>4.5699999999999998E-2</v>
      </c>
      <c r="M58" s="147">
        <f>AVERAGE(C58:K58)</f>
        <v>4.3639999999999998E-2</v>
      </c>
      <c r="R58" s="203"/>
      <c r="S58" s="203"/>
      <c r="T58" s="203"/>
      <c r="U58" s="202"/>
      <c r="V58" s="202"/>
      <c r="W58" s="202"/>
      <c r="X58" s="202"/>
      <c r="Y58" s="202"/>
    </row>
    <row r="59" spans="1:25" x14ac:dyDescent="0.3">
      <c r="B59" s="140" t="s">
        <v>177</v>
      </c>
      <c r="C59" s="147">
        <f>AVERAGE(0.035,0.036,0.037)</f>
        <v>3.6000000000000004E-2</v>
      </c>
      <c r="E59" s="147">
        <v>4.2000000000000003E-2</v>
      </c>
      <c r="G59" s="147">
        <v>4.2999999999999997E-2</v>
      </c>
      <c r="I59" s="147">
        <v>4.3999999999999997E-2</v>
      </c>
      <c r="K59" s="147">
        <v>4.3999999999999997E-2</v>
      </c>
      <c r="M59" s="148">
        <f>AVERAGE(C59:K59)</f>
        <v>4.1800000000000004E-2</v>
      </c>
      <c r="R59" s="203"/>
      <c r="S59" s="203"/>
      <c r="T59" s="204"/>
    </row>
    <row r="60" spans="1:25" x14ac:dyDescent="0.3">
      <c r="C60" s="147"/>
      <c r="E60" s="147"/>
      <c r="G60" s="147"/>
      <c r="M60" s="147">
        <f>AVERAGE(M57:M59)</f>
        <v>4.1313333333333334E-2</v>
      </c>
      <c r="R60" s="203"/>
      <c r="S60" s="203"/>
      <c r="T60" s="204"/>
    </row>
    <row r="61" spans="1:25" x14ac:dyDescent="0.3">
      <c r="A61" s="140" t="s">
        <v>142</v>
      </c>
      <c r="E61" s="147"/>
      <c r="G61" s="147"/>
      <c r="R61" s="203"/>
      <c r="S61" s="203"/>
      <c r="T61" s="204"/>
    </row>
    <row r="62" spans="1:25" x14ac:dyDescent="0.3">
      <c r="B62" s="140" t="s">
        <v>174</v>
      </c>
      <c r="C62" s="147">
        <v>4.5999999999999999E-2</v>
      </c>
      <c r="E62" s="147">
        <v>5.1999999999999998E-2</v>
      </c>
      <c r="G62" s="147">
        <v>5.3999999999999999E-2</v>
      </c>
      <c r="I62" s="147">
        <v>5.6000000000000001E-2</v>
      </c>
      <c r="R62" s="186"/>
      <c r="S62" s="206"/>
      <c r="T62" s="204"/>
    </row>
    <row r="63" spans="1:25" x14ac:dyDescent="0.3">
      <c r="A63" s="162"/>
      <c r="B63" s="162" t="s">
        <v>175</v>
      </c>
      <c r="C63" s="187">
        <v>4.7699999999999999E-2</v>
      </c>
      <c r="D63" s="171"/>
      <c r="E63" s="187">
        <v>5.21E-2</v>
      </c>
      <c r="F63" s="171"/>
      <c r="G63" s="187">
        <v>5.45E-2</v>
      </c>
      <c r="I63" s="187">
        <v>5.45E-2</v>
      </c>
      <c r="K63" s="187">
        <v>5.45E-2</v>
      </c>
      <c r="R63" s="153"/>
      <c r="S63" s="204"/>
      <c r="T63" s="204"/>
    </row>
    <row r="64" spans="1:25" s="162" customFormat="1" x14ac:dyDescent="0.3">
      <c r="A64" s="140"/>
      <c r="B64" s="140" t="s">
        <v>177</v>
      </c>
      <c r="C64" s="147">
        <f>AVERAGE(0.046,0.047,0.049)</f>
        <v>4.7333333333333338E-2</v>
      </c>
      <c r="D64" s="140"/>
      <c r="E64" s="147">
        <v>5.1999999999999998E-2</v>
      </c>
      <c r="F64" s="207"/>
      <c r="G64" s="147">
        <v>5.3999999999999999E-2</v>
      </c>
      <c r="H64" s="140"/>
      <c r="I64" s="147">
        <v>5.3999999999999999E-2</v>
      </c>
      <c r="J64" s="140"/>
      <c r="K64" s="147">
        <v>5.3999999999999999E-2</v>
      </c>
      <c r="L64" s="140"/>
      <c r="M64" s="140"/>
      <c r="R64" s="208"/>
    </row>
    <row r="65" spans="1:28" x14ac:dyDescent="0.3">
      <c r="C65" s="147"/>
      <c r="E65" s="147"/>
      <c r="F65" s="207"/>
      <c r="G65" s="147"/>
      <c r="R65" s="209"/>
    </row>
    <row r="66" spans="1:28" x14ac:dyDescent="0.3">
      <c r="A66" s="140" t="s">
        <v>143</v>
      </c>
      <c r="C66" s="147"/>
      <c r="E66" s="147"/>
      <c r="G66" s="147"/>
      <c r="R66" s="209"/>
    </row>
    <row r="67" spans="1:28" x14ac:dyDescent="0.3">
      <c r="A67" s="162"/>
      <c r="B67" s="162" t="s">
        <v>175</v>
      </c>
      <c r="C67" s="114">
        <v>5.0799999999999998E-2</v>
      </c>
      <c r="D67" s="210"/>
      <c r="E67" s="114">
        <v>5.7599999999999998E-2</v>
      </c>
      <c r="F67" s="210"/>
      <c r="G67" s="114">
        <v>6.0299999999999999E-2</v>
      </c>
      <c r="H67" s="162"/>
      <c r="I67" s="114">
        <v>6.0299999999999999E-2</v>
      </c>
      <c r="J67" s="162"/>
      <c r="K67" s="114">
        <v>6.0299999999999999E-2</v>
      </c>
      <c r="L67" s="162"/>
      <c r="M67" s="187">
        <f>AVERAGE(C67:K67)</f>
        <v>5.7860000000000002E-2</v>
      </c>
      <c r="R67" s="209"/>
    </row>
    <row r="68" spans="1:28" s="162" customFormat="1" x14ac:dyDescent="0.3">
      <c r="A68" s="140"/>
      <c r="B68" s="140" t="s">
        <v>176</v>
      </c>
      <c r="C68" s="187">
        <v>5.1200000000000002E-2</v>
      </c>
      <c r="D68" s="171"/>
      <c r="E68" s="187">
        <v>5.4300000000000001E-2</v>
      </c>
      <c r="F68" s="171"/>
      <c r="G68" s="187">
        <v>5.7099999999999998E-2</v>
      </c>
      <c r="H68" s="140"/>
      <c r="I68" s="187">
        <v>5.7500000000000002E-2</v>
      </c>
      <c r="J68" s="140"/>
      <c r="K68" s="187">
        <v>5.7799999999999997E-2</v>
      </c>
      <c r="L68" s="140"/>
      <c r="M68" s="187">
        <f>AVERAGE(C68:K68)</f>
        <v>5.5580000000000004E-2</v>
      </c>
      <c r="R68" s="114"/>
      <c r="S68" s="210"/>
      <c r="T68" s="114"/>
      <c r="U68" s="210"/>
      <c r="V68" s="114"/>
      <c r="X68" s="114"/>
      <c r="Z68" s="114"/>
      <c r="AB68" s="114"/>
    </row>
    <row r="69" spans="1:28" x14ac:dyDescent="0.3">
      <c r="R69" s="211"/>
      <c r="S69" s="211"/>
      <c r="T69" s="211"/>
      <c r="U69" s="211"/>
      <c r="V69" s="211"/>
    </row>
    <row r="70" spans="1:28" x14ac:dyDescent="0.3">
      <c r="A70" s="166"/>
      <c r="B70" s="166"/>
    </row>
    <row r="71" spans="1:28" x14ac:dyDescent="0.3">
      <c r="A71" s="153"/>
    </row>
    <row r="72" spans="1:28" x14ac:dyDescent="0.3">
      <c r="A72" s="140" t="s">
        <v>31</v>
      </c>
      <c r="B72" s="140" t="s">
        <v>178</v>
      </c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</row>
    <row r="73" spans="1:28" s="198" customFormat="1" x14ac:dyDescent="0.3">
      <c r="A73" s="140" t="s">
        <v>32</v>
      </c>
      <c r="B73" s="140" t="s">
        <v>179</v>
      </c>
    </row>
    <row r="74" spans="1:28" s="198" customFormat="1" x14ac:dyDescent="0.3">
      <c r="A74" s="140" t="s">
        <v>33</v>
      </c>
      <c r="B74" s="140" t="s">
        <v>180</v>
      </c>
    </row>
    <row r="75" spans="1:28" s="198" customFormat="1" ht="17.25" x14ac:dyDescent="0.35">
      <c r="A75" s="140" t="s">
        <v>135</v>
      </c>
      <c r="B75" s="212" t="s">
        <v>181</v>
      </c>
    </row>
    <row r="76" spans="1:28" s="198" customFormat="1" x14ac:dyDescent="0.3">
      <c r="A76" s="140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</row>
    <row r="77" spans="1:28" x14ac:dyDescent="0.3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</row>
    <row r="78" spans="1:28" x14ac:dyDescent="0.3">
      <c r="A78" s="140" t="s">
        <v>182</v>
      </c>
      <c r="C78" s="214"/>
      <c r="D78" s="150"/>
      <c r="E78" s="214"/>
    </row>
    <row r="79" spans="1:28" x14ac:dyDescent="0.3">
      <c r="C79" s="215" t="s">
        <v>183</v>
      </c>
      <c r="D79" s="150"/>
      <c r="E79" s="150">
        <v>2022</v>
      </c>
      <c r="G79" s="216" t="s">
        <v>184</v>
      </c>
    </row>
    <row r="80" spans="1:28" x14ac:dyDescent="0.3">
      <c r="B80" s="140" t="s">
        <v>185</v>
      </c>
      <c r="C80" s="217">
        <v>4.0999999999999996</v>
      </c>
      <c r="E80" s="218">
        <v>5.4</v>
      </c>
      <c r="G80" s="140">
        <f>E80-C80</f>
        <v>1.3000000000000007</v>
      </c>
    </row>
    <row r="81" spans="2:8" x14ac:dyDescent="0.3">
      <c r="B81" s="140" t="s">
        <v>149</v>
      </c>
      <c r="C81" s="217">
        <v>4.68</v>
      </c>
      <c r="E81" s="218">
        <v>6.3</v>
      </c>
      <c r="G81" s="219">
        <f>E81-C81</f>
        <v>1.62</v>
      </c>
      <c r="H81" s="217"/>
    </row>
    <row r="82" spans="2:8" x14ac:dyDescent="0.3">
      <c r="G82" s="217">
        <f>AVERAGE(G80:G81)</f>
        <v>1.4600000000000004</v>
      </c>
    </row>
    <row r="97" ht="3.6" customHeight="1" x14ac:dyDescent="0.3"/>
    <row r="114" ht="8.4499999999999993" customHeight="1" x14ac:dyDescent="0.3"/>
    <row r="115" s="198" customFormat="1" ht="13.15" customHeight="1" x14ac:dyDescent="0.3"/>
    <row r="116" s="198" customFormat="1" ht="15" x14ac:dyDescent="0.3"/>
    <row r="117" s="198" customFormat="1" ht="15" x14ac:dyDescent="0.3"/>
    <row r="118" s="198" customFormat="1" ht="15" x14ac:dyDescent="0.3"/>
    <row r="119" s="198" customFormat="1" ht="15" x14ac:dyDescent="0.3"/>
  </sheetData>
  <mergeCells count="8">
    <mergeCell ref="B46:H47"/>
    <mergeCell ref="C4:I4"/>
    <mergeCell ref="C5:I5"/>
    <mergeCell ref="K5:K7"/>
    <mergeCell ref="M5:M7"/>
    <mergeCell ref="O5:O7"/>
    <mergeCell ref="B43:H43"/>
    <mergeCell ref="B44:H45"/>
  </mergeCells>
  <hyperlinks>
    <hyperlink ref="B21" r:id="rId1"/>
  </hyperlinks>
  <printOptions horizontalCentered="1"/>
  <pageMargins left="0.5" right="0.5" top="0.75" bottom="0.25" header="0" footer="0"/>
  <pageSetup scale="61" orientation="portrait" horizontalDpi="300" verticalDpi="300" r:id="rId2"/>
  <headerFooter alignWithMargins="0"/>
  <rowBreaks count="1" manualBreakCount="1">
    <brk id="2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tabSelected="1" workbookViewId="0">
      <selection activeCell="M12" sqref="M12"/>
    </sheetView>
  </sheetViews>
  <sheetFormatPr defaultColWidth="7.75" defaultRowHeight="12.75" x14ac:dyDescent="0.2"/>
  <cols>
    <col min="1" max="4" width="7.75" style="141"/>
    <col min="5" max="5" width="8.5" style="141" customWidth="1"/>
    <col min="6" max="10" width="7.75" style="141"/>
    <col min="11" max="11" width="7.375" style="141" customWidth="1"/>
    <col min="12" max="16384" width="7.75" style="141"/>
  </cols>
  <sheetData>
    <row r="1" spans="1:15" ht="16.5" x14ac:dyDescent="0.3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ht="16.5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ht="16.5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ht="16.5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6.5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ht="16.5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ht="16.5" x14ac:dyDescent="0.3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ht="16.5" x14ac:dyDescent="0.3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ht="16.5" x14ac:dyDescent="0.3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ht="16.5" x14ac:dyDescent="0.3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5" ht="16.5" x14ac:dyDescent="0.3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5" ht="16.5" x14ac:dyDescent="0.3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ht="16.5" x14ac:dyDescent="0.3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spans="1:15" ht="16.5" x14ac:dyDescent="0.3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1:15" ht="16.5" x14ac:dyDescent="0.3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1:15" ht="16.5" x14ac:dyDescent="0.3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spans="1:15" ht="16.5" x14ac:dyDescent="0.3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1:15" ht="16.5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19" spans="1:15" ht="16.5" x14ac:dyDescent="0.3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0" spans="1:15" ht="16.5" x14ac:dyDescent="0.3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spans="1:15" ht="16.5" x14ac:dyDescent="0.3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5" s="142" customFormat="1" x14ac:dyDescent="0.2">
      <c r="C22" s="143" t="s">
        <v>138</v>
      </c>
    </row>
    <row r="23" spans="1:15" s="142" customFormat="1" x14ac:dyDescent="0.2">
      <c r="B23" s="144"/>
      <c r="C23" s="142" t="str">
        <f>'Bond Yields'!B72</f>
        <v>Value Line Investment Survey, Forecast for the U.S. Economy (Sep. 1, 2017)</v>
      </c>
    </row>
    <row r="24" spans="1:15" s="142" customFormat="1" x14ac:dyDescent="0.2">
      <c r="B24" s="144"/>
      <c r="C24" s="142" t="str">
        <f>'Bond Yields'!B73</f>
        <v>IHS Global Insight (Aug. 24, 2017)</v>
      </c>
    </row>
    <row r="25" spans="1:15" s="142" customFormat="1" x14ac:dyDescent="0.2">
      <c r="B25" s="144"/>
      <c r="C25" s="142" t="str">
        <f>'Bond Yields'!B74</f>
        <v>Energy Information Administration, Annual Energy Outlook 2017 (Jan. 5, 2017)</v>
      </c>
    </row>
    <row r="26" spans="1:15" s="142" customFormat="1" x14ac:dyDescent="0.2">
      <c r="B26" s="144"/>
      <c r="C26" s="142" t="str">
        <f>'Bond Yields'!B75</f>
        <v>Wolters Kluwer, Blue Chip Financial Forecasts, Vol. 36, No. 6 (Jun. 1, 2017)</v>
      </c>
    </row>
    <row r="31" spans="1:15" ht="17.25" x14ac:dyDescent="0.35">
      <c r="E31" s="145" t="str">
        <f>'Bond Yields'!B14</f>
        <v>Oct. 2017</v>
      </c>
      <c r="F31" s="146">
        <v>2018</v>
      </c>
      <c r="G31" s="146">
        <v>2019</v>
      </c>
      <c r="H31" s="146">
        <v>2020</v>
      </c>
      <c r="I31" s="146">
        <v>2021</v>
      </c>
      <c r="J31" s="146">
        <v>2022</v>
      </c>
      <c r="L31" s="146" t="s">
        <v>139</v>
      </c>
    </row>
    <row r="32" spans="1:15" ht="16.5" x14ac:dyDescent="0.3">
      <c r="C32" s="140" t="s">
        <v>140</v>
      </c>
      <c r="E32" s="147">
        <f>'Bond Yields'!M16</f>
        <v>2.2599999999999999E-2</v>
      </c>
      <c r="F32" s="147">
        <f>AVERAGE('Bond Yields'!C51:C54)</f>
        <v>3.0416666666666665E-2</v>
      </c>
      <c r="G32" s="147">
        <f>AVERAGE('Bond Yields'!E51:E54)</f>
        <v>3.5799999999999998E-2</v>
      </c>
      <c r="H32" s="147">
        <f>AVERAGE('Bond Yields'!G51:G54)</f>
        <v>3.8275000000000003E-2</v>
      </c>
      <c r="I32" s="147">
        <f>AVERAGE('Bond Yields'!I51:I54)</f>
        <v>3.9175000000000001E-2</v>
      </c>
      <c r="J32" s="147">
        <f>AVERAGE('Bond Yields'!K51:K54)</f>
        <v>3.9300000000000002E-2</v>
      </c>
      <c r="L32" s="147">
        <f>J32-E32</f>
        <v>1.6700000000000003E-2</v>
      </c>
    </row>
    <row r="33" spans="3:12" ht="16.5" x14ac:dyDescent="0.3">
      <c r="C33" s="140" t="s">
        <v>141</v>
      </c>
      <c r="E33" s="147">
        <f>'Bond Yields'!K16</f>
        <v>2.8500000000000001E-2</v>
      </c>
      <c r="F33" s="147">
        <f>AVERAGE('Bond Yields'!C57:C59)</f>
        <v>3.6499999999999998E-2</v>
      </c>
      <c r="G33" s="147">
        <f>AVERAGE('Bond Yields'!E57:E59)</f>
        <v>4.1200000000000007E-2</v>
      </c>
      <c r="H33" s="147">
        <f>AVERAGE('Bond Yields'!G57:G59)</f>
        <v>4.2899999999999994E-2</v>
      </c>
      <c r="I33" s="147">
        <f>AVERAGE('Bond Yields'!I57:I59)</f>
        <v>4.3233333333333325E-2</v>
      </c>
      <c r="J33" s="147">
        <f>AVERAGE('Bond Yields'!K57:K59)</f>
        <v>4.4850000000000001E-2</v>
      </c>
      <c r="L33" s="147">
        <f t="shared" ref="L33:L35" si="0">J33-E33</f>
        <v>1.635E-2</v>
      </c>
    </row>
    <row r="34" spans="3:12" ht="16.5" x14ac:dyDescent="0.3">
      <c r="C34" s="140" t="s">
        <v>142</v>
      </c>
      <c r="E34" s="147">
        <f>'Bond Yields'!O16</f>
        <v>3.6799999999999999E-2</v>
      </c>
      <c r="F34" s="147">
        <f>AVERAGE('Bond Yields'!C62:C64)</f>
        <v>4.7011111111111115E-2</v>
      </c>
      <c r="G34" s="147">
        <f>AVERAGE('Bond Yields'!E62:E64)</f>
        <v>5.2033333333333327E-2</v>
      </c>
      <c r="H34" s="147">
        <f>AVERAGE('Bond Yields'!G62:G64)</f>
        <v>5.4166666666666669E-2</v>
      </c>
      <c r="I34" s="147">
        <f>AVERAGE('Bond Yields'!I62:I64)</f>
        <v>5.4833333333333338E-2</v>
      </c>
      <c r="J34" s="147">
        <f>AVERAGE('Bond Yields'!K62:K64)</f>
        <v>5.425E-2</v>
      </c>
      <c r="L34" s="147">
        <f t="shared" si="0"/>
        <v>1.745E-2</v>
      </c>
    </row>
    <row r="35" spans="3:12" ht="16.5" x14ac:dyDescent="0.3">
      <c r="C35" s="140" t="s">
        <v>143</v>
      </c>
      <c r="E35" s="147">
        <f>'Bond Yields'!G16</f>
        <v>3.7699999999999997E-2</v>
      </c>
      <c r="F35" s="147">
        <f>AVERAGE('Bond Yields'!C67:C68)</f>
        <v>5.1000000000000004E-2</v>
      </c>
      <c r="G35" s="147">
        <f>AVERAGE('Bond Yields'!E67:E68)</f>
        <v>5.595E-2</v>
      </c>
      <c r="H35" s="147">
        <f>AVERAGE('Bond Yields'!G67:G68)</f>
        <v>5.8700000000000002E-2</v>
      </c>
      <c r="I35" s="147">
        <f>AVERAGE('Bond Yields'!I67:I68)</f>
        <v>5.8900000000000001E-2</v>
      </c>
      <c r="J35" s="147">
        <f>AVERAGE('Bond Yields'!K67:K68)</f>
        <v>5.9049999999999998E-2</v>
      </c>
      <c r="L35" s="148">
        <f t="shared" si="0"/>
        <v>2.1350000000000001E-2</v>
      </c>
    </row>
    <row r="36" spans="3:12" ht="16.5" x14ac:dyDescent="0.3">
      <c r="L36" s="147">
        <f>AVERAGE(L32:L35)</f>
        <v>1.7962499999999999E-2</v>
      </c>
    </row>
  </sheetData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3"/>
  <sheetViews>
    <sheetView showGridLines="0" tabSelected="1" topLeftCell="E43" zoomScaleNormal="100" workbookViewId="0">
      <selection activeCell="M12" sqref="M12"/>
    </sheetView>
  </sheetViews>
  <sheetFormatPr defaultColWidth="10.875" defaultRowHeight="12.75" x14ac:dyDescent="0.2"/>
  <cols>
    <col min="1" max="1" width="31.25" style="220" customWidth="1"/>
    <col min="2" max="2" width="3.5" style="220" customWidth="1"/>
    <col min="3" max="3" width="12.625" style="220" customWidth="1"/>
    <col min="4" max="6" width="9.5" style="220" customWidth="1"/>
    <col min="7" max="8" width="9.5" style="220" hidden="1" customWidth="1"/>
    <col min="9" max="9" width="9.5" style="220" customWidth="1"/>
    <col min="10" max="10" width="9.5" style="220" hidden="1" customWidth="1"/>
    <col min="11" max="11" width="9.5" style="220" customWidth="1"/>
    <col min="12" max="12" width="9.5" style="220" hidden="1" customWidth="1"/>
    <col min="13" max="13" width="9.5" style="220" customWidth="1"/>
    <col min="14" max="14" width="10.875" style="220" hidden="1" customWidth="1"/>
    <col min="15" max="16" width="10.875" style="220"/>
    <col min="17" max="17" width="7.75" style="220" customWidth="1"/>
    <col min="18" max="16384" width="10.875" style="220"/>
  </cols>
  <sheetData>
    <row r="1" spans="1:72" x14ac:dyDescent="0.2">
      <c r="K1" s="221"/>
    </row>
    <row r="2" spans="1:72" x14ac:dyDescent="0.2">
      <c r="K2" s="221"/>
    </row>
    <row r="4" spans="1:72" ht="18" x14ac:dyDescent="0.25">
      <c r="A4" s="240" t="s">
        <v>197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72" ht="18" x14ac:dyDescent="0.25">
      <c r="A5" s="240" t="s">
        <v>198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</row>
    <row r="6" spans="1:72" ht="13.5" thickBot="1" x14ac:dyDescent="0.2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</row>
    <row r="7" spans="1:72" ht="13.5" thickTop="1" x14ac:dyDescent="0.2">
      <c r="I7" s="223"/>
      <c r="J7" s="223"/>
      <c r="K7" s="223"/>
      <c r="L7" s="223"/>
      <c r="M7" s="223"/>
    </row>
    <row r="8" spans="1:72" x14ac:dyDescent="0.2">
      <c r="C8" s="223" t="s">
        <v>199</v>
      </c>
      <c r="D8" s="241"/>
      <c r="E8" s="241"/>
      <c r="F8" s="241"/>
      <c r="G8" s="224"/>
      <c r="H8" s="224"/>
      <c r="I8" s="223"/>
      <c r="J8" s="223"/>
      <c r="K8" s="223"/>
      <c r="L8" s="223"/>
      <c r="M8" s="223"/>
    </row>
    <row r="9" spans="1:72" x14ac:dyDescent="0.2">
      <c r="C9" s="225" t="s">
        <v>200</v>
      </c>
      <c r="D9" s="224"/>
      <c r="E9" s="224"/>
      <c r="F9" s="224"/>
      <c r="G9" s="224"/>
      <c r="H9" s="224"/>
      <c r="I9" s="223"/>
      <c r="J9" s="223"/>
      <c r="K9" s="223"/>
      <c r="L9" s="223"/>
      <c r="M9" s="223"/>
    </row>
    <row r="10" spans="1:72" x14ac:dyDescent="0.2">
      <c r="A10" s="226" t="s">
        <v>201</v>
      </c>
      <c r="B10" s="226"/>
      <c r="C10" s="227" t="s">
        <v>202</v>
      </c>
      <c r="D10" s="228"/>
      <c r="E10" s="228" t="s">
        <v>203</v>
      </c>
      <c r="F10" s="228"/>
      <c r="G10" s="228"/>
      <c r="H10" s="228"/>
      <c r="I10" s="228"/>
      <c r="J10" s="228"/>
      <c r="K10" s="228"/>
      <c r="L10" s="228"/>
      <c r="M10" s="228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</row>
    <row r="11" spans="1:72" x14ac:dyDescent="0.2">
      <c r="A11" s="229"/>
      <c r="B11" s="229"/>
      <c r="C11" s="230"/>
      <c r="D11" s="224"/>
      <c r="E11" s="224"/>
      <c r="F11" s="224"/>
      <c r="G11" s="224"/>
      <c r="H11" s="224"/>
      <c r="I11" s="224"/>
      <c r="J11" s="224"/>
      <c r="K11" s="224"/>
      <c r="L11" s="224"/>
      <c r="M11" s="224"/>
    </row>
    <row r="12" spans="1:72" x14ac:dyDescent="0.2">
      <c r="A12" s="239" t="s">
        <v>109</v>
      </c>
      <c r="B12" s="223"/>
      <c r="C12" s="231">
        <f t="shared" ref="C12:C52" si="0">O12/1000000</f>
        <v>1.5</v>
      </c>
      <c r="D12" s="223"/>
      <c r="E12" s="238">
        <v>0.85</v>
      </c>
      <c r="F12" s="223"/>
      <c r="G12" s="223"/>
      <c r="H12" s="223"/>
      <c r="I12" s="223"/>
      <c r="J12" s="232"/>
      <c r="K12" s="232"/>
      <c r="L12" s="232"/>
      <c r="M12" s="232"/>
      <c r="N12" s="232">
        <v>3</v>
      </c>
      <c r="O12" s="235">
        <v>1500000</v>
      </c>
    </row>
    <row r="13" spans="1:72" x14ac:dyDescent="0.2">
      <c r="A13" s="239" t="s">
        <v>106</v>
      </c>
      <c r="B13" s="223"/>
      <c r="C13" s="231">
        <f t="shared" si="0"/>
        <v>2.1</v>
      </c>
      <c r="D13" s="223"/>
      <c r="E13" s="238">
        <v>0.75</v>
      </c>
      <c r="F13" s="223"/>
      <c r="G13" s="223"/>
      <c r="H13" s="223"/>
      <c r="I13" s="223"/>
      <c r="J13" s="232"/>
      <c r="K13" s="232"/>
      <c r="L13" s="232"/>
      <c r="M13" s="232"/>
      <c r="N13" s="232">
        <v>3.33</v>
      </c>
      <c r="O13" s="235">
        <v>2100000</v>
      </c>
    </row>
    <row r="14" spans="1:72" x14ac:dyDescent="0.2">
      <c r="A14" s="239" t="s">
        <v>204</v>
      </c>
      <c r="B14" s="223"/>
      <c r="C14" s="231">
        <f t="shared" si="0"/>
        <v>2.2000000000000002</v>
      </c>
      <c r="D14" s="223"/>
      <c r="E14" s="238">
        <v>0.7</v>
      </c>
      <c r="F14" s="223"/>
      <c r="G14" s="223"/>
      <c r="H14" s="223"/>
      <c r="I14" s="223"/>
      <c r="J14" s="232"/>
      <c r="K14" s="232"/>
      <c r="L14" s="232"/>
      <c r="M14" s="232"/>
      <c r="N14" s="232">
        <v>3.33</v>
      </c>
      <c r="O14" s="235">
        <v>2200000</v>
      </c>
    </row>
    <row r="15" spans="1:72" x14ac:dyDescent="0.2">
      <c r="A15" s="239" t="s">
        <v>42</v>
      </c>
      <c r="B15" s="223"/>
      <c r="C15" s="231">
        <f t="shared" si="0"/>
        <v>2.6</v>
      </c>
      <c r="D15" s="223"/>
      <c r="E15" s="238">
        <v>0.7</v>
      </c>
      <c r="F15" s="223"/>
      <c r="G15" s="223"/>
      <c r="H15" s="232"/>
      <c r="I15" s="223"/>
      <c r="J15" s="232"/>
      <c r="K15" s="232"/>
      <c r="L15" s="232"/>
      <c r="M15" s="232"/>
      <c r="N15" s="232">
        <v>5</v>
      </c>
      <c r="O15" s="235">
        <v>2600000</v>
      </c>
    </row>
    <row r="16" spans="1:72" x14ac:dyDescent="0.2">
      <c r="A16" s="239" t="s">
        <v>110</v>
      </c>
      <c r="B16" s="223"/>
      <c r="C16" s="231">
        <f t="shared" si="0"/>
        <v>2.7</v>
      </c>
      <c r="D16" s="223"/>
      <c r="E16" s="238">
        <v>0.7</v>
      </c>
      <c r="F16" s="223"/>
      <c r="G16" s="223"/>
      <c r="H16" s="232"/>
      <c r="I16" s="223"/>
      <c r="J16" s="232"/>
      <c r="K16" s="232"/>
      <c r="L16" s="232"/>
      <c r="M16" s="232"/>
      <c r="N16" s="232">
        <v>3.33</v>
      </c>
      <c r="O16" s="235">
        <v>2700000</v>
      </c>
    </row>
    <row r="17" spans="1:15" x14ac:dyDescent="0.2">
      <c r="A17" s="239" t="s">
        <v>205</v>
      </c>
      <c r="B17" s="223"/>
      <c r="C17" s="231">
        <f t="shared" si="0"/>
        <v>2.9</v>
      </c>
      <c r="D17" s="223"/>
      <c r="E17" s="238">
        <v>0.65</v>
      </c>
      <c r="F17" s="223"/>
      <c r="G17" s="223"/>
      <c r="H17" s="232"/>
      <c r="I17" s="223"/>
      <c r="J17" s="232"/>
      <c r="K17" s="232"/>
      <c r="L17" s="232"/>
      <c r="M17" s="232"/>
      <c r="N17" s="232">
        <v>3</v>
      </c>
      <c r="O17" s="235">
        <v>2900000</v>
      </c>
    </row>
    <row r="18" spans="1:15" x14ac:dyDescent="0.2">
      <c r="A18" s="239" t="s">
        <v>87</v>
      </c>
      <c r="B18" s="223"/>
      <c r="C18" s="231">
        <f t="shared" si="0"/>
        <v>3.3</v>
      </c>
      <c r="D18" s="223"/>
      <c r="E18" s="238">
        <v>0.8</v>
      </c>
      <c r="F18" s="223"/>
      <c r="G18" s="223"/>
      <c r="H18" s="232"/>
      <c r="I18" s="223"/>
      <c r="J18" s="232"/>
      <c r="K18" s="232"/>
      <c r="L18" s="232"/>
      <c r="M18" s="232"/>
      <c r="N18" s="232">
        <v>3.67</v>
      </c>
      <c r="O18" s="236">
        <v>3300000</v>
      </c>
    </row>
    <row r="19" spans="1:15" x14ac:dyDescent="0.2">
      <c r="A19" s="239" t="s">
        <v>206</v>
      </c>
      <c r="B19" s="223"/>
      <c r="C19" s="231">
        <f t="shared" si="0"/>
        <v>3.7</v>
      </c>
      <c r="D19" s="223"/>
      <c r="E19" s="238">
        <v>0.85</v>
      </c>
      <c r="F19" s="223"/>
      <c r="G19" s="223"/>
      <c r="H19" s="232"/>
      <c r="I19" s="223"/>
      <c r="J19" s="232"/>
      <c r="K19" s="232"/>
      <c r="L19" s="232"/>
      <c r="M19" s="232"/>
      <c r="N19" s="232">
        <v>3.67</v>
      </c>
      <c r="O19" s="235">
        <v>3700000</v>
      </c>
    </row>
    <row r="20" spans="1:15" x14ac:dyDescent="0.2">
      <c r="A20" s="239" t="s">
        <v>117</v>
      </c>
      <c r="B20" s="223"/>
      <c r="C20" s="231">
        <f t="shared" si="0"/>
        <v>3.7</v>
      </c>
      <c r="D20" s="223"/>
      <c r="E20" s="238">
        <v>0.7</v>
      </c>
      <c r="F20" s="223"/>
      <c r="G20" s="223"/>
      <c r="H20" s="232"/>
      <c r="I20" s="223"/>
      <c r="J20" s="232"/>
      <c r="K20" s="232"/>
      <c r="L20" s="232"/>
      <c r="M20" s="232"/>
      <c r="N20" s="232">
        <v>3.5</v>
      </c>
      <c r="O20" s="235">
        <v>3700000</v>
      </c>
    </row>
    <row r="21" spans="1:15" x14ac:dyDescent="0.2">
      <c r="A21" s="239" t="s">
        <v>207</v>
      </c>
      <c r="B21" s="223"/>
      <c r="C21" s="231">
        <f t="shared" si="0"/>
        <v>4.0999999999999996</v>
      </c>
      <c r="D21" s="223"/>
      <c r="E21" s="238">
        <v>0.7</v>
      </c>
      <c r="F21" s="223"/>
      <c r="G21" s="223"/>
      <c r="H21" s="232"/>
      <c r="I21" s="223"/>
      <c r="J21" s="232"/>
      <c r="K21" s="232"/>
      <c r="L21" s="232"/>
      <c r="M21" s="232"/>
      <c r="N21" s="232">
        <v>3</v>
      </c>
      <c r="O21" s="235">
        <v>4100000</v>
      </c>
    </row>
    <row r="22" spans="1:15" x14ac:dyDescent="0.2">
      <c r="A22" s="239" t="s">
        <v>89</v>
      </c>
      <c r="B22" s="223"/>
      <c r="C22" s="231">
        <f t="shared" si="0"/>
        <v>4.3</v>
      </c>
      <c r="D22" s="223"/>
      <c r="E22" s="238">
        <v>0.75</v>
      </c>
      <c r="F22" s="223"/>
      <c r="G22" s="223"/>
      <c r="H22" s="232"/>
      <c r="I22" s="223"/>
      <c r="J22" s="232"/>
      <c r="K22" s="232"/>
      <c r="L22" s="232"/>
      <c r="M22" s="232"/>
      <c r="N22" s="232">
        <v>3.67</v>
      </c>
      <c r="O22" s="235">
        <v>4300000</v>
      </c>
    </row>
    <row r="23" spans="1:15" x14ac:dyDescent="0.2">
      <c r="A23" s="239" t="s">
        <v>112</v>
      </c>
      <c r="B23" s="223"/>
      <c r="C23" s="231">
        <f t="shared" si="0"/>
        <v>4.7</v>
      </c>
      <c r="D23" s="223"/>
      <c r="E23" s="238">
        <v>0.75</v>
      </c>
      <c r="F23" s="223"/>
      <c r="G23" s="223"/>
      <c r="H23" s="232"/>
      <c r="I23" s="223"/>
      <c r="J23" s="232"/>
      <c r="K23" s="232"/>
      <c r="L23" s="232"/>
      <c r="M23" s="232"/>
      <c r="N23" s="232">
        <v>3.67</v>
      </c>
      <c r="O23" s="235">
        <v>4700000</v>
      </c>
    </row>
    <row r="24" spans="1:15" x14ac:dyDescent="0.2">
      <c r="A24" s="239" t="s">
        <v>208</v>
      </c>
      <c r="B24" s="223"/>
      <c r="C24" s="231">
        <f t="shared" si="0"/>
        <v>6.2</v>
      </c>
      <c r="D24" s="223"/>
      <c r="E24" s="238">
        <v>0.75</v>
      </c>
      <c r="F24" s="223"/>
      <c r="G24" s="223"/>
      <c r="H24" s="232"/>
      <c r="I24" s="223"/>
      <c r="J24" s="232"/>
      <c r="K24" s="232"/>
      <c r="L24" s="232"/>
      <c r="M24" s="232"/>
      <c r="N24" s="232">
        <v>4</v>
      </c>
      <c r="O24" s="235">
        <v>6200000</v>
      </c>
    </row>
    <row r="25" spans="1:15" x14ac:dyDescent="0.2">
      <c r="A25" s="239" t="s">
        <v>209</v>
      </c>
      <c r="B25" s="223"/>
      <c r="C25" s="231">
        <f t="shared" si="0"/>
        <v>7.3</v>
      </c>
      <c r="D25" s="223"/>
      <c r="E25" s="238">
        <v>0.95</v>
      </c>
      <c r="F25" s="223"/>
      <c r="G25" s="223"/>
      <c r="H25" s="232"/>
      <c r="I25" s="223"/>
      <c r="J25" s="232"/>
      <c r="K25" s="232"/>
      <c r="L25" s="232"/>
      <c r="M25" s="232"/>
      <c r="N25" s="232">
        <v>3</v>
      </c>
      <c r="O25" s="235">
        <v>7300000</v>
      </c>
    </row>
    <row r="26" spans="1:15" x14ac:dyDescent="0.2">
      <c r="A26" s="239" t="s">
        <v>210</v>
      </c>
      <c r="B26" s="223"/>
      <c r="C26" s="231">
        <f t="shared" si="0"/>
        <v>7.7</v>
      </c>
      <c r="D26" s="223"/>
      <c r="E26" s="238">
        <v>0.7</v>
      </c>
      <c r="F26" s="223"/>
      <c r="G26" s="223"/>
      <c r="H26" s="232"/>
      <c r="I26" s="223"/>
      <c r="J26" s="232"/>
      <c r="K26" s="232"/>
      <c r="L26" s="232"/>
      <c r="M26" s="232"/>
      <c r="N26" s="232">
        <v>3.67</v>
      </c>
      <c r="O26" s="235">
        <v>7700000</v>
      </c>
    </row>
    <row r="27" spans="1:15" x14ac:dyDescent="0.2">
      <c r="A27" s="239" t="s">
        <v>45</v>
      </c>
      <c r="B27" s="223"/>
      <c r="C27" s="231">
        <f t="shared" si="0"/>
        <v>8.9</v>
      </c>
      <c r="D27" s="223"/>
      <c r="E27" s="238">
        <v>0.7</v>
      </c>
      <c r="F27" s="223"/>
      <c r="G27" s="223"/>
      <c r="H27" s="232"/>
      <c r="I27" s="223"/>
      <c r="J27" s="232"/>
      <c r="K27" s="232"/>
      <c r="L27" s="232"/>
      <c r="M27" s="232"/>
      <c r="N27" s="232">
        <v>3.67</v>
      </c>
      <c r="O27" s="237">
        <v>8900000</v>
      </c>
    </row>
    <row r="28" spans="1:15" x14ac:dyDescent="0.2">
      <c r="A28" s="239" t="s">
        <v>213</v>
      </c>
      <c r="B28" s="223"/>
      <c r="C28" s="231">
        <f t="shared" si="0"/>
        <v>9.4</v>
      </c>
      <c r="D28" s="223"/>
      <c r="E28" s="238">
        <v>0.65</v>
      </c>
      <c r="F28" s="223"/>
      <c r="G28" s="223"/>
      <c r="H28" s="232"/>
      <c r="I28" s="223"/>
      <c r="J28" s="232"/>
      <c r="K28" s="232"/>
      <c r="L28" s="232"/>
      <c r="M28" s="232"/>
      <c r="N28" s="232"/>
      <c r="O28" s="235">
        <v>9400000</v>
      </c>
    </row>
    <row r="29" spans="1:15" x14ac:dyDescent="0.2">
      <c r="A29" s="239" t="s">
        <v>211</v>
      </c>
      <c r="B29" s="223"/>
      <c r="C29" s="231">
        <f t="shared" si="0"/>
        <v>9.6</v>
      </c>
      <c r="D29" s="223"/>
      <c r="E29" s="238">
        <v>0.7</v>
      </c>
      <c r="F29" s="223"/>
      <c r="G29" s="223"/>
      <c r="H29" s="232"/>
      <c r="I29" s="223"/>
      <c r="J29" s="232"/>
      <c r="K29" s="232"/>
      <c r="L29" s="232"/>
      <c r="M29" s="232"/>
      <c r="N29" s="232">
        <v>3.5</v>
      </c>
      <c r="O29" s="235">
        <v>9600000</v>
      </c>
    </row>
    <row r="30" spans="1:15" x14ac:dyDescent="0.2">
      <c r="A30" s="239" t="s">
        <v>215</v>
      </c>
      <c r="B30" s="223"/>
      <c r="C30" s="231">
        <f t="shared" si="0"/>
        <v>12</v>
      </c>
      <c r="D30" s="223"/>
      <c r="E30" s="238">
        <v>0.65</v>
      </c>
      <c r="F30" s="223"/>
      <c r="G30" s="223"/>
      <c r="H30" s="232"/>
      <c r="I30" s="223"/>
      <c r="J30" s="232"/>
      <c r="K30" s="232"/>
      <c r="L30" s="232"/>
      <c r="M30" s="232"/>
      <c r="N30" s="232">
        <v>3.5</v>
      </c>
      <c r="O30" s="235">
        <v>12000000</v>
      </c>
    </row>
    <row r="31" spans="1:15" x14ac:dyDescent="0.2">
      <c r="A31" s="239" t="s">
        <v>212</v>
      </c>
      <c r="B31" s="223"/>
      <c r="C31" s="231">
        <f t="shared" si="0"/>
        <v>12</v>
      </c>
      <c r="D31" s="223"/>
      <c r="E31" s="238">
        <v>0.85</v>
      </c>
      <c r="F31" s="223"/>
      <c r="G31" s="223"/>
      <c r="H31" s="232"/>
      <c r="I31" s="223"/>
      <c r="J31" s="232"/>
      <c r="K31" s="232"/>
      <c r="L31" s="232"/>
      <c r="M31" s="232"/>
      <c r="N31" s="232">
        <v>3.81</v>
      </c>
      <c r="O31" s="235">
        <v>12000000</v>
      </c>
    </row>
    <row r="32" spans="1:15" x14ac:dyDescent="0.2">
      <c r="A32" s="239" t="s">
        <v>214</v>
      </c>
      <c r="B32" s="223"/>
      <c r="C32" s="231">
        <f t="shared" si="0"/>
        <v>13</v>
      </c>
      <c r="D32" s="223"/>
      <c r="E32" s="238">
        <v>0.7</v>
      </c>
      <c r="F32" s="223"/>
      <c r="G32" s="223"/>
      <c r="H32" s="232"/>
      <c r="I32" s="223"/>
      <c r="J32" s="232"/>
      <c r="K32" s="232"/>
      <c r="L32" s="232"/>
      <c r="M32" s="232"/>
      <c r="N32" s="232">
        <v>3.5</v>
      </c>
      <c r="O32" s="235">
        <v>13000000</v>
      </c>
    </row>
    <row r="33" spans="1:15" x14ac:dyDescent="0.2">
      <c r="A33" s="239" t="s">
        <v>216</v>
      </c>
      <c r="B33" s="223"/>
      <c r="C33" s="231">
        <f t="shared" si="0"/>
        <v>13</v>
      </c>
      <c r="D33" s="223"/>
      <c r="E33" s="238">
        <v>0.65</v>
      </c>
      <c r="F33" s="223"/>
      <c r="G33" s="223"/>
      <c r="H33" s="232"/>
      <c r="I33" s="223"/>
      <c r="J33" s="232"/>
      <c r="K33" s="232"/>
      <c r="L33" s="232"/>
      <c r="M33" s="232"/>
      <c r="N33" s="232">
        <v>3.17</v>
      </c>
      <c r="O33" s="235">
        <v>13000000</v>
      </c>
    </row>
    <row r="34" spans="1:15" x14ac:dyDescent="0.2">
      <c r="A34" s="239" t="s">
        <v>217</v>
      </c>
      <c r="B34" s="223"/>
      <c r="C34" s="231">
        <f t="shared" si="0"/>
        <v>13</v>
      </c>
      <c r="D34" s="223"/>
      <c r="E34" s="238">
        <v>0.65</v>
      </c>
      <c r="F34" s="223"/>
      <c r="G34" s="223"/>
      <c r="H34" s="232"/>
      <c r="I34" s="223"/>
      <c r="J34" s="232"/>
      <c r="K34" s="232"/>
      <c r="L34" s="232"/>
      <c r="M34" s="232"/>
      <c r="N34" s="232">
        <v>3.33</v>
      </c>
      <c r="O34" s="235">
        <v>13000000</v>
      </c>
    </row>
    <row r="35" spans="1:15" x14ac:dyDescent="0.2">
      <c r="A35" s="239" t="s">
        <v>233</v>
      </c>
      <c r="B35" s="223"/>
      <c r="C35" s="231">
        <f t="shared" si="0"/>
        <v>17</v>
      </c>
      <c r="D35" s="223"/>
      <c r="E35" s="238">
        <v>0.65</v>
      </c>
      <c r="F35" s="223"/>
      <c r="G35" s="223"/>
      <c r="H35" s="232"/>
      <c r="I35" s="223"/>
      <c r="J35" s="232"/>
      <c r="K35" s="232"/>
      <c r="L35" s="232"/>
      <c r="M35" s="232"/>
      <c r="N35" s="232">
        <v>2.81</v>
      </c>
      <c r="O35" s="235">
        <v>17000000</v>
      </c>
    </row>
    <row r="36" spans="1:15" x14ac:dyDescent="0.2">
      <c r="A36" s="239" t="s">
        <v>96</v>
      </c>
      <c r="B36" s="223"/>
      <c r="C36" s="231">
        <f t="shared" si="0"/>
        <v>18</v>
      </c>
      <c r="D36" s="223"/>
      <c r="E36" s="238">
        <v>0.65</v>
      </c>
      <c r="F36" s="223"/>
      <c r="G36" s="223"/>
      <c r="H36" s="232"/>
      <c r="I36" s="223"/>
      <c r="J36" s="232"/>
      <c r="K36" s="232"/>
      <c r="L36" s="232"/>
      <c r="M36" s="232"/>
      <c r="N36" s="232">
        <v>3</v>
      </c>
      <c r="O36" s="235">
        <v>18000000</v>
      </c>
    </row>
    <row r="37" spans="1:15" x14ac:dyDescent="0.2">
      <c r="A37" s="239" t="s">
        <v>218</v>
      </c>
      <c r="B37" s="223"/>
      <c r="C37" s="231">
        <f t="shared" si="0"/>
        <v>19</v>
      </c>
      <c r="D37" s="223"/>
      <c r="E37" s="238">
        <v>0.65</v>
      </c>
      <c r="F37" s="223"/>
      <c r="G37" s="223"/>
      <c r="H37" s="232"/>
      <c r="I37" s="223"/>
      <c r="J37" s="232"/>
      <c r="K37" s="232"/>
      <c r="L37" s="232"/>
      <c r="M37" s="232"/>
      <c r="N37" s="232">
        <v>3.81</v>
      </c>
      <c r="O37" s="235">
        <v>19000000</v>
      </c>
    </row>
    <row r="38" spans="1:15" x14ac:dyDescent="0.2">
      <c r="A38" s="239" t="s">
        <v>219</v>
      </c>
      <c r="B38" s="223"/>
      <c r="C38" s="231">
        <f t="shared" si="0"/>
        <v>19</v>
      </c>
      <c r="D38" s="223"/>
      <c r="E38" s="238">
        <v>0.6</v>
      </c>
      <c r="F38" s="223"/>
      <c r="G38" s="223"/>
      <c r="H38" s="232"/>
      <c r="I38" s="223"/>
      <c r="J38" s="232"/>
      <c r="K38" s="232"/>
      <c r="L38" s="232"/>
      <c r="M38" s="232"/>
      <c r="N38" s="232">
        <v>3.5</v>
      </c>
      <c r="O38" s="235">
        <v>19000000</v>
      </c>
    </row>
    <row r="39" spans="1:15" x14ac:dyDescent="0.2">
      <c r="A39" s="239" t="s">
        <v>222</v>
      </c>
      <c r="B39" s="223"/>
      <c r="C39" s="231">
        <f t="shared" si="0"/>
        <v>22</v>
      </c>
      <c r="D39" s="223"/>
      <c r="E39" s="238">
        <v>0.65</v>
      </c>
      <c r="F39" s="223"/>
      <c r="G39" s="223"/>
      <c r="H39" s="232"/>
      <c r="I39" s="223"/>
      <c r="J39" s="232"/>
      <c r="K39" s="232"/>
      <c r="L39" s="232"/>
      <c r="M39" s="232"/>
      <c r="N39" s="232">
        <v>4.17</v>
      </c>
      <c r="O39" s="235">
        <v>22000000</v>
      </c>
    </row>
    <row r="40" spans="1:15" x14ac:dyDescent="0.2">
      <c r="A40" s="239" t="s">
        <v>220</v>
      </c>
      <c r="B40" s="223"/>
      <c r="C40" s="231">
        <f t="shared" si="0"/>
        <v>23</v>
      </c>
      <c r="D40" s="223"/>
      <c r="E40" s="238">
        <v>0.6</v>
      </c>
      <c r="F40" s="223"/>
      <c r="G40" s="223"/>
      <c r="H40" s="232"/>
      <c r="I40" s="223"/>
      <c r="J40" s="232"/>
      <c r="K40" s="232"/>
      <c r="L40" s="232"/>
      <c r="M40" s="232"/>
      <c r="N40" s="232">
        <v>3.67</v>
      </c>
      <c r="O40" s="235">
        <v>23000000</v>
      </c>
    </row>
    <row r="41" spans="1:15" x14ac:dyDescent="0.2">
      <c r="A41" s="239" t="s">
        <v>221</v>
      </c>
      <c r="B41" s="223"/>
      <c r="C41" s="231">
        <f t="shared" si="0"/>
        <v>24</v>
      </c>
      <c r="D41" s="223"/>
      <c r="E41" s="238">
        <v>0.5</v>
      </c>
      <c r="F41" s="223"/>
      <c r="G41" s="223"/>
      <c r="H41" s="232"/>
      <c r="I41" s="223"/>
      <c r="J41" s="232"/>
      <c r="K41" s="232"/>
      <c r="L41" s="232"/>
      <c r="M41" s="232"/>
      <c r="N41" s="232">
        <v>3.67</v>
      </c>
      <c r="O41" s="235">
        <v>24000000</v>
      </c>
    </row>
    <row r="42" spans="1:15" x14ac:dyDescent="0.2">
      <c r="A42" s="239" t="s">
        <v>97</v>
      </c>
      <c r="B42" s="223"/>
      <c r="C42" s="231">
        <f t="shared" si="0"/>
        <v>26</v>
      </c>
      <c r="D42" s="223"/>
      <c r="E42" s="238">
        <v>0.6</v>
      </c>
      <c r="F42" s="223"/>
      <c r="G42" s="223"/>
      <c r="H42" s="232"/>
      <c r="I42" s="223"/>
      <c r="J42" s="232"/>
      <c r="K42" s="232"/>
      <c r="L42" s="232"/>
      <c r="M42" s="232"/>
      <c r="N42" s="232">
        <v>3.81</v>
      </c>
      <c r="O42" s="235">
        <v>26000000</v>
      </c>
    </row>
    <row r="43" spans="1:15" x14ac:dyDescent="0.2">
      <c r="A43" s="239" t="s">
        <v>223</v>
      </c>
      <c r="B43" s="223"/>
      <c r="C43" s="231">
        <f t="shared" si="0"/>
        <v>26</v>
      </c>
      <c r="D43" s="223"/>
      <c r="E43" s="238">
        <v>0.7</v>
      </c>
      <c r="F43" s="223"/>
      <c r="G43" s="223"/>
      <c r="H43" s="232"/>
      <c r="I43" s="223"/>
      <c r="J43" s="232"/>
      <c r="K43" s="232"/>
      <c r="L43" s="232"/>
      <c r="M43" s="232"/>
      <c r="N43" s="232">
        <v>4</v>
      </c>
      <c r="O43" s="235">
        <v>26000000</v>
      </c>
    </row>
    <row r="44" spans="1:15" x14ac:dyDescent="0.2">
      <c r="A44" s="239" t="s">
        <v>46</v>
      </c>
      <c r="B44" s="223"/>
      <c r="C44" s="231">
        <f t="shared" si="0"/>
        <v>28</v>
      </c>
      <c r="D44" s="223"/>
      <c r="E44" s="238">
        <v>0.8</v>
      </c>
      <c r="F44" s="223"/>
      <c r="G44" s="223"/>
      <c r="H44" s="232"/>
      <c r="I44" s="223"/>
      <c r="J44" s="232"/>
      <c r="K44" s="232"/>
      <c r="L44" s="232"/>
      <c r="M44" s="232"/>
      <c r="N44" s="232">
        <v>3.17</v>
      </c>
      <c r="O44" s="235">
        <v>28000000</v>
      </c>
    </row>
    <row r="45" spans="1:15" x14ac:dyDescent="0.2">
      <c r="A45" s="239" t="s">
        <v>226</v>
      </c>
      <c r="B45" s="223"/>
      <c r="C45" s="231">
        <f t="shared" si="0"/>
        <v>31</v>
      </c>
      <c r="D45" s="223"/>
      <c r="E45" s="238">
        <v>0.7</v>
      </c>
      <c r="F45" s="223"/>
      <c r="G45" s="223"/>
      <c r="H45" s="232"/>
      <c r="I45" s="223"/>
      <c r="J45" s="232"/>
      <c r="K45" s="232"/>
      <c r="L45" s="232"/>
      <c r="M45" s="232"/>
      <c r="N45" s="232">
        <v>3.81</v>
      </c>
      <c r="O45" s="235">
        <v>31000000</v>
      </c>
    </row>
    <row r="46" spans="1:15" x14ac:dyDescent="0.2">
      <c r="A46" s="239" t="s">
        <v>225</v>
      </c>
      <c r="B46" s="223"/>
      <c r="C46" s="231">
        <f t="shared" si="0"/>
        <v>33</v>
      </c>
      <c r="D46" s="223"/>
      <c r="E46" s="238">
        <v>0.65</v>
      </c>
      <c r="F46" s="223"/>
      <c r="G46" s="223"/>
      <c r="H46" s="232"/>
      <c r="I46" s="223"/>
      <c r="J46" s="232"/>
      <c r="K46" s="232"/>
      <c r="L46" s="232"/>
      <c r="M46" s="232"/>
      <c r="N46" s="232">
        <v>3.5</v>
      </c>
      <c r="O46" s="235">
        <v>33000000</v>
      </c>
    </row>
    <row r="47" spans="1:15" x14ac:dyDescent="0.2">
      <c r="A47" s="239" t="s">
        <v>224</v>
      </c>
      <c r="B47" s="223"/>
      <c r="C47" s="231">
        <f t="shared" si="0"/>
        <v>34</v>
      </c>
      <c r="D47" s="223"/>
      <c r="E47" s="238">
        <v>0.65</v>
      </c>
      <c r="F47" s="223"/>
      <c r="G47" s="223"/>
      <c r="H47" s="232"/>
      <c r="I47" s="223"/>
      <c r="J47" s="232"/>
      <c r="K47" s="232"/>
      <c r="L47" s="232"/>
      <c r="M47" s="232"/>
      <c r="N47" s="232">
        <v>3.33</v>
      </c>
      <c r="O47" s="235">
        <v>34000000</v>
      </c>
    </row>
    <row r="48" spans="1:15" x14ac:dyDescent="0.2">
      <c r="A48" s="239" t="s">
        <v>227</v>
      </c>
      <c r="B48" s="223"/>
      <c r="C48" s="231">
        <f t="shared" si="0"/>
        <v>49</v>
      </c>
      <c r="D48" s="223"/>
      <c r="E48" s="238">
        <v>0.65</v>
      </c>
      <c r="F48" s="223"/>
      <c r="G48" s="223"/>
      <c r="H48" s="232"/>
      <c r="I48" s="223"/>
      <c r="J48" s="232"/>
      <c r="K48" s="232"/>
      <c r="L48" s="232"/>
      <c r="M48" s="232"/>
      <c r="N48" s="232">
        <v>3.33</v>
      </c>
      <c r="O48" s="235">
        <v>49000000</v>
      </c>
    </row>
    <row r="49" spans="1:15" x14ac:dyDescent="0.2">
      <c r="A49" s="239" t="s">
        <v>228</v>
      </c>
      <c r="B49" s="223"/>
      <c r="C49" s="231">
        <f t="shared" si="0"/>
        <v>50</v>
      </c>
      <c r="D49" s="223"/>
      <c r="E49" s="238">
        <v>0.55000000000000004</v>
      </c>
      <c r="F49" s="223"/>
      <c r="G49" s="223"/>
      <c r="H49" s="232"/>
      <c r="I49" s="223"/>
      <c r="J49" s="232"/>
      <c r="K49" s="232"/>
      <c r="L49" s="232"/>
      <c r="M49" s="232"/>
      <c r="N49" s="232">
        <v>3.5</v>
      </c>
      <c r="O49" s="235">
        <v>50000000</v>
      </c>
    </row>
    <row r="50" spans="1:15" x14ac:dyDescent="0.2">
      <c r="A50" s="239" t="s">
        <v>229</v>
      </c>
      <c r="B50" s="223"/>
      <c r="C50" s="231">
        <f t="shared" si="0"/>
        <v>57</v>
      </c>
      <c r="D50" s="223"/>
      <c r="E50" s="238">
        <v>0.6</v>
      </c>
      <c r="F50" s="223"/>
      <c r="G50" s="223"/>
      <c r="H50" s="232"/>
      <c r="I50" s="223"/>
      <c r="J50" s="232"/>
      <c r="K50" s="232"/>
      <c r="L50" s="232"/>
      <c r="M50" s="232"/>
      <c r="N50" s="232">
        <v>3.5</v>
      </c>
      <c r="O50" s="235">
        <v>57000000</v>
      </c>
    </row>
    <row r="51" spans="1:15" x14ac:dyDescent="0.2">
      <c r="A51" s="239" t="s">
        <v>230</v>
      </c>
      <c r="B51" s="223"/>
      <c r="C51" s="231">
        <f t="shared" si="0"/>
        <v>63</v>
      </c>
      <c r="D51" s="223"/>
      <c r="E51" s="238">
        <v>0.65</v>
      </c>
      <c r="F51" s="223"/>
      <c r="G51" s="223"/>
      <c r="H51" s="232"/>
      <c r="I51" s="223"/>
      <c r="J51" s="232"/>
      <c r="K51" s="232"/>
      <c r="L51" s="232"/>
      <c r="M51" s="232"/>
      <c r="N51" s="232">
        <v>3.67</v>
      </c>
      <c r="O51" s="235">
        <v>63000000</v>
      </c>
    </row>
    <row r="52" spans="1:15" x14ac:dyDescent="0.2">
      <c r="B52" s="223"/>
      <c r="C52" s="231">
        <f t="shared" si="0"/>
        <v>0</v>
      </c>
      <c r="D52" s="223"/>
      <c r="E52" s="232"/>
      <c r="F52" s="223"/>
      <c r="G52" s="223"/>
      <c r="H52" s="232"/>
      <c r="I52" s="223"/>
      <c r="J52" s="232"/>
      <c r="K52" s="232"/>
      <c r="L52" s="232"/>
      <c r="M52" s="232"/>
      <c r="N52" s="232">
        <v>3.81</v>
      </c>
    </row>
    <row r="53" spans="1:15" x14ac:dyDescent="0.2">
      <c r="A53" s="239" t="s">
        <v>232</v>
      </c>
      <c r="B53" s="223"/>
      <c r="C53" s="231">
        <f t="shared" ref="C53" si="1">O53/1000000</f>
        <v>14</v>
      </c>
      <c r="D53" s="223"/>
      <c r="E53" s="238" t="s">
        <v>231</v>
      </c>
      <c r="F53" s="223"/>
      <c r="G53" s="223"/>
      <c r="H53" s="232"/>
      <c r="I53" s="223"/>
      <c r="J53" s="232"/>
      <c r="K53" s="232"/>
      <c r="L53" s="232"/>
      <c r="M53" s="232"/>
      <c r="N53" s="232">
        <v>3.5</v>
      </c>
      <c r="O53" s="235">
        <v>14000000</v>
      </c>
    </row>
    <row r="54" spans="1:15" x14ac:dyDescent="0.2">
      <c r="H54" s="233"/>
    </row>
    <row r="55" spans="1:15" x14ac:dyDescent="0.2">
      <c r="H55" s="233"/>
    </row>
    <row r="73" spans="6:6" x14ac:dyDescent="0.2">
      <c r="F73" s="234" t="s">
        <v>234</v>
      </c>
    </row>
  </sheetData>
  <mergeCells count="3">
    <mergeCell ref="A4:M4"/>
    <mergeCell ref="A5:M5"/>
    <mergeCell ref="D8:F8"/>
  </mergeCells>
  <printOptions horizontalCentered="1"/>
  <pageMargins left="0.75" right="0.75" top="1" bottom="1" header="0.5" footer="0.5"/>
  <pageSetup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56" zoomScaleNormal="100" zoomScaleSheetLayoutView="100" workbookViewId="0">
      <selection activeCell="M12" sqref="M12"/>
    </sheetView>
  </sheetViews>
  <sheetFormatPr defaultRowHeight="16.5" x14ac:dyDescent="0.3"/>
  <cols>
    <col min="1" max="1" width="3.75" style="118" customWidth="1"/>
    <col min="2" max="2" width="35.875" style="119" customWidth="1"/>
    <col min="3" max="3" width="8.875" customWidth="1"/>
    <col min="4" max="4" width="9" style="115"/>
    <col min="5" max="5" width="8.375" style="115" bestFit="1" customWidth="1"/>
    <col min="6" max="6" width="9" style="115"/>
  </cols>
  <sheetData>
    <row r="1" spans="1:7" ht="17.25" x14ac:dyDescent="0.35">
      <c r="B1" s="4" t="s">
        <v>28</v>
      </c>
      <c r="G1" s="5" t="s">
        <v>191</v>
      </c>
    </row>
    <row r="2" spans="1:7" ht="17.25" x14ac:dyDescent="0.35">
      <c r="B2" s="4"/>
      <c r="G2" s="5" t="s">
        <v>27</v>
      </c>
    </row>
    <row r="3" spans="1:7" ht="17.25" x14ac:dyDescent="0.35">
      <c r="B3" s="6" t="s">
        <v>86</v>
      </c>
    </row>
    <row r="4" spans="1:7" ht="17.25" x14ac:dyDescent="0.35">
      <c r="E4" s="1" t="s">
        <v>26</v>
      </c>
    </row>
    <row r="5" spans="1:7" ht="17.25" x14ac:dyDescent="0.35">
      <c r="B5" s="8" t="s">
        <v>29</v>
      </c>
      <c r="C5" s="4"/>
      <c r="E5" s="7" t="s">
        <v>130</v>
      </c>
    </row>
    <row r="6" spans="1:7" ht="19.149999999999999" customHeight="1" x14ac:dyDescent="0.3">
      <c r="A6" s="118">
        <v>1</v>
      </c>
      <c r="B6" s="119" t="s">
        <v>87</v>
      </c>
      <c r="C6" s="9"/>
      <c r="E6" s="3">
        <f>E29</f>
        <v>0.1038</v>
      </c>
    </row>
    <row r="7" spans="1:7" x14ac:dyDescent="0.3">
      <c r="A7" s="118">
        <f>A6+1</f>
        <v>2</v>
      </c>
      <c r="B7" s="120" t="s">
        <v>45</v>
      </c>
      <c r="C7" s="9"/>
      <c r="E7" s="3">
        <v>0.105</v>
      </c>
    </row>
    <row r="8" spans="1:7" x14ac:dyDescent="0.3">
      <c r="A8" s="118">
        <f t="shared" ref="A8:A20" si="0">A7+1</f>
        <v>3</v>
      </c>
      <c r="B8" s="120" t="s">
        <v>42</v>
      </c>
      <c r="C8" s="9"/>
      <c r="E8" s="3">
        <f>AVERAGE(9.5%,9.5%,9.5%)</f>
        <v>9.5000000000000015E-2</v>
      </c>
    </row>
    <row r="9" spans="1:7" x14ac:dyDescent="0.3">
      <c r="A9" s="118">
        <f t="shared" si="0"/>
        <v>4</v>
      </c>
      <c r="B9" s="120" t="s">
        <v>88</v>
      </c>
      <c r="C9" s="9"/>
      <c r="E9" s="3">
        <f>E32</f>
        <v>9.3700000000000006E-2</v>
      </c>
    </row>
    <row r="10" spans="1:7" x14ac:dyDescent="0.3">
      <c r="A10" s="118">
        <f t="shared" si="0"/>
        <v>5</v>
      </c>
      <c r="B10" s="120" t="s">
        <v>106</v>
      </c>
      <c r="C10" s="9"/>
      <c r="E10" s="3">
        <f>E37</f>
        <v>9.4799999999999995E-2</v>
      </c>
    </row>
    <row r="11" spans="1:7" x14ac:dyDescent="0.3">
      <c r="A11" s="118">
        <f t="shared" si="0"/>
        <v>6</v>
      </c>
      <c r="B11" s="120" t="s">
        <v>107</v>
      </c>
      <c r="C11" s="9"/>
      <c r="E11" s="3">
        <f>E39</f>
        <v>9.6666666666666679E-2</v>
      </c>
    </row>
    <row r="12" spans="1:7" x14ac:dyDescent="0.3">
      <c r="A12" s="118">
        <f t="shared" si="0"/>
        <v>7</v>
      </c>
      <c r="B12" s="120" t="s">
        <v>89</v>
      </c>
      <c r="C12" s="9"/>
      <c r="E12" s="3">
        <f>E40</f>
        <v>0.1</v>
      </c>
    </row>
    <row r="13" spans="1:7" x14ac:dyDescent="0.3">
      <c r="A13" s="118">
        <f t="shared" si="0"/>
        <v>8</v>
      </c>
      <c r="B13" s="120" t="s">
        <v>90</v>
      </c>
      <c r="C13" s="9"/>
      <c r="E13" s="3">
        <f>E41</f>
        <v>9.9166666666666667E-2</v>
      </c>
    </row>
    <row r="14" spans="1:7" x14ac:dyDescent="0.3">
      <c r="A14" s="118">
        <f t="shared" si="0"/>
        <v>9</v>
      </c>
      <c r="B14" s="119" t="s">
        <v>108</v>
      </c>
      <c r="C14" s="9"/>
      <c r="E14" s="3">
        <f>AVERAGE(9.5%,9.95%)</f>
        <v>9.7250000000000003E-2</v>
      </c>
    </row>
    <row r="15" spans="1:7" x14ac:dyDescent="0.3">
      <c r="A15" s="118">
        <f t="shared" si="0"/>
        <v>10</v>
      </c>
      <c r="B15" s="119" t="s">
        <v>109</v>
      </c>
      <c r="C15" s="9"/>
      <c r="E15" s="3" t="str">
        <f>E42</f>
        <v>NA</v>
      </c>
    </row>
    <row r="16" spans="1:7" x14ac:dyDescent="0.3">
      <c r="A16" s="118">
        <f t="shared" si="0"/>
        <v>11</v>
      </c>
      <c r="B16" s="120" t="s">
        <v>91</v>
      </c>
      <c r="C16" s="9"/>
      <c r="E16" s="3">
        <v>0.1</v>
      </c>
    </row>
    <row r="17" spans="1:6" x14ac:dyDescent="0.3">
      <c r="A17" s="118">
        <f t="shared" si="0"/>
        <v>12</v>
      </c>
      <c r="B17" s="120" t="s">
        <v>92</v>
      </c>
      <c r="C17" s="9"/>
      <c r="E17" s="113">
        <f>E44</f>
        <v>9.6000000000000002E-2</v>
      </c>
    </row>
    <row r="18" spans="1:6" x14ac:dyDescent="0.3">
      <c r="A18" s="118">
        <f t="shared" si="0"/>
        <v>13</v>
      </c>
      <c r="B18" s="120" t="s">
        <v>110</v>
      </c>
      <c r="C18" s="9"/>
      <c r="E18" s="113">
        <v>0.1</v>
      </c>
    </row>
    <row r="19" spans="1:6" x14ac:dyDescent="0.3">
      <c r="A19" s="118">
        <f t="shared" si="0"/>
        <v>14</v>
      </c>
      <c r="B19" s="120" t="s">
        <v>111</v>
      </c>
      <c r="C19" s="9"/>
      <c r="E19" s="113">
        <f>AVERAGE(10.25%,10.25%,9.7%)</f>
        <v>0.10066666666666667</v>
      </c>
    </row>
    <row r="20" spans="1:6" ht="15.75" customHeight="1" x14ac:dyDescent="0.3">
      <c r="A20" s="118">
        <f t="shared" si="0"/>
        <v>15</v>
      </c>
      <c r="B20" s="120" t="s">
        <v>112</v>
      </c>
      <c r="C20" s="9"/>
      <c r="E20" s="116">
        <f>AVERAGE(10.15%,10.4%)</f>
        <v>0.10275000000000001</v>
      </c>
    </row>
    <row r="21" spans="1:6" ht="8.25" hidden="1" customHeight="1" x14ac:dyDescent="0.3">
      <c r="E21" s="3"/>
    </row>
    <row r="22" spans="1:6" ht="17.25" x14ac:dyDescent="0.35">
      <c r="B22" s="123" t="s">
        <v>121</v>
      </c>
      <c r="D22" s="134">
        <f>MIN(E6:E20)</f>
        <v>9.3700000000000006E-2</v>
      </c>
      <c r="E22" s="125" t="s">
        <v>123</v>
      </c>
      <c r="F22" s="135">
        <f>MAX(E6:E20)</f>
        <v>0.105</v>
      </c>
    </row>
    <row r="23" spans="1:6" ht="17.25" x14ac:dyDescent="0.35">
      <c r="B23" s="123" t="s">
        <v>122</v>
      </c>
      <c r="E23" s="126">
        <f>AVERAGE(D22,F22)</f>
        <v>9.9349999999999994E-2</v>
      </c>
    </row>
    <row r="24" spans="1:6" ht="17.25" x14ac:dyDescent="0.35">
      <c r="B24" s="4" t="s">
        <v>30</v>
      </c>
      <c r="E24" s="117">
        <f>AVERAGE(E6:E17)</f>
        <v>9.8307575757575746E-2</v>
      </c>
    </row>
    <row r="26" spans="1:6" ht="17.25" x14ac:dyDescent="0.35">
      <c r="B26" s="6" t="s">
        <v>119</v>
      </c>
    </row>
    <row r="27" spans="1:6" ht="17.25" x14ac:dyDescent="0.35">
      <c r="E27" s="1" t="s">
        <v>26</v>
      </c>
    </row>
    <row r="28" spans="1:6" ht="17.25" x14ac:dyDescent="0.35">
      <c r="B28" s="8" t="s">
        <v>131</v>
      </c>
      <c r="C28" s="4"/>
      <c r="E28" s="7" t="s">
        <v>130</v>
      </c>
    </row>
    <row r="29" spans="1:6" ht="19.149999999999999" customHeight="1" x14ac:dyDescent="0.3">
      <c r="A29" s="118">
        <v>1</v>
      </c>
      <c r="B29" s="119" t="s">
        <v>93</v>
      </c>
      <c r="C29" s="9"/>
      <c r="E29" s="3">
        <v>0.1038</v>
      </c>
    </row>
    <row r="30" spans="1:6" x14ac:dyDescent="0.3">
      <c r="A30" s="118">
        <f>A29+1</f>
        <v>2</v>
      </c>
      <c r="B30" s="120" t="s">
        <v>94</v>
      </c>
      <c r="C30" s="9"/>
      <c r="E30" s="114">
        <f>AVERAGE(8.7%,9.6%)</f>
        <v>9.1499999999999998E-2</v>
      </c>
    </row>
    <row r="31" spans="1:6" x14ac:dyDescent="0.3">
      <c r="A31" s="118">
        <f t="shared" ref="A31:A45" si="1">A30+1</f>
        <v>3</v>
      </c>
      <c r="B31" s="120" t="s">
        <v>113</v>
      </c>
      <c r="C31" s="9"/>
      <c r="E31" s="114">
        <f>AVERAGE(9%,9.1%,9.36%,9.45%)</f>
        <v>9.2274999999999982E-2</v>
      </c>
    </row>
    <row r="32" spans="1:6" x14ac:dyDescent="0.3">
      <c r="A32" s="118">
        <f t="shared" si="1"/>
        <v>4</v>
      </c>
      <c r="B32" s="120" t="s">
        <v>114</v>
      </c>
      <c r="C32" s="9"/>
      <c r="E32" s="3">
        <v>9.3700000000000006E-2</v>
      </c>
    </row>
    <row r="33" spans="1:6" x14ac:dyDescent="0.3">
      <c r="A33" s="118">
        <f t="shared" si="1"/>
        <v>5</v>
      </c>
      <c r="B33" s="120" t="s">
        <v>95</v>
      </c>
      <c r="C33" s="9"/>
      <c r="E33" s="3">
        <v>0.10100000000000001</v>
      </c>
    </row>
    <row r="34" spans="1:6" x14ac:dyDescent="0.3">
      <c r="A34" s="118">
        <f t="shared" si="1"/>
        <v>6</v>
      </c>
      <c r="B34" s="120" t="s">
        <v>115</v>
      </c>
      <c r="C34" s="9"/>
      <c r="E34" s="3">
        <v>0.109</v>
      </c>
    </row>
    <row r="35" spans="1:6" x14ac:dyDescent="0.3">
      <c r="A35" s="118">
        <f t="shared" si="1"/>
        <v>7</v>
      </c>
      <c r="B35" s="119" t="s">
        <v>96</v>
      </c>
      <c r="C35" s="9"/>
      <c r="E35" s="114">
        <f>AVERAGE(10.1%,10.1%)</f>
        <v>0.10099999999999999</v>
      </c>
    </row>
    <row r="36" spans="1:6" x14ac:dyDescent="0.3">
      <c r="A36" s="118">
        <f t="shared" si="1"/>
        <v>8</v>
      </c>
      <c r="B36" s="120" t="s">
        <v>97</v>
      </c>
      <c r="C36" s="9"/>
      <c r="E36" s="3">
        <v>0.1045</v>
      </c>
    </row>
    <row r="37" spans="1:6" x14ac:dyDescent="0.3">
      <c r="A37" s="118">
        <f t="shared" si="1"/>
        <v>9</v>
      </c>
      <c r="B37" s="120" t="s">
        <v>98</v>
      </c>
      <c r="C37" s="9"/>
      <c r="E37" s="3">
        <v>9.4799999999999995E-2</v>
      </c>
    </row>
    <row r="38" spans="1:6" x14ac:dyDescent="0.3">
      <c r="A38" s="118">
        <f t="shared" si="1"/>
        <v>10</v>
      </c>
      <c r="B38" s="120" t="s">
        <v>116</v>
      </c>
      <c r="C38" s="9"/>
      <c r="E38" s="3">
        <f>AVERAGE(9.25%,9.75%,9.65%,9.75%)</f>
        <v>9.6000000000000002E-2</v>
      </c>
    </row>
    <row r="39" spans="1:6" x14ac:dyDescent="0.3">
      <c r="A39" s="118">
        <f t="shared" si="1"/>
        <v>11</v>
      </c>
      <c r="B39" s="120" t="s">
        <v>117</v>
      </c>
      <c r="C39" s="9"/>
      <c r="E39" s="3">
        <f>AVERAGE(10%,10%,9%)</f>
        <v>9.6666666666666679E-2</v>
      </c>
    </row>
    <row r="40" spans="1:6" x14ac:dyDescent="0.3">
      <c r="A40" s="118">
        <f t="shared" si="1"/>
        <v>12</v>
      </c>
      <c r="B40" s="120" t="s">
        <v>99</v>
      </c>
      <c r="C40" s="9"/>
      <c r="E40" s="3">
        <v>0.1</v>
      </c>
    </row>
    <row r="41" spans="1:6" x14ac:dyDescent="0.3">
      <c r="A41" s="118">
        <f t="shared" si="1"/>
        <v>13</v>
      </c>
      <c r="B41" s="120" t="s">
        <v>100</v>
      </c>
      <c r="C41" s="9"/>
      <c r="E41" s="113">
        <f>AVERAGE(9.8%,9.55%,10.4%)</f>
        <v>9.9166666666666667E-2</v>
      </c>
    </row>
    <row r="42" spans="1:6" x14ac:dyDescent="0.3">
      <c r="A42" s="118">
        <f t="shared" si="1"/>
        <v>14</v>
      </c>
      <c r="B42" s="120" t="s">
        <v>118</v>
      </c>
      <c r="C42" s="9"/>
      <c r="E42" s="113" t="s">
        <v>120</v>
      </c>
    </row>
    <row r="43" spans="1:6" x14ac:dyDescent="0.3">
      <c r="A43" s="118">
        <f t="shared" si="1"/>
        <v>15</v>
      </c>
      <c r="B43" s="120" t="s">
        <v>101</v>
      </c>
      <c r="C43" s="9"/>
      <c r="E43" s="113">
        <v>0.104</v>
      </c>
    </row>
    <row r="44" spans="1:6" x14ac:dyDescent="0.3">
      <c r="A44" s="118">
        <f t="shared" si="1"/>
        <v>16</v>
      </c>
      <c r="B44" s="120" t="s">
        <v>102</v>
      </c>
      <c r="C44" s="9"/>
      <c r="E44" s="113">
        <v>9.6000000000000002E-2</v>
      </c>
    </row>
    <row r="45" spans="1:6" x14ac:dyDescent="0.3">
      <c r="A45" s="118">
        <f t="shared" si="1"/>
        <v>17</v>
      </c>
      <c r="B45" s="120" t="s">
        <v>46</v>
      </c>
      <c r="C45" s="9"/>
      <c r="E45" s="112">
        <f>AVERAGE(10.3%,10.1%)</f>
        <v>0.10200000000000001</v>
      </c>
    </row>
    <row r="46" spans="1:6" ht="14.25" hidden="1" customHeight="1" x14ac:dyDescent="0.3">
      <c r="E46" s="3"/>
    </row>
    <row r="47" spans="1:6" ht="14.25" customHeight="1" x14ac:dyDescent="0.35">
      <c r="B47" s="123" t="s">
        <v>121</v>
      </c>
      <c r="D47" s="134">
        <f>MIN(E29:E45)</f>
        <v>9.1499999999999998E-2</v>
      </c>
      <c r="E47" s="125" t="s">
        <v>123</v>
      </c>
      <c r="F47" s="135">
        <f>MAX(E29:E45)</f>
        <v>0.109</v>
      </c>
    </row>
    <row r="48" spans="1:6" ht="14.25" customHeight="1" x14ac:dyDescent="0.35">
      <c r="B48" s="123" t="s">
        <v>122</v>
      </c>
      <c r="E48" s="126">
        <f>AVERAGE(D47,F47)</f>
        <v>0.10025000000000001</v>
      </c>
    </row>
    <row r="49" spans="1:7" ht="17.25" x14ac:dyDescent="0.35">
      <c r="B49" s="124" t="s">
        <v>41</v>
      </c>
      <c r="E49" s="117">
        <f>AVERAGE(E29:E45)</f>
        <v>9.908802083333336E-2</v>
      </c>
    </row>
    <row r="50" spans="1:7" ht="17.25" x14ac:dyDescent="0.35">
      <c r="B50" s="124"/>
      <c r="E50" s="117"/>
    </row>
    <row r="51" spans="1:7" s="121" customFormat="1" ht="15" x14ac:dyDescent="0.3">
      <c r="A51" s="138" t="s">
        <v>31</v>
      </c>
      <c r="B51" s="133" t="s">
        <v>132</v>
      </c>
      <c r="D51" s="122"/>
      <c r="E51" s="122"/>
      <c r="F51" s="122"/>
    </row>
    <row r="52" spans="1:7" ht="45" customHeight="1" x14ac:dyDescent="0.3">
      <c r="A52" s="136" t="s">
        <v>32</v>
      </c>
      <c r="B52" s="242" t="s">
        <v>133</v>
      </c>
      <c r="C52" s="242"/>
      <c r="D52" s="242"/>
      <c r="E52" s="242"/>
      <c r="F52" s="242"/>
      <c r="G52" s="242"/>
    </row>
  </sheetData>
  <mergeCells count="1">
    <mergeCell ref="B52:G52"/>
  </mergeCells>
  <printOptions horizontalCentered="1"/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abSelected="1" view="pageBreakPreview" topLeftCell="A49" zoomScaleNormal="100" workbookViewId="0">
      <selection activeCell="M12" sqref="M12"/>
    </sheetView>
  </sheetViews>
  <sheetFormatPr defaultColWidth="9.125" defaultRowHeight="16.5" x14ac:dyDescent="0.3"/>
  <cols>
    <col min="1" max="1" width="3.875" style="68" customWidth="1"/>
    <col min="2" max="2" width="35.375" style="63" customWidth="1"/>
    <col min="3" max="3" width="1.875" style="64" customWidth="1"/>
    <col min="4" max="4" width="9.625" style="64" customWidth="1"/>
    <col min="5" max="5" width="7.25" style="65" customWidth="1"/>
    <col min="6" max="6" width="9.625" style="65" customWidth="1"/>
    <col min="7" max="7" width="3.5" style="64" customWidth="1"/>
    <col min="8" max="9" width="7.375" style="64" customWidth="1"/>
    <col min="10" max="10" width="6.625" style="64" customWidth="1"/>
    <col min="11" max="11" width="7.25" style="64" customWidth="1"/>
    <col min="12" max="12" width="7.375" style="64" customWidth="1"/>
    <col min="13" max="16384" width="9.125" style="64"/>
  </cols>
  <sheetData>
    <row r="1" spans="1:20" ht="17.25" x14ac:dyDescent="0.35">
      <c r="A1" s="62" t="s">
        <v>85</v>
      </c>
      <c r="L1" s="5" t="s">
        <v>192</v>
      </c>
    </row>
    <row r="2" spans="1:20" ht="17.25" x14ac:dyDescent="0.35">
      <c r="A2" s="62"/>
      <c r="L2" s="5" t="s">
        <v>27</v>
      </c>
    </row>
    <row r="3" spans="1:20" ht="17.25" x14ac:dyDescent="0.35">
      <c r="A3" s="6" t="s">
        <v>86</v>
      </c>
      <c r="L3" s="66"/>
    </row>
    <row r="4" spans="1:20" ht="17.25" x14ac:dyDescent="0.35">
      <c r="A4" s="67"/>
    </row>
    <row r="5" spans="1:20" ht="15.75" customHeight="1" x14ac:dyDescent="0.3">
      <c r="E5" s="69" t="s">
        <v>31</v>
      </c>
      <c r="F5" s="69"/>
      <c r="H5" s="70" t="s">
        <v>32</v>
      </c>
      <c r="I5" s="70"/>
      <c r="K5" s="70" t="s">
        <v>33</v>
      </c>
      <c r="N5" s="71"/>
      <c r="O5" s="71"/>
      <c r="P5" s="71"/>
      <c r="Q5" s="71"/>
      <c r="R5" s="71"/>
      <c r="S5" s="71"/>
      <c r="T5" s="71"/>
    </row>
    <row r="6" spans="1:20" ht="3" customHeight="1" x14ac:dyDescent="0.35">
      <c r="H6" s="72" t="s">
        <v>80</v>
      </c>
      <c r="I6" s="72"/>
    </row>
    <row r="7" spans="1:20" ht="15.75" customHeight="1" x14ac:dyDescent="0.35">
      <c r="E7" s="73" t="s">
        <v>81</v>
      </c>
      <c r="F7" s="64"/>
      <c r="H7" s="74" t="s">
        <v>34</v>
      </c>
      <c r="I7" s="74"/>
      <c r="K7" s="73" t="s">
        <v>82</v>
      </c>
      <c r="N7" s="75" t="s">
        <v>124</v>
      </c>
      <c r="O7" s="76"/>
      <c r="P7" s="76"/>
      <c r="Q7" s="75" t="s">
        <v>125</v>
      </c>
      <c r="R7" s="76"/>
      <c r="S7" s="76"/>
      <c r="T7" s="76" t="s">
        <v>35</v>
      </c>
    </row>
    <row r="8" spans="1:20" ht="17.25" x14ac:dyDescent="0.35">
      <c r="B8" s="77" t="s">
        <v>44</v>
      </c>
      <c r="C8" s="78"/>
      <c r="D8" s="78"/>
      <c r="E8" s="79" t="s">
        <v>83</v>
      </c>
      <c r="F8" s="80"/>
      <c r="H8" s="81" t="s">
        <v>36</v>
      </c>
      <c r="I8" s="81"/>
      <c r="K8" s="79" t="s">
        <v>83</v>
      </c>
      <c r="N8" s="80" t="s">
        <v>37</v>
      </c>
      <c r="O8" s="80" t="s">
        <v>38</v>
      </c>
      <c r="P8" s="80" t="s">
        <v>39</v>
      </c>
      <c r="Q8" s="80" t="s">
        <v>37</v>
      </c>
      <c r="R8" s="80" t="s">
        <v>38</v>
      </c>
      <c r="S8" s="80" t="s">
        <v>39</v>
      </c>
      <c r="T8" s="80" t="s">
        <v>0</v>
      </c>
    </row>
    <row r="9" spans="1:20" ht="17.25" x14ac:dyDescent="0.35">
      <c r="A9" s="82">
        <f>A8+1</f>
        <v>1</v>
      </c>
      <c r="B9" t="str">
        <f>'AMM-15'!B6</f>
        <v>ALLETE</v>
      </c>
      <c r="C9" s="78"/>
      <c r="D9" s="78"/>
      <c r="E9" s="11">
        <f>E34</f>
        <v>0.09</v>
      </c>
      <c r="F9" s="83"/>
      <c r="H9" s="84">
        <f>H34</f>
        <v>1.0260127471110614</v>
      </c>
      <c r="I9" s="72"/>
      <c r="K9" s="129">
        <f t="shared" ref="K9:K23" si="0">E9*H9</f>
        <v>9.2341147239995522E-2</v>
      </c>
      <c r="N9" s="85"/>
      <c r="O9" s="86"/>
      <c r="P9" s="86"/>
      <c r="Q9" s="85"/>
      <c r="R9" s="86"/>
      <c r="S9" s="86"/>
      <c r="T9" s="87"/>
    </row>
    <row r="10" spans="1:20" ht="17.25" x14ac:dyDescent="0.35">
      <c r="A10" s="82">
        <f t="shared" ref="A10:A23" si="1">A9+1</f>
        <v>2</v>
      </c>
      <c r="B10" t="str">
        <f>'AMM-15'!B7</f>
        <v>Alliant Energy</v>
      </c>
      <c r="C10" s="78"/>
      <c r="D10" s="78"/>
      <c r="E10" s="11">
        <v>0.13</v>
      </c>
      <c r="F10" s="83"/>
      <c r="H10" s="84">
        <f t="shared" ref="H10:H21" si="2">2*(1+T10)/(2+T10)</f>
        <v>1.0043639838099754</v>
      </c>
      <c r="I10" s="72"/>
      <c r="K10" s="129">
        <f t="shared" si="0"/>
        <v>0.1305673178952968</v>
      </c>
      <c r="N10" s="85">
        <v>0.47199999999999998</v>
      </c>
      <c r="O10" s="86">
        <v>8177.6</v>
      </c>
      <c r="P10" s="86">
        <f t="shared" ref="P10:P17" si="3">N10*O10</f>
        <v>3859.8272000000002</v>
      </c>
      <c r="Q10" s="85">
        <v>0.48</v>
      </c>
      <c r="R10" s="86">
        <v>8400</v>
      </c>
      <c r="S10" s="86">
        <f t="shared" ref="S10:S11" si="4">Q10*R10</f>
        <v>4032</v>
      </c>
      <c r="T10" s="87">
        <f t="shared" ref="T10:T11" si="5">(S10/P10)^(1/5)-1</f>
        <v>8.7662232764036396E-3</v>
      </c>
    </row>
    <row r="11" spans="1:20" ht="17.25" x14ac:dyDescent="0.35">
      <c r="A11" s="82">
        <f t="shared" si="1"/>
        <v>3</v>
      </c>
      <c r="B11" t="str">
        <f>'AMM-15'!B8</f>
        <v>Avista Corp.</v>
      </c>
      <c r="C11" s="78"/>
      <c r="D11" s="78"/>
      <c r="E11" s="11">
        <v>8.5000000000000006E-2</v>
      </c>
      <c r="F11" s="83"/>
      <c r="H11" s="84">
        <f t="shared" si="2"/>
        <v>1.0346187122026322</v>
      </c>
      <c r="I11" s="72"/>
      <c r="K11" s="129">
        <f t="shared" si="0"/>
        <v>8.7942590537223753E-2</v>
      </c>
      <c r="N11" s="85">
        <v>0.48799999999999999</v>
      </c>
      <c r="O11" s="86">
        <v>3060.3</v>
      </c>
      <c r="P11" s="86">
        <f t="shared" si="3"/>
        <v>1493.4264000000001</v>
      </c>
      <c r="Q11" s="85">
        <v>0.51500000000000001</v>
      </c>
      <c r="R11" s="86">
        <v>4100</v>
      </c>
      <c r="S11" s="86">
        <f t="shared" si="4"/>
        <v>2111.5</v>
      </c>
      <c r="T11" s="87">
        <f t="shared" si="5"/>
        <v>7.1720288429494961E-2</v>
      </c>
    </row>
    <row r="12" spans="1:20" ht="17.25" x14ac:dyDescent="0.35">
      <c r="A12" s="82">
        <f t="shared" si="1"/>
        <v>4</v>
      </c>
      <c r="B12" t="str">
        <f>'AMM-15'!B9</f>
        <v>Black Hills Corp</v>
      </c>
      <c r="C12" s="78"/>
      <c r="D12" s="78"/>
      <c r="E12" s="11">
        <f>E37</f>
        <v>0.105</v>
      </c>
      <c r="F12" s="83"/>
      <c r="H12" s="84">
        <f>H37</f>
        <v>1.0435663007815121</v>
      </c>
      <c r="I12" s="72"/>
      <c r="K12" s="129">
        <f t="shared" si="0"/>
        <v>0.10957446158205877</v>
      </c>
      <c r="N12" s="85"/>
      <c r="O12" s="86"/>
      <c r="P12" s="86"/>
      <c r="Q12" s="85"/>
      <c r="R12" s="86"/>
      <c r="S12" s="86"/>
      <c r="T12" s="87"/>
    </row>
    <row r="13" spans="1:20" ht="17.25" x14ac:dyDescent="0.35">
      <c r="A13" s="82">
        <f t="shared" si="1"/>
        <v>5</v>
      </c>
      <c r="B13" t="str">
        <f>'AMM-15'!B10</f>
        <v>El Paso Electric Co.</v>
      </c>
      <c r="C13" s="78"/>
      <c r="D13" s="78"/>
      <c r="E13" s="11">
        <f>E42</f>
        <v>9.5000000000000001E-2</v>
      </c>
      <c r="F13" s="83"/>
      <c r="H13" s="84">
        <f>H42</f>
        <v>1.0218008105257306</v>
      </c>
      <c r="I13" s="72"/>
      <c r="K13" s="129">
        <f t="shared" si="0"/>
        <v>9.7071076999944411E-2</v>
      </c>
      <c r="N13" s="85"/>
      <c r="O13" s="86"/>
      <c r="P13" s="86"/>
      <c r="Q13" s="85"/>
      <c r="R13" s="86"/>
      <c r="S13" s="86"/>
      <c r="T13" s="87"/>
    </row>
    <row r="14" spans="1:20" ht="17.25" x14ac:dyDescent="0.35">
      <c r="A14" s="82">
        <f t="shared" si="1"/>
        <v>6</v>
      </c>
      <c r="B14" t="str">
        <f>'AMM-15'!B11</f>
        <v>Hawaiian Electric Industries</v>
      </c>
      <c r="C14" s="78"/>
      <c r="D14" s="78"/>
      <c r="E14" s="11">
        <f>E44</f>
        <v>0.09</v>
      </c>
      <c r="F14" s="83"/>
      <c r="H14" s="84">
        <f>H44</f>
        <v>1.0173601583715561</v>
      </c>
      <c r="I14" s="72"/>
      <c r="K14" s="129">
        <f t="shared" si="0"/>
        <v>9.1562414253440055E-2</v>
      </c>
      <c r="N14" s="85"/>
      <c r="O14" s="86"/>
      <c r="P14" s="86"/>
      <c r="Q14" s="85"/>
      <c r="R14" s="86"/>
      <c r="S14" s="86"/>
      <c r="T14" s="87"/>
    </row>
    <row r="15" spans="1:20" ht="17.25" x14ac:dyDescent="0.35">
      <c r="A15" s="82">
        <f t="shared" si="1"/>
        <v>7</v>
      </c>
      <c r="B15" t="str">
        <f>'AMM-15'!B12</f>
        <v>IDACORP</v>
      </c>
      <c r="C15" s="78"/>
      <c r="D15" s="78"/>
      <c r="E15" s="11">
        <f>E45</f>
        <v>0.12</v>
      </c>
      <c r="F15" s="83"/>
      <c r="H15" s="84">
        <f>H45</f>
        <v>1.0195332515122186</v>
      </c>
      <c r="I15" s="72"/>
      <c r="K15" s="129">
        <f t="shared" si="0"/>
        <v>0.12234399018146623</v>
      </c>
      <c r="N15" s="85"/>
      <c r="O15" s="86"/>
      <c r="P15" s="86"/>
      <c r="Q15" s="85"/>
      <c r="R15" s="86"/>
      <c r="S15" s="86"/>
      <c r="T15" s="87"/>
    </row>
    <row r="16" spans="1:20" ht="17.25" x14ac:dyDescent="0.35">
      <c r="A16" s="82">
        <f t="shared" si="1"/>
        <v>8</v>
      </c>
      <c r="B16" t="str">
        <f>'AMM-15'!B13</f>
        <v>NorthWestern Corp</v>
      </c>
      <c r="C16" s="78"/>
      <c r="D16" s="78"/>
      <c r="E16" s="11">
        <f>E46</f>
        <v>0.1</v>
      </c>
      <c r="F16" s="83"/>
      <c r="H16" s="84">
        <f>H46</f>
        <v>1.0177078752886692</v>
      </c>
      <c r="I16" s="72"/>
      <c r="K16" s="129">
        <f t="shared" si="0"/>
        <v>0.10177078752886692</v>
      </c>
      <c r="N16" s="85"/>
      <c r="O16" s="86"/>
      <c r="P16" s="86"/>
      <c r="Q16" s="85"/>
      <c r="R16" s="86"/>
      <c r="S16" s="86"/>
      <c r="T16" s="87"/>
    </row>
    <row r="17" spans="1:20" ht="17.25" x14ac:dyDescent="0.35">
      <c r="A17" s="82">
        <f t="shared" si="1"/>
        <v>9</v>
      </c>
      <c r="B17" t="str">
        <f>'AMM-15'!B14</f>
        <v>OGE Energy</v>
      </c>
      <c r="C17" s="78"/>
      <c r="D17" s="78"/>
      <c r="E17" s="11">
        <v>0.12</v>
      </c>
      <c r="F17" s="83"/>
      <c r="H17" s="84">
        <f t="shared" si="2"/>
        <v>1.018363095583297</v>
      </c>
      <c r="I17" s="72"/>
      <c r="K17" s="129">
        <f t="shared" si="0"/>
        <v>0.12220357146999564</v>
      </c>
      <c r="N17" s="85">
        <v>0.58899999999999997</v>
      </c>
      <c r="O17" s="86">
        <v>5849.6</v>
      </c>
      <c r="P17" s="86">
        <f t="shared" si="3"/>
        <v>3445.4144000000001</v>
      </c>
      <c r="Q17" s="85">
        <v>0.48</v>
      </c>
      <c r="R17" s="86">
        <v>8625</v>
      </c>
      <c r="S17" s="86">
        <f t="shared" ref="S17" si="6">Q17*R17</f>
        <v>4140</v>
      </c>
      <c r="T17" s="87">
        <f t="shared" ref="T17" si="7">(S17/P17)^(1/5)-1</f>
        <v>3.7413213583709748E-2</v>
      </c>
    </row>
    <row r="18" spans="1:20" ht="17.25" x14ac:dyDescent="0.35">
      <c r="A18" s="82">
        <f t="shared" si="1"/>
        <v>10</v>
      </c>
      <c r="B18" t="str">
        <f>'AMM-15'!B15</f>
        <v>Otter Tail Corp</v>
      </c>
      <c r="C18" s="78"/>
      <c r="D18" s="78"/>
      <c r="E18" s="11">
        <f>E47</f>
        <v>0.1</v>
      </c>
      <c r="F18" s="83"/>
      <c r="H18" s="84">
        <f>H47</f>
        <v>1.0376500618293409</v>
      </c>
      <c r="I18" s="72"/>
      <c r="K18" s="129">
        <f t="shared" si="0"/>
        <v>0.10376500618293411</v>
      </c>
      <c r="N18" s="85"/>
      <c r="O18" s="86"/>
      <c r="P18" s="86"/>
      <c r="Q18" s="85"/>
      <c r="R18" s="86"/>
      <c r="S18" s="86"/>
      <c r="T18" s="87"/>
    </row>
    <row r="19" spans="1:20" ht="17.25" x14ac:dyDescent="0.35">
      <c r="A19" s="82">
        <f t="shared" si="1"/>
        <v>11</v>
      </c>
      <c r="B19" t="str">
        <f>'AMM-15'!B16</f>
        <v>Pinnacle West Capital</v>
      </c>
      <c r="C19" s="78"/>
      <c r="D19" s="78"/>
      <c r="E19" s="11">
        <v>0.105</v>
      </c>
      <c r="F19" s="83"/>
      <c r="H19" s="84">
        <f t="shared" si="2"/>
        <v>1.0203720564596943</v>
      </c>
      <c r="I19" s="72"/>
      <c r="K19" s="129">
        <f t="shared" si="0"/>
        <v>0.1071390659282679</v>
      </c>
      <c r="N19" s="85">
        <v>0.54400000000000004</v>
      </c>
      <c r="O19" s="86">
        <v>8825.4</v>
      </c>
      <c r="P19" s="86">
        <f t="shared" ref="P19" si="8">N19*O19</f>
        <v>4801.0176000000001</v>
      </c>
      <c r="Q19" s="85">
        <v>0.54</v>
      </c>
      <c r="R19" s="86">
        <v>10900</v>
      </c>
      <c r="S19" s="86">
        <f t="shared" ref="S19" si="9">Q19*R19</f>
        <v>5886</v>
      </c>
      <c r="T19" s="87">
        <f t="shared" ref="T19" si="10">(S19/P19)^(1/5)-1</f>
        <v>4.1591415585944036E-2</v>
      </c>
    </row>
    <row r="20" spans="1:20" ht="17.25" x14ac:dyDescent="0.35">
      <c r="A20" s="82">
        <f t="shared" si="1"/>
        <v>12</v>
      </c>
      <c r="B20" t="str">
        <f>'AMM-15'!B17</f>
        <v>Portland General Corp</v>
      </c>
      <c r="C20" s="78"/>
      <c r="D20" s="78"/>
      <c r="E20" s="11">
        <f>E49</f>
        <v>9.5000000000000001E-2</v>
      </c>
      <c r="F20" s="83"/>
      <c r="H20" s="84">
        <f>H49</f>
        <v>1.0180694209389842</v>
      </c>
      <c r="I20" s="72"/>
      <c r="K20" s="129">
        <f t="shared" si="0"/>
        <v>9.67165949892035E-2</v>
      </c>
      <c r="N20" s="85"/>
      <c r="O20" s="86"/>
      <c r="P20" s="86"/>
      <c r="Q20" s="85"/>
      <c r="R20" s="86"/>
      <c r="S20" s="86"/>
      <c r="T20" s="87"/>
    </row>
    <row r="21" spans="1:20" ht="17.25" x14ac:dyDescent="0.35">
      <c r="A21" s="82">
        <f t="shared" si="1"/>
        <v>13</v>
      </c>
      <c r="B21" t="str">
        <f>'AMM-15'!B18</f>
        <v>PNM Resources</v>
      </c>
      <c r="C21" s="78"/>
      <c r="D21" s="78"/>
      <c r="E21" s="11">
        <v>0.09</v>
      </c>
      <c r="F21" s="83"/>
      <c r="H21" s="84">
        <f t="shared" si="2"/>
        <v>1.0149827904877833</v>
      </c>
      <c r="I21" s="72"/>
      <c r="K21" s="129">
        <f t="shared" si="0"/>
        <v>9.1348451143900486E-2</v>
      </c>
      <c r="N21" s="85">
        <v>0.44</v>
      </c>
      <c r="O21" s="86">
        <v>3806.8</v>
      </c>
      <c r="P21" s="86">
        <f t="shared" ref="P21" si="11">N21*O21</f>
        <v>1674.9920000000002</v>
      </c>
      <c r="Q21" s="85">
        <v>0.43</v>
      </c>
      <c r="R21" s="86">
        <v>4525</v>
      </c>
      <c r="S21" s="86">
        <f t="shared" ref="S21" si="12">Q21*R21</f>
        <v>1945.75</v>
      </c>
      <c r="T21" s="87">
        <f t="shared" ref="T21" si="13">(S21/P21)^(1/5)-1</f>
        <v>3.0421378110140562E-2</v>
      </c>
    </row>
    <row r="22" spans="1:20" ht="17.25" x14ac:dyDescent="0.35">
      <c r="A22" s="82">
        <f t="shared" si="1"/>
        <v>14</v>
      </c>
      <c r="B22" t="str">
        <f>'AMM-15'!B19</f>
        <v>SCANA Corp</v>
      </c>
      <c r="C22" s="78"/>
      <c r="D22" s="78"/>
      <c r="E22" s="11">
        <v>0.11</v>
      </c>
      <c r="F22" s="83"/>
      <c r="H22" s="84">
        <f t="shared" ref="H22:H23" si="14">2*(1+T22)/(2+T22)</f>
        <v>1.0013048523714376</v>
      </c>
      <c r="I22" s="72"/>
      <c r="K22" s="129">
        <f t="shared" si="0"/>
        <v>0.11014353376085814</v>
      </c>
      <c r="N22" s="85">
        <v>0.46899999999999997</v>
      </c>
      <c r="O22" s="86">
        <v>12198</v>
      </c>
      <c r="P22" s="86">
        <f t="shared" ref="P22:P23" si="15">N22*O22</f>
        <v>5720.8620000000001</v>
      </c>
      <c r="Q22" s="85">
        <v>0.46</v>
      </c>
      <c r="R22" s="86">
        <v>12600</v>
      </c>
      <c r="S22" s="86">
        <f t="shared" ref="S22:S23" si="16">Q22*R22</f>
        <v>5796</v>
      </c>
      <c r="T22" s="87">
        <f t="shared" ref="T22:T23" si="17">(S22/P22)^(1/5)-1</f>
        <v>2.6131144714902632E-3</v>
      </c>
    </row>
    <row r="23" spans="1:20" ht="17.25" x14ac:dyDescent="0.35">
      <c r="A23" s="82">
        <f t="shared" si="1"/>
        <v>15</v>
      </c>
      <c r="B23" t="str">
        <f>'AMM-15'!B20</f>
        <v>Vectren</v>
      </c>
      <c r="C23" s="78"/>
      <c r="D23" s="78"/>
      <c r="E23" s="11">
        <v>0.12</v>
      </c>
      <c r="F23" s="83"/>
      <c r="H23" s="84">
        <f t="shared" si="14"/>
        <v>1.0299199082772303</v>
      </c>
      <c r="I23" s="72"/>
      <c r="K23" s="137">
        <f t="shared" si="0"/>
        <v>0.12359038899326763</v>
      </c>
      <c r="N23" s="85">
        <v>0.52700000000000002</v>
      </c>
      <c r="O23" s="86">
        <v>3358</v>
      </c>
      <c r="P23" s="86">
        <f t="shared" si="15"/>
        <v>1769.6660000000002</v>
      </c>
      <c r="Q23" s="85">
        <v>0.54500000000000004</v>
      </c>
      <c r="R23" s="86">
        <v>4380</v>
      </c>
      <c r="S23" s="86">
        <f t="shared" si="16"/>
        <v>2387.1000000000004</v>
      </c>
      <c r="T23" s="87">
        <f t="shared" si="17"/>
        <v>6.168543923851777E-2</v>
      </c>
    </row>
    <row r="24" spans="1:20" ht="23.25" hidden="1" customHeight="1" x14ac:dyDescent="0.35">
      <c r="A24" s="88"/>
      <c r="B24" s="89"/>
      <c r="C24" s="78"/>
      <c r="D24" s="78"/>
      <c r="E24" s="106"/>
      <c r="F24" s="83"/>
      <c r="H24" s="90"/>
      <c r="I24" s="72"/>
      <c r="J24" s="104"/>
      <c r="K24" s="104"/>
      <c r="L24" s="104"/>
    </row>
    <row r="25" spans="1:20" s="93" customFormat="1" ht="17.25" x14ac:dyDescent="0.35">
      <c r="A25" s="62"/>
      <c r="B25" s="96" t="s">
        <v>41</v>
      </c>
      <c r="E25" s="107"/>
      <c r="F25" s="94"/>
      <c r="H25" s="90"/>
      <c r="J25" s="105"/>
      <c r="K25" s="94">
        <f>AVERAGE(K9:K23)</f>
        <v>0.10587202657911465</v>
      </c>
      <c r="L25" s="105"/>
      <c r="M25" s="95"/>
    </row>
    <row r="26" spans="1:20" s="93" customFormat="1" ht="17.25" x14ac:dyDescent="0.35">
      <c r="A26" s="62"/>
      <c r="B26" s="96"/>
      <c r="E26" s="94"/>
      <c r="F26" s="94"/>
      <c r="H26" s="90"/>
      <c r="J26" s="95"/>
      <c r="K26" s="92"/>
      <c r="L26" s="105"/>
      <c r="M26" s="95"/>
    </row>
    <row r="27" spans="1:20" s="93" customFormat="1" ht="17.25" x14ac:dyDescent="0.35">
      <c r="A27" s="62"/>
      <c r="B27" s="96"/>
      <c r="E27" s="94"/>
      <c r="F27" s="94"/>
      <c r="H27" s="90"/>
      <c r="J27" s="95"/>
      <c r="K27" s="92"/>
      <c r="L27" s="95"/>
      <c r="M27" s="95"/>
    </row>
    <row r="28" spans="1:20" ht="17.25" x14ac:dyDescent="0.35">
      <c r="A28" s="6" t="s">
        <v>119</v>
      </c>
      <c r="L28" s="66"/>
    </row>
    <row r="29" spans="1:20" ht="17.25" x14ac:dyDescent="0.35">
      <c r="A29" s="67"/>
    </row>
    <row r="30" spans="1:20" ht="15.75" customHeight="1" x14ac:dyDescent="0.3">
      <c r="E30" s="69" t="s">
        <v>31</v>
      </c>
      <c r="F30" s="69"/>
      <c r="H30" s="70" t="s">
        <v>32</v>
      </c>
      <c r="I30" s="70"/>
      <c r="K30" s="70" t="s">
        <v>33</v>
      </c>
      <c r="N30" s="71"/>
      <c r="O30" s="71"/>
      <c r="P30" s="71"/>
      <c r="Q30" s="71"/>
      <c r="R30" s="71"/>
      <c r="S30" s="71"/>
      <c r="T30" s="71"/>
    </row>
    <row r="31" spans="1:20" ht="3" customHeight="1" x14ac:dyDescent="0.35">
      <c r="H31" s="72" t="s">
        <v>80</v>
      </c>
      <c r="I31" s="72"/>
    </row>
    <row r="32" spans="1:20" ht="15.75" customHeight="1" x14ac:dyDescent="0.35">
      <c r="E32" s="73" t="s">
        <v>81</v>
      </c>
      <c r="F32" s="64"/>
      <c r="H32" s="74" t="s">
        <v>34</v>
      </c>
      <c r="I32" s="74"/>
      <c r="K32" s="73" t="s">
        <v>82</v>
      </c>
      <c r="N32" s="75" t="s">
        <v>124</v>
      </c>
      <c r="O32" s="76"/>
      <c r="P32" s="76"/>
      <c r="Q32" s="75" t="s">
        <v>125</v>
      </c>
      <c r="R32" s="76"/>
      <c r="S32" s="76"/>
      <c r="T32" s="76" t="s">
        <v>35</v>
      </c>
    </row>
    <row r="33" spans="1:20" ht="17.25" x14ac:dyDescent="0.35">
      <c r="B33" s="77" t="s">
        <v>44</v>
      </c>
      <c r="C33" s="78"/>
      <c r="D33" s="78"/>
      <c r="E33" s="79" t="s">
        <v>83</v>
      </c>
      <c r="F33" s="80"/>
      <c r="H33" s="81" t="s">
        <v>36</v>
      </c>
      <c r="I33" s="81"/>
      <c r="K33" s="79" t="s">
        <v>83</v>
      </c>
      <c r="N33" s="80" t="s">
        <v>37</v>
      </c>
      <c r="O33" s="80" t="s">
        <v>38</v>
      </c>
      <c r="P33" s="80" t="s">
        <v>39</v>
      </c>
      <c r="Q33" s="80" t="s">
        <v>37</v>
      </c>
      <c r="R33" s="80" t="s">
        <v>38</v>
      </c>
      <c r="S33" s="80" t="s">
        <v>39</v>
      </c>
      <c r="T33" s="80" t="s">
        <v>0</v>
      </c>
    </row>
    <row r="34" spans="1:20" ht="17.25" x14ac:dyDescent="0.35">
      <c r="A34" s="82">
        <f>A33+1</f>
        <v>1</v>
      </c>
      <c r="B34" t="str">
        <f>'AMM-15'!B29</f>
        <v>ALLETE, Inc.</v>
      </c>
      <c r="C34" s="78"/>
      <c r="D34" s="78"/>
      <c r="E34" s="11">
        <v>0.09</v>
      </c>
      <c r="F34" s="83"/>
      <c r="H34" s="84">
        <f t="shared" ref="H34:H50" si="18">2*(1+T34)/(2+T34)</f>
        <v>1.0260127471110614</v>
      </c>
      <c r="I34" s="72"/>
      <c r="K34" s="129">
        <f>E34*H34</f>
        <v>9.2341147239995522E-2</v>
      </c>
      <c r="N34" s="85">
        <v>0.57999999999999996</v>
      </c>
      <c r="O34" s="86">
        <v>3263.4</v>
      </c>
      <c r="P34" s="86">
        <f t="shared" ref="P34:P50" si="19">N34*O34</f>
        <v>1892.7719999999999</v>
      </c>
      <c r="Q34" s="85">
        <v>0.61</v>
      </c>
      <c r="R34" s="86">
        <v>4025</v>
      </c>
      <c r="S34" s="86">
        <f t="shared" ref="S34:S50" si="20">Q34*R34</f>
        <v>2455.25</v>
      </c>
      <c r="T34" s="87">
        <f t="shared" ref="T34:T50" si="21">(S34/P34)^(1/5)-1</f>
        <v>5.3414964177211033E-2</v>
      </c>
    </row>
    <row r="35" spans="1:20" ht="17.25" x14ac:dyDescent="0.35">
      <c r="A35" s="82">
        <f t="shared" ref="A35:A50" si="22">A34+1</f>
        <v>2</v>
      </c>
      <c r="B35" t="str">
        <f>'AMM-15'!B30</f>
        <v>Ameren Corporation</v>
      </c>
      <c r="C35" s="78"/>
      <c r="D35" s="78"/>
      <c r="E35" s="11">
        <v>0.1</v>
      </c>
      <c r="F35" s="83"/>
      <c r="H35" s="84">
        <f t="shared" si="18"/>
        <v>1.0268492906336055</v>
      </c>
      <c r="I35" s="72"/>
      <c r="K35" s="129">
        <f t="shared" ref="K35:K49" si="23">E35*H35</f>
        <v>0.10268492906336056</v>
      </c>
      <c r="N35" s="85">
        <v>0.47699999999999998</v>
      </c>
      <c r="O35" s="86">
        <v>13840</v>
      </c>
      <c r="P35" s="86">
        <f t="shared" si="19"/>
        <v>6601.6799999999994</v>
      </c>
      <c r="Q35" s="85">
        <v>0.505</v>
      </c>
      <c r="R35" s="86">
        <v>17100</v>
      </c>
      <c r="S35" s="86">
        <f t="shared" si="20"/>
        <v>8635.5</v>
      </c>
      <c r="T35" s="87">
        <f t="shared" si="21"/>
        <v>5.5180128576562737E-2</v>
      </c>
    </row>
    <row r="36" spans="1:20" ht="17.25" x14ac:dyDescent="0.35">
      <c r="A36" s="82">
        <f t="shared" si="22"/>
        <v>3</v>
      </c>
      <c r="B36" t="str">
        <f>'AMM-15'!B31</f>
        <v>Avangrid, Inc.</v>
      </c>
      <c r="C36" s="78"/>
      <c r="D36" s="78"/>
      <c r="E36" s="11">
        <v>0.05</v>
      </c>
      <c r="F36" s="83"/>
      <c r="H36" s="84">
        <f t="shared" si="18"/>
        <v>1.0064429724116433</v>
      </c>
      <c r="I36" s="72"/>
      <c r="K36" s="129">
        <f t="shared" si="23"/>
        <v>5.0322148620582166E-2</v>
      </c>
      <c r="N36" s="85">
        <v>0.77</v>
      </c>
      <c r="O36" s="86">
        <v>19619</v>
      </c>
      <c r="P36" s="86">
        <f t="shared" si="19"/>
        <v>15106.630000000001</v>
      </c>
      <c r="Q36" s="85">
        <v>0.76</v>
      </c>
      <c r="R36" s="86">
        <v>21200</v>
      </c>
      <c r="S36" s="86">
        <f t="shared" si="20"/>
        <v>16112</v>
      </c>
      <c r="T36" s="87">
        <f t="shared" si="21"/>
        <v>1.2969506999074509E-2</v>
      </c>
    </row>
    <row r="37" spans="1:20" ht="17.25" x14ac:dyDescent="0.35">
      <c r="A37" s="82">
        <f t="shared" si="22"/>
        <v>4</v>
      </c>
      <c r="B37" t="str">
        <f>'AMM-15'!B32</f>
        <v>Black Hills Corporation</v>
      </c>
      <c r="C37" s="78"/>
      <c r="D37" s="78"/>
      <c r="E37" s="11">
        <v>0.105</v>
      </c>
      <c r="F37" s="83"/>
      <c r="H37" s="84">
        <f t="shared" si="18"/>
        <v>1.0435663007815121</v>
      </c>
      <c r="I37" s="72"/>
      <c r="K37" s="129">
        <f t="shared" si="23"/>
        <v>0.10957446158205877</v>
      </c>
      <c r="N37" s="85">
        <v>0.33500000000000002</v>
      </c>
      <c r="O37" s="86">
        <v>4825.8</v>
      </c>
      <c r="P37" s="86">
        <f t="shared" si="19"/>
        <v>1616.6430000000003</v>
      </c>
      <c r="Q37" s="85">
        <v>0.4</v>
      </c>
      <c r="R37" s="86">
        <v>6250</v>
      </c>
      <c r="S37" s="86">
        <f t="shared" si="20"/>
        <v>2500</v>
      </c>
      <c r="T37" s="87">
        <f t="shared" si="21"/>
        <v>9.1101559506133745E-2</v>
      </c>
    </row>
    <row r="38" spans="1:20" ht="17.25" x14ac:dyDescent="0.35">
      <c r="A38" s="82">
        <f t="shared" si="22"/>
        <v>5</v>
      </c>
      <c r="B38" t="str">
        <f>'AMM-15'!B33</f>
        <v>CMS Energy Corporation</v>
      </c>
      <c r="C38" s="78"/>
      <c r="D38" s="78"/>
      <c r="E38" s="11">
        <v>0.13500000000000001</v>
      </c>
      <c r="F38" s="83"/>
      <c r="H38" s="84">
        <f t="shared" si="18"/>
        <v>1.0356126646499344</v>
      </c>
      <c r="I38" s="72"/>
      <c r="K38" s="129">
        <f t="shared" si="23"/>
        <v>0.13980770972774115</v>
      </c>
      <c r="N38" s="85">
        <v>0.32600000000000001</v>
      </c>
      <c r="O38" s="86">
        <v>13040</v>
      </c>
      <c r="P38" s="86">
        <f t="shared" si="19"/>
        <v>4251.04</v>
      </c>
      <c r="Q38" s="85">
        <v>0.35499999999999998</v>
      </c>
      <c r="R38" s="86">
        <v>17100</v>
      </c>
      <c r="S38" s="86">
        <f t="shared" si="20"/>
        <v>6070.5</v>
      </c>
      <c r="T38" s="87">
        <f t="shared" si="21"/>
        <v>7.3855521209239772E-2</v>
      </c>
    </row>
    <row r="39" spans="1:20" ht="17.25" x14ac:dyDescent="0.35">
      <c r="A39" s="82">
        <f t="shared" si="22"/>
        <v>6</v>
      </c>
      <c r="B39" t="str">
        <f>'AMM-15'!B34</f>
        <v>Dominion Resources, Inc.</v>
      </c>
      <c r="C39" s="78"/>
      <c r="D39" s="78"/>
      <c r="E39" s="11">
        <v>0.19</v>
      </c>
      <c r="F39" s="83"/>
      <c r="H39" s="84">
        <f t="shared" si="18"/>
        <v>1.0024962889546769</v>
      </c>
      <c r="I39" s="72"/>
      <c r="K39" s="129">
        <f t="shared" si="23"/>
        <v>0.19047429490138862</v>
      </c>
      <c r="N39" s="85">
        <v>0.32600000000000001</v>
      </c>
      <c r="O39" s="86">
        <v>44836</v>
      </c>
      <c r="P39" s="86">
        <f t="shared" si="19"/>
        <v>14616.536</v>
      </c>
      <c r="Q39" s="85">
        <v>0.29499999999999998</v>
      </c>
      <c r="R39" s="86">
        <v>50800</v>
      </c>
      <c r="S39" s="86">
        <f t="shared" si="20"/>
        <v>14986</v>
      </c>
      <c r="T39" s="87">
        <f t="shared" si="21"/>
        <v>5.0050720153429484E-3</v>
      </c>
    </row>
    <row r="40" spans="1:20" ht="17.25" x14ac:dyDescent="0.35">
      <c r="A40" s="82">
        <f t="shared" si="22"/>
        <v>7</v>
      </c>
      <c r="B40" t="str">
        <f>'AMM-15'!B35</f>
        <v>DTE Energy Company</v>
      </c>
      <c r="C40" s="78"/>
      <c r="D40" s="78"/>
      <c r="E40" s="11">
        <v>0.105</v>
      </c>
      <c r="F40" s="83"/>
      <c r="H40" s="84">
        <f t="shared" si="18"/>
        <v>1.025823075569652</v>
      </c>
      <c r="I40" s="72"/>
      <c r="K40" s="129">
        <f t="shared" si="23"/>
        <v>0.10771142293481346</v>
      </c>
      <c r="N40" s="85">
        <v>0.44400000000000001</v>
      </c>
      <c r="O40" s="86">
        <v>20280</v>
      </c>
      <c r="P40" s="86">
        <f t="shared" si="19"/>
        <v>9004.32</v>
      </c>
      <c r="Q40" s="85">
        <v>0.435</v>
      </c>
      <c r="R40" s="86">
        <v>26800</v>
      </c>
      <c r="S40" s="86">
        <f t="shared" si="20"/>
        <v>11658</v>
      </c>
      <c r="T40" s="87">
        <f t="shared" si="21"/>
        <v>5.3015165771355788E-2</v>
      </c>
    </row>
    <row r="41" spans="1:20" ht="17.25" x14ac:dyDescent="0.35">
      <c r="A41" s="82">
        <f t="shared" si="22"/>
        <v>8</v>
      </c>
      <c r="B41" t="str">
        <f>'AMM-15'!B36</f>
        <v>Edison International</v>
      </c>
      <c r="C41" s="78"/>
      <c r="D41" s="78"/>
      <c r="E41" s="11">
        <v>0.12</v>
      </c>
      <c r="F41" s="83"/>
      <c r="H41" s="84">
        <f t="shared" si="18"/>
        <v>1.0195191846479408</v>
      </c>
      <c r="I41" s="72"/>
      <c r="K41" s="129">
        <f t="shared" si="23"/>
        <v>0.12234230215775289</v>
      </c>
      <c r="N41" s="85">
        <v>0.49199999999999999</v>
      </c>
      <c r="O41" s="86">
        <v>24362</v>
      </c>
      <c r="P41" s="86">
        <f t="shared" si="19"/>
        <v>11986.103999999999</v>
      </c>
      <c r="Q41" s="85">
        <v>0.47</v>
      </c>
      <c r="R41" s="86">
        <v>31000</v>
      </c>
      <c r="S41" s="86">
        <f t="shared" si="20"/>
        <v>14570</v>
      </c>
      <c r="T41" s="87">
        <f t="shared" si="21"/>
        <v>3.981553609681221E-2</v>
      </c>
    </row>
    <row r="42" spans="1:20" ht="17.25" x14ac:dyDescent="0.35">
      <c r="A42" s="82">
        <f t="shared" si="22"/>
        <v>9</v>
      </c>
      <c r="B42" t="str">
        <f>'AMM-15'!B37</f>
        <v>El Paso Electric Company</v>
      </c>
      <c r="C42" s="78"/>
      <c r="D42" s="78"/>
      <c r="E42" s="11">
        <v>9.5000000000000001E-2</v>
      </c>
      <c r="F42" s="83"/>
      <c r="H42" s="84">
        <f t="shared" si="18"/>
        <v>1.0218008105257306</v>
      </c>
      <c r="I42" s="72"/>
      <c r="K42" s="129">
        <f t="shared" si="23"/>
        <v>9.7071076999944411E-2</v>
      </c>
      <c r="N42" s="85">
        <v>0.47299999999999998</v>
      </c>
      <c r="O42" s="86">
        <v>2269.9</v>
      </c>
      <c r="P42" s="86">
        <f t="shared" si="19"/>
        <v>1073.6627000000001</v>
      </c>
      <c r="Q42" s="85">
        <v>0.49</v>
      </c>
      <c r="R42" s="86">
        <v>2725</v>
      </c>
      <c r="S42" s="86">
        <f t="shared" si="20"/>
        <v>1335.25</v>
      </c>
      <c r="T42" s="87">
        <f t="shared" si="21"/>
        <v>4.4573356347693105E-2</v>
      </c>
    </row>
    <row r="43" spans="1:20" ht="17.25" x14ac:dyDescent="0.35">
      <c r="A43" s="82">
        <f t="shared" si="22"/>
        <v>10</v>
      </c>
      <c r="B43" t="str">
        <f>'AMM-15'!B38</f>
        <v>Exelon Corporation</v>
      </c>
      <c r="C43" s="78"/>
      <c r="D43" s="78"/>
      <c r="E43" s="11">
        <v>9.5000000000000001E-2</v>
      </c>
      <c r="F43" s="83"/>
      <c r="H43" s="84">
        <f t="shared" si="18"/>
        <v>1.0260139648604998</v>
      </c>
      <c r="I43" s="72"/>
      <c r="K43" s="129">
        <f t="shared" si="23"/>
        <v>9.7471326661747487E-2</v>
      </c>
      <c r="N43" s="85">
        <v>0.44500000000000001</v>
      </c>
      <c r="O43" s="86">
        <v>58053</v>
      </c>
      <c r="P43" s="86">
        <f t="shared" si="19"/>
        <v>25833.584999999999</v>
      </c>
      <c r="Q43" s="85">
        <v>0.47</v>
      </c>
      <c r="R43" s="86">
        <v>71300</v>
      </c>
      <c r="S43" s="86">
        <f t="shared" si="20"/>
        <v>33511</v>
      </c>
      <c r="T43" s="87">
        <f t="shared" si="21"/>
        <v>5.3417531508598737E-2</v>
      </c>
    </row>
    <row r="44" spans="1:20" ht="17.25" x14ac:dyDescent="0.35">
      <c r="A44" s="82">
        <f t="shared" si="22"/>
        <v>11</v>
      </c>
      <c r="B44" t="str">
        <f>'AMM-15'!B39</f>
        <v>Hawaiian Electric Industries, Inc.</v>
      </c>
      <c r="C44" s="78"/>
      <c r="D44" s="78"/>
      <c r="E44" s="11">
        <v>0.09</v>
      </c>
      <c r="F44" s="83"/>
      <c r="H44" s="84">
        <f t="shared" si="18"/>
        <v>1.0173601583715561</v>
      </c>
      <c r="I44" s="72"/>
      <c r="K44" s="129">
        <f t="shared" si="23"/>
        <v>9.1562414253440055E-2</v>
      </c>
      <c r="N44" s="85">
        <v>0.57499999999999996</v>
      </c>
      <c r="O44" s="86">
        <v>3595.1</v>
      </c>
      <c r="P44" s="86">
        <f t="shared" si="19"/>
        <v>2067.1824999999999</v>
      </c>
      <c r="Q44" s="85">
        <v>0.51500000000000001</v>
      </c>
      <c r="R44" s="86">
        <v>4775</v>
      </c>
      <c r="S44" s="86">
        <f t="shared" si="20"/>
        <v>2459.125</v>
      </c>
      <c r="T44" s="87">
        <f t="shared" si="21"/>
        <v>3.5333715642521968E-2</v>
      </c>
    </row>
    <row r="45" spans="1:20" ht="17.25" x14ac:dyDescent="0.35">
      <c r="A45" s="82">
        <f t="shared" si="22"/>
        <v>12</v>
      </c>
      <c r="B45" t="str">
        <f>'AMM-15'!B40</f>
        <v>IDACORP, Inc.</v>
      </c>
      <c r="C45" s="78"/>
      <c r="D45" s="78"/>
      <c r="E45" s="11">
        <f>E23</f>
        <v>0.12</v>
      </c>
      <c r="F45" s="83"/>
      <c r="H45" s="84">
        <f t="shared" si="18"/>
        <v>1.0195332515122186</v>
      </c>
      <c r="I45" s="72"/>
      <c r="K45" s="129">
        <f t="shared" si="23"/>
        <v>0.12234399018146623</v>
      </c>
      <c r="N45" s="85">
        <v>0.55200000000000005</v>
      </c>
      <c r="O45" s="86">
        <v>3898.5</v>
      </c>
      <c r="P45" s="86">
        <f t="shared" si="19"/>
        <v>2151.9720000000002</v>
      </c>
      <c r="Q45" s="85">
        <v>0.57499999999999996</v>
      </c>
      <c r="R45" s="86">
        <v>4550</v>
      </c>
      <c r="S45" s="86">
        <f t="shared" si="20"/>
        <v>2616.25</v>
      </c>
      <c r="T45" s="87">
        <f t="shared" si="21"/>
        <v>3.9844801554659304E-2</v>
      </c>
    </row>
    <row r="46" spans="1:20" ht="17.25" x14ac:dyDescent="0.35">
      <c r="A46" s="82">
        <f t="shared" si="22"/>
        <v>13</v>
      </c>
      <c r="B46" t="str">
        <f>'AMM-15'!B41</f>
        <v>NorthWestern Corporation</v>
      </c>
      <c r="C46" s="78"/>
      <c r="D46" s="78"/>
      <c r="E46" s="11">
        <v>0.1</v>
      </c>
      <c r="F46" s="83"/>
      <c r="H46" s="84">
        <f t="shared" si="18"/>
        <v>1.0177078752886692</v>
      </c>
      <c r="I46" s="72"/>
      <c r="K46" s="129">
        <f t="shared" si="23"/>
        <v>0.10177078752886692</v>
      </c>
      <c r="N46" s="85">
        <v>0.48</v>
      </c>
      <c r="O46" s="86">
        <v>3493.9</v>
      </c>
      <c r="P46" s="86">
        <f t="shared" si="19"/>
        <v>1677.0719999999999</v>
      </c>
      <c r="Q46" s="85">
        <v>0.52</v>
      </c>
      <c r="R46" s="86">
        <v>3850</v>
      </c>
      <c r="S46" s="86">
        <f t="shared" si="20"/>
        <v>2002</v>
      </c>
      <c r="T46" s="87">
        <f t="shared" si="21"/>
        <v>3.6054193743786822E-2</v>
      </c>
    </row>
    <row r="47" spans="1:20" ht="17.25" x14ac:dyDescent="0.35">
      <c r="A47" s="82">
        <f t="shared" si="22"/>
        <v>14</v>
      </c>
      <c r="B47" t="str">
        <f>'AMM-15'!B42</f>
        <v>Otter Tail Corporation</v>
      </c>
      <c r="C47" s="78"/>
      <c r="D47" s="78"/>
      <c r="E47" s="11">
        <v>0.1</v>
      </c>
      <c r="F47" s="83"/>
      <c r="H47" s="84">
        <f t="shared" si="18"/>
        <v>1.0376500618293409</v>
      </c>
      <c r="I47" s="72"/>
      <c r="K47" s="129">
        <f t="shared" si="23"/>
        <v>0.10376500618293411</v>
      </c>
      <c r="N47" s="85">
        <v>0.56999999999999995</v>
      </c>
      <c r="O47" s="86">
        <v>1175.4000000000001</v>
      </c>
      <c r="P47" s="86">
        <f t="shared" si="19"/>
        <v>669.97799999999995</v>
      </c>
      <c r="Q47" s="85">
        <v>0.59</v>
      </c>
      <c r="R47" s="86">
        <v>1655</v>
      </c>
      <c r="S47" s="86">
        <f t="shared" si="20"/>
        <v>976.44999999999993</v>
      </c>
      <c r="T47" s="87">
        <f t="shared" si="21"/>
        <v>7.8246093933170169E-2</v>
      </c>
    </row>
    <row r="48" spans="1:20" ht="17.25" x14ac:dyDescent="0.35">
      <c r="A48" s="82">
        <f t="shared" si="22"/>
        <v>15</v>
      </c>
      <c r="B48" t="str">
        <f>'AMM-15'!B43</f>
        <v>PG&amp;E Corporation</v>
      </c>
      <c r="C48" s="78"/>
      <c r="D48" s="78"/>
      <c r="E48" s="11">
        <v>0.1</v>
      </c>
      <c r="F48" s="83"/>
      <c r="H48" s="84">
        <f t="shared" si="18"/>
        <v>1.0302130696504741</v>
      </c>
      <c r="I48" s="72"/>
      <c r="K48" s="129">
        <f t="shared" si="23"/>
        <v>0.10302130696504741</v>
      </c>
      <c r="N48" s="85">
        <v>0.52100000000000002</v>
      </c>
      <c r="O48" s="86">
        <v>34412</v>
      </c>
      <c r="P48" s="86">
        <f t="shared" si="19"/>
        <v>17928.652000000002</v>
      </c>
      <c r="Q48" s="85">
        <v>0.52500000000000002</v>
      </c>
      <c r="R48" s="86">
        <v>46200</v>
      </c>
      <c r="S48" s="86">
        <f t="shared" si="20"/>
        <v>24255</v>
      </c>
      <c r="T48" s="87">
        <f t="shared" si="21"/>
        <v>6.2308675658445445E-2</v>
      </c>
    </row>
    <row r="49" spans="1:20" ht="17.25" x14ac:dyDescent="0.35">
      <c r="A49" s="82">
        <f t="shared" si="22"/>
        <v>16</v>
      </c>
      <c r="B49" t="str">
        <f>'AMM-15'!B44</f>
        <v>Portland General Electric Company</v>
      </c>
      <c r="C49" s="78"/>
      <c r="D49" s="78"/>
      <c r="E49" s="11">
        <v>9.5000000000000001E-2</v>
      </c>
      <c r="F49" s="83"/>
      <c r="H49" s="84">
        <f t="shared" si="18"/>
        <v>1.0180694209389842</v>
      </c>
      <c r="I49" s="72"/>
      <c r="K49" s="129">
        <f t="shared" si="23"/>
        <v>9.67165949892035E-2</v>
      </c>
      <c r="N49" s="85">
        <v>0.51600000000000001</v>
      </c>
      <c r="O49" s="86">
        <v>4544</v>
      </c>
      <c r="P49" s="86">
        <f t="shared" si="19"/>
        <v>2344.7040000000002</v>
      </c>
      <c r="Q49" s="85">
        <v>0.495</v>
      </c>
      <c r="R49" s="86">
        <v>5675</v>
      </c>
      <c r="S49" s="86">
        <f t="shared" si="20"/>
        <v>2809.125</v>
      </c>
      <c r="T49" s="87">
        <f t="shared" si="21"/>
        <v>3.6803866432723709E-2</v>
      </c>
    </row>
    <row r="50" spans="1:20" ht="17.25" x14ac:dyDescent="0.35">
      <c r="A50" s="82">
        <f t="shared" si="22"/>
        <v>17</v>
      </c>
      <c r="B50" t="str">
        <f>'AMM-15'!B45</f>
        <v>Sempra Energy</v>
      </c>
      <c r="C50" s="78"/>
      <c r="D50" s="78"/>
      <c r="E50" s="11">
        <v>0.13</v>
      </c>
      <c r="F50" s="83"/>
      <c r="H50" s="84">
        <f t="shared" si="18"/>
        <v>1.0038544556419648</v>
      </c>
      <c r="I50" s="72"/>
      <c r="K50" s="137">
        <f>E50*H50</f>
        <v>0.13050107923345544</v>
      </c>
      <c r="N50" s="85">
        <v>0.47299999999999998</v>
      </c>
      <c r="O50" s="86">
        <v>27400</v>
      </c>
      <c r="P50" s="86">
        <f t="shared" si="19"/>
        <v>12960.199999999999</v>
      </c>
      <c r="Q50" s="85">
        <v>0.39500000000000002</v>
      </c>
      <c r="R50" s="86">
        <v>34100</v>
      </c>
      <c r="S50" s="86">
        <f t="shared" si="20"/>
        <v>13469.5</v>
      </c>
      <c r="T50" s="87">
        <f t="shared" si="21"/>
        <v>7.7387399136514823E-3</v>
      </c>
    </row>
    <row r="51" spans="1:20" ht="0.6" customHeight="1" x14ac:dyDescent="0.35">
      <c r="A51" s="88"/>
      <c r="B51" s="89"/>
      <c r="C51" s="78"/>
      <c r="D51" s="78"/>
      <c r="E51" s="106"/>
      <c r="F51" s="83"/>
      <c r="H51" s="90"/>
      <c r="I51" s="72"/>
      <c r="J51" s="104"/>
      <c r="K51" s="91"/>
      <c r="L51" s="104"/>
    </row>
    <row r="52" spans="1:20" s="93" customFormat="1" ht="17.25" x14ac:dyDescent="0.35">
      <c r="A52" s="62"/>
      <c r="B52" s="96" t="s">
        <v>137</v>
      </c>
      <c r="E52" s="107"/>
      <c r="F52" s="94"/>
      <c r="H52" s="90"/>
      <c r="J52" s="105"/>
      <c r="K52" s="94">
        <f>AVERAGE(K34:K35,K37:K38,K40:K50)</f>
        <v>0.10791237038012186</v>
      </c>
      <c r="L52" s="105"/>
      <c r="M52" s="95"/>
    </row>
    <row r="53" spans="1:20" s="93" customFormat="1" ht="17.25" x14ac:dyDescent="0.35">
      <c r="A53" s="62"/>
      <c r="B53" s="96"/>
      <c r="E53" s="94"/>
      <c r="F53" s="94"/>
      <c r="H53" s="90"/>
      <c r="J53" s="95"/>
      <c r="K53" s="92"/>
      <c r="L53" s="105"/>
      <c r="M53" s="95"/>
    </row>
    <row r="54" spans="1:20" s="93" customFormat="1" ht="17.25" x14ac:dyDescent="0.35">
      <c r="A54" s="62"/>
      <c r="B54" s="96"/>
      <c r="E54" s="94"/>
      <c r="F54" s="94"/>
      <c r="H54" s="90"/>
      <c r="J54" s="95"/>
      <c r="K54" s="92"/>
      <c r="L54" s="95"/>
      <c r="M54" s="95"/>
    </row>
    <row r="55" spans="1:20" s="101" customFormat="1" ht="15" x14ac:dyDescent="0.3">
      <c r="A55" s="97" t="s">
        <v>31</v>
      </c>
      <c r="B55" s="98" t="str">
        <f>'AMM-15'!B51</f>
        <v>The Value Line Investment Survey (Aug. 18, Sep. 15, &amp; Oct. 27, 2017).</v>
      </c>
      <c r="C55" s="99"/>
      <c r="D55" s="99"/>
      <c r="E55" s="100"/>
      <c r="F55" s="100"/>
    </row>
    <row r="56" spans="1:20" s="101" customFormat="1" ht="15" x14ac:dyDescent="0.3">
      <c r="A56" s="101" t="s">
        <v>32</v>
      </c>
      <c r="B56" s="10" t="s">
        <v>40</v>
      </c>
      <c r="C56" s="99"/>
      <c r="D56" s="99"/>
      <c r="E56" s="100"/>
      <c r="F56" s="100"/>
    </row>
    <row r="57" spans="1:20" s="101" customFormat="1" ht="15" x14ac:dyDescent="0.3">
      <c r="A57" s="102" t="s">
        <v>33</v>
      </c>
      <c r="B57" s="98" t="s">
        <v>84</v>
      </c>
      <c r="C57" s="103"/>
      <c r="D57" s="103"/>
      <c r="E57" s="100"/>
      <c r="F57" s="100"/>
    </row>
    <row r="58" spans="1:20" s="101" customFormat="1" ht="15" x14ac:dyDescent="0.3">
      <c r="A58" s="102" t="s">
        <v>135</v>
      </c>
      <c r="B58" s="98" t="s">
        <v>136</v>
      </c>
      <c r="C58" s="103"/>
      <c r="D58" s="103"/>
      <c r="E58" s="100"/>
      <c r="F58" s="100"/>
    </row>
    <row r="59" spans="1:20" ht="17.25" x14ac:dyDescent="0.35">
      <c r="C59" s="78"/>
      <c r="D59" s="78"/>
    </row>
    <row r="60" spans="1:20" ht="17.25" x14ac:dyDescent="0.35">
      <c r="B60" s="127" t="s">
        <v>126</v>
      </c>
      <c r="C60" s="128"/>
      <c r="D60" s="129">
        <f>MIN(D39:D40,D43,D46:D48)</f>
        <v>0</v>
      </c>
      <c r="E60" s="127"/>
      <c r="F60" s="129">
        <f>MIN(F39,F41:F45,F48:F48)</f>
        <v>0</v>
      </c>
      <c r="G60" s="129"/>
      <c r="H60" s="129">
        <f>MIN(H39:H48)</f>
        <v>1.0024962889546769</v>
      </c>
      <c r="I60" s="127"/>
      <c r="J60" s="127"/>
      <c r="K60" s="129">
        <f>MIN(K39,K41:L42,K45:K48)</f>
        <v>9.7071076999944411E-2</v>
      </c>
    </row>
    <row r="61" spans="1:20" x14ac:dyDescent="0.3">
      <c r="B61" s="127" t="s">
        <v>127</v>
      </c>
      <c r="C61" s="127"/>
      <c r="D61" s="129">
        <f>MAX(D39:D48)</f>
        <v>0</v>
      </c>
      <c r="E61" s="127"/>
      <c r="F61" s="129">
        <f>MAX(F39:F48)</f>
        <v>0</v>
      </c>
      <c r="G61" s="129"/>
      <c r="H61" s="129">
        <f>MAX(H39:H48)</f>
        <v>1.0376500618293409</v>
      </c>
      <c r="I61" s="127"/>
      <c r="J61" s="127"/>
      <c r="K61" s="129">
        <f>MAX(K39,K41:K42,K45:K48)</f>
        <v>0.19047429490138862</v>
      </c>
    </row>
    <row r="62" spans="1:20" hidden="1" x14ac:dyDescent="0.3">
      <c r="B62" s="130" t="s">
        <v>128</v>
      </c>
      <c r="C62" s="127"/>
      <c r="D62" s="131">
        <v>6.9500000000000006E-2</v>
      </c>
      <c r="E62" s="127"/>
      <c r="F62" s="127"/>
      <c r="G62" s="127"/>
      <c r="H62" s="127"/>
      <c r="I62" s="127"/>
      <c r="J62" s="127"/>
      <c r="K62" s="127"/>
    </row>
    <row r="63" spans="1:20" hidden="1" x14ac:dyDescent="0.3">
      <c r="B63" s="127" t="s">
        <v>129</v>
      </c>
      <c r="C63" s="127"/>
      <c r="D63" s="132">
        <v>0.15</v>
      </c>
      <c r="E63" s="127"/>
      <c r="F63" s="127"/>
      <c r="G63" s="127"/>
      <c r="H63" s="127"/>
      <c r="I63" s="127"/>
      <c r="J63" s="127"/>
      <c r="K63" s="127"/>
    </row>
    <row r="67" spans="1:20" s="65" customFormat="1" x14ac:dyDescent="0.3">
      <c r="A67" s="68"/>
      <c r="B67" s="63"/>
      <c r="C67" s="104"/>
      <c r="D67" s="10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</row>
    <row r="68" spans="1:20" s="65" customFormat="1" x14ac:dyDescent="0.3">
      <c r="A68" s="68"/>
      <c r="B68" s="63"/>
      <c r="C68" s="104"/>
      <c r="D68" s="10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</row>
    <row r="69" spans="1:20" s="65" customFormat="1" x14ac:dyDescent="0.3">
      <c r="A69" s="68"/>
      <c r="B69" s="63"/>
      <c r="C69" s="104"/>
      <c r="D69" s="10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</row>
    <row r="70" spans="1:20" s="65" customFormat="1" x14ac:dyDescent="0.3">
      <c r="A70" s="68"/>
      <c r="B70" s="63"/>
      <c r="C70" s="104"/>
      <c r="D70" s="10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</row>
    <row r="71" spans="1:20" s="65" customFormat="1" x14ac:dyDescent="0.3">
      <c r="A71" s="68"/>
      <c r="B71" s="63"/>
      <c r="C71" s="104"/>
      <c r="D71" s="10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</row>
    <row r="72" spans="1:20" s="65" customFormat="1" x14ac:dyDescent="0.3">
      <c r="A72" s="68"/>
      <c r="B72" s="63"/>
      <c r="C72" s="104"/>
      <c r="D72" s="10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</row>
    <row r="73" spans="1:20" s="65" customFormat="1" x14ac:dyDescent="0.3">
      <c r="A73" s="68"/>
      <c r="B73" s="63"/>
      <c r="C73" s="104"/>
      <c r="D73" s="10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</row>
    <row r="74" spans="1:20" s="65" customFormat="1" x14ac:dyDescent="0.3">
      <c r="A74" s="68"/>
      <c r="B74" s="63"/>
      <c r="C74" s="104"/>
      <c r="D74" s="10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</row>
    <row r="75" spans="1:20" s="65" customFormat="1" x14ac:dyDescent="0.3">
      <c r="A75" s="68"/>
      <c r="B75" s="63"/>
      <c r="C75" s="104"/>
      <c r="D75" s="10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</row>
  </sheetData>
  <conditionalFormatting sqref="K34">
    <cfRule type="cellIs" dxfId="5" priority="5" operator="greaterThan">
      <formula>$D$63</formula>
    </cfRule>
    <cfRule type="cellIs" dxfId="4" priority="6" operator="lessThan">
      <formula>$D$48+$D$62</formula>
    </cfRule>
  </conditionalFormatting>
  <conditionalFormatting sqref="K35:K50">
    <cfRule type="cellIs" dxfId="3" priority="3" operator="greaterThan">
      <formula>$D$63</formula>
    </cfRule>
    <cfRule type="cellIs" dxfId="2" priority="4" operator="lessThan">
      <formula>$D$48+$D$62</formula>
    </cfRule>
  </conditionalFormatting>
  <conditionalFormatting sqref="K9:K23">
    <cfRule type="cellIs" dxfId="1" priority="1" operator="greaterThan">
      <formula>$D$63</formula>
    </cfRule>
    <cfRule type="cellIs" dxfId="0" priority="2" operator="lessThan">
      <formula>$D$48+$D$62</formula>
    </cfRule>
  </conditionalFormatting>
  <printOptions horizontalCentered="1"/>
  <pageMargins left="0.5" right="0.5" top="0.75" bottom="0.25" header="0" footer="0"/>
  <pageSetup scale="7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K62"/>
  <sheetViews>
    <sheetView showGridLines="0" tabSelected="1" showOutlineSymbols="0" view="pageBreakPreview" topLeftCell="A58" zoomScaleNormal="90" zoomScaleSheetLayoutView="100" workbookViewId="0">
      <selection activeCell="M12" sqref="M12"/>
    </sheetView>
  </sheetViews>
  <sheetFormatPr defaultColWidth="11.75" defaultRowHeight="16.5" x14ac:dyDescent="0.3"/>
  <cols>
    <col min="1" max="1" width="15.75" style="15" customWidth="1"/>
    <col min="2" max="2" width="22.25" style="15" customWidth="1"/>
    <col min="3" max="3" width="10.25" style="21" customWidth="1"/>
    <col min="4" max="4" width="8.375" style="15" customWidth="1"/>
    <col min="5" max="5" width="11.75" style="21"/>
    <col min="6" max="6" width="8" style="15" customWidth="1"/>
    <col min="7" max="7" width="9.875" style="21" customWidth="1"/>
    <col min="8" max="16384" width="11.75" style="15"/>
  </cols>
  <sheetData>
    <row r="1" spans="1:8" ht="17.25" x14ac:dyDescent="0.35">
      <c r="A1" s="12" t="s">
        <v>71</v>
      </c>
      <c r="B1" s="12"/>
      <c r="C1" s="22"/>
      <c r="D1" s="13"/>
      <c r="E1" s="22"/>
      <c r="F1" s="13"/>
      <c r="G1" s="18" t="s">
        <v>193</v>
      </c>
      <c r="H1" s="14"/>
    </row>
    <row r="2" spans="1:8" ht="17.25" x14ac:dyDescent="0.35">
      <c r="A2" s="17"/>
      <c r="B2" s="17"/>
      <c r="D2" s="16"/>
      <c r="F2" s="16"/>
      <c r="G2" s="19" t="s">
        <v>50</v>
      </c>
    </row>
    <row r="3" spans="1:8" ht="17.25" x14ac:dyDescent="0.35">
      <c r="A3" s="17" t="s">
        <v>72</v>
      </c>
      <c r="B3" s="17"/>
      <c r="D3" s="16"/>
      <c r="F3" s="16"/>
    </row>
    <row r="4" spans="1:8" x14ac:dyDescent="0.3">
      <c r="A4" s="47"/>
      <c r="B4" s="47"/>
      <c r="D4" s="16"/>
      <c r="F4" s="16"/>
    </row>
    <row r="5" spans="1:8" s="54" customFormat="1" ht="15" x14ac:dyDescent="0.3">
      <c r="A5" s="52"/>
      <c r="B5" s="52"/>
      <c r="C5" s="53" t="s">
        <v>31</v>
      </c>
      <c r="E5" s="53" t="s">
        <v>31</v>
      </c>
      <c r="G5" s="53" t="s">
        <v>31</v>
      </c>
    </row>
    <row r="6" spans="1:8" ht="17.25" x14ac:dyDescent="0.35">
      <c r="A6" s="14"/>
      <c r="B6" s="14"/>
      <c r="C6" s="20"/>
      <c r="D6" s="49"/>
      <c r="E6" s="20" t="s">
        <v>63</v>
      </c>
      <c r="F6" s="49"/>
      <c r="G6" s="20" t="s">
        <v>65</v>
      </c>
    </row>
    <row r="7" spans="1:8" ht="17.25" x14ac:dyDescent="0.35">
      <c r="A7" s="14"/>
      <c r="B7" s="14"/>
      <c r="C7" s="20" t="s">
        <v>61</v>
      </c>
      <c r="D7" s="49"/>
      <c r="E7" s="20" t="s">
        <v>103</v>
      </c>
      <c r="F7" s="49"/>
      <c r="G7" s="20" t="s">
        <v>66</v>
      </c>
    </row>
    <row r="8" spans="1:8" ht="17.25" x14ac:dyDescent="0.35">
      <c r="A8" s="24"/>
      <c r="B8" s="24"/>
      <c r="C8" s="50" t="s">
        <v>62</v>
      </c>
      <c r="D8" s="51"/>
      <c r="E8" s="50" t="s">
        <v>64</v>
      </c>
      <c r="F8" s="51"/>
      <c r="G8" s="50" t="s">
        <v>67</v>
      </c>
    </row>
    <row r="9" spans="1:8" x14ac:dyDescent="0.3">
      <c r="A9" s="25">
        <v>1986</v>
      </c>
      <c r="B9" s="25"/>
      <c r="C9" s="26">
        <v>7.7983333333333335E-2</v>
      </c>
      <c r="D9" s="27"/>
      <c r="E9" s="26">
        <v>0.13930000000000001</v>
      </c>
      <c r="F9" s="27"/>
      <c r="G9" s="26">
        <f t="shared" ref="G9:G40" si="0">E9-C9</f>
        <v>6.1316666666666672E-2</v>
      </c>
      <c r="H9" s="28"/>
    </row>
    <row r="10" spans="1:8" x14ac:dyDescent="0.3">
      <c r="A10" s="25">
        <v>1987</v>
      </c>
      <c r="B10" s="25"/>
      <c r="C10" s="26">
        <v>8.5800000000000001E-2</v>
      </c>
      <c r="D10" s="27"/>
      <c r="E10" s="26">
        <v>0.12989999999999999</v>
      </c>
      <c r="F10" s="27"/>
      <c r="G10" s="26">
        <f t="shared" si="0"/>
        <v>4.4099999999999986E-2</v>
      </c>
      <c r="H10" s="28"/>
    </row>
    <row r="11" spans="1:8" x14ac:dyDescent="0.3">
      <c r="A11" s="25">
        <v>1988</v>
      </c>
      <c r="B11" s="25"/>
      <c r="C11" s="26">
        <v>8.9591666666666681E-2</v>
      </c>
      <c r="D11" s="27"/>
      <c r="E11" s="26">
        <v>0.12790000000000001</v>
      </c>
      <c r="F11" s="27"/>
      <c r="G11" s="26">
        <f t="shared" si="0"/>
        <v>3.8308333333333333E-2</v>
      </c>
      <c r="H11" s="28"/>
    </row>
    <row r="12" spans="1:8" x14ac:dyDescent="0.3">
      <c r="A12" s="25">
        <v>1989</v>
      </c>
      <c r="B12" s="25"/>
      <c r="C12" s="26">
        <v>8.4491666666666645E-2</v>
      </c>
      <c r="D12" s="27"/>
      <c r="E12" s="26">
        <v>0.12970000000000001</v>
      </c>
      <c r="F12" s="27"/>
      <c r="G12" s="26">
        <f t="shared" si="0"/>
        <v>4.5208333333333364E-2</v>
      </c>
      <c r="H12" s="28"/>
    </row>
    <row r="13" spans="1:8" x14ac:dyDescent="0.3">
      <c r="A13" s="25">
        <v>1990</v>
      </c>
      <c r="B13" s="25"/>
      <c r="C13" s="26">
        <v>8.6083333333333331E-2</v>
      </c>
      <c r="D13" s="27"/>
      <c r="E13" s="26">
        <v>0.127</v>
      </c>
      <c r="F13" s="27"/>
      <c r="G13" s="26">
        <f t="shared" si="0"/>
        <v>4.0916666666666671E-2</v>
      </c>
      <c r="H13" s="28"/>
    </row>
    <row r="14" spans="1:8" x14ac:dyDescent="0.3">
      <c r="A14" s="25">
        <v>1991</v>
      </c>
      <c r="B14" s="25"/>
      <c r="C14" s="26">
        <v>8.1358333333333324E-2</v>
      </c>
      <c r="D14" s="27"/>
      <c r="E14" s="26">
        <v>0.1255</v>
      </c>
      <c r="F14" s="27"/>
      <c r="G14" s="26">
        <f t="shared" si="0"/>
        <v>4.4141666666666676E-2</v>
      </c>
      <c r="H14" s="28"/>
    </row>
    <row r="15" spans="1:8" x14ac:dyDescent="0.3">
      <c r="A15" s="25">
        <v>1992</v>
      </c>
      <c r="B15" s="25"/>
      <c r="C15" s="26">
        <v>7.6666666666666661E-2</v>
      </c>
      <c r="D15" s="27"/>
      <c r="E15" s="26">
        <v>0.12089999999999999</v>
      </c>
      <c r="F15" s="27"/>
      <c r="G15" s="26">
        <f t="shared" si="0"/>
        <v>4.4233333333333333E-2</v>
      </c>
      <c r="H15" s="28"/>
    </row>
    <row r="16" spans="1:8" x14ac:dyDescent="0.3">
      <c r="A16" s="25">
        <v>1993</v>
      </c>
      <c r="B16" s="25"/>
      <c r="C16" s="26">
        <v>6.5983333333333324E-2</v>
      </c>
      <c r="D16" s="27"/>
      <c r="E16" s="26">
        <v>0.11409999999999999</v>
      </c>
      <c r="F16" s="27"/>
      <c r="G16" s="26">
        <f t="shared" si="0"/>
        <v>4.8116666666666669E-2</v>
      </c>
      <c r="H16" s="28"/>
    </row>
    <row r="17" spans="1:8" x14ac:dyDescent="0.3">
      <c r="A17" s="25">
        <v>1994</v>
      </c>
      <c r="B17" s="25"/>
      <c r="C17" s="26">
        <v>7.3700000000000002E-2</v>
      </c>
      <c r="D17" s="27"/>
      <c r="E17" s="26">
        <v>0.1134</v>
      </c>
      <c r="F17" s="27"/>
      <c r="G17" s="26">
        <f t="shared" si="0"/>
        <v>3.9699999999999999E-2</v>
      </c>
      <c r="H17" s="28"/>
    </row>
    <row r="18" spans="1:8" x14ac:dyDescent="0.3">
      <c r="A18" s="25">
        <v>1995</v>
      </c>
      <c r="B18" s="25"/>
      <c r="C18" s="26">
        <v>6.8841666666666676E-2</v>
      </c>
      <c r="D18" s="27"/>
      <c r="E18" s="26">
        <v>0.11550000000000001</v>
      </c>
      <c r="F18" s="27"/>
      <c r="G18" s="26">
        <f t="shared" si="0"/>
        <v>4.6658333333333329E-2</v>
      </c>
      <c r="H18" s="28"/>
    </row>
    <row r="19" spans="1:8" x14ac:dyDescent="0.3">
      <c r="A19" s="25">
        <v>1996</v>
      </c>
      <c r="B19" s="25"/>
      <c r="C19" s="26">
        <v>6.700833333333335E-2</v>
      </c>
      <c r="D19" s="27"/>
      <c r="E19" s="26">
        <v>0.1139</v>
      </c>
      <c r="F19" s="27"/>
      <c r="G19" s="26">
        <f t="shared" si="0"/>
        <v>4.6891666666666651E-2</v>
      </c>
      <c r="H19" s="28"/>
    </row>
    <row r="20" spans="1:8" x14ac:dyDescent="0.3">
      <c r="A20" s="25">
        <v>1997</v>
      </c>
      <c r="B20" s="25"/>
      <c r="C20" s="26">
        <v>6.6058333333333344E-2</v>
      </c>
      <c r="D20" s="27"/>
      <c r="E20" s="26">
        <v>0.114</v>
      </c>
      <c r="F20" s="27"/>
      <c r="G20" s="26">
        <f t="shared" si="0"/>
        <v>4.794166666666666E-2</v>
      </c>
      <c r="H20" s="28"/>
    </row>
    <row r="21" spans="1:8" x14ac:dyDescent="0.3">
      <c r="A21" s="25">
        <v>1998</v>
      </c>
      <c r="B21" s="25"/>
      <c r="C21" s="26">
        <v>5.5783333333333331E-2</v>
      </c>
      <c r="D21" s="27"/>
      <c r="E21" s="26">
        <v>0.1166</v>
      </c>
      <c r="F21" s="27"/>
      <c r="G21" s="26">
        <f t="shared" si="0"/>
        <v>6.0816666666666665E-2</v>
      </c>
      <c r="H21" s="28"/>
    </row>
    <row r="22" spans="1:8" x14ac:dyDescent="0.3">
      <c r="A22" s="29">
        <v>1999</v>
      </c>
      <c r="B22" s="29"/>
      <c r="C22" s="26">
        <v>5.8658333333333333E-2</v>
      </c>
      <c r="D22" s="27"/>
      <c r="E22" s="26">
        <v>0.1077</v>
      </c>
      <c r="F22" s="27"/>
      <c r="G22" s="26">
        <f t="shared" si="0"/>
        <v>4.9041666666666671E-2</v>
      </c>
      <c r="H22" s="28"/>
    </row>
    <row r="23" spans="1:8" x14ac:dyDescent="0.3">
      <c r="A23" s="25">
        <v>2000</v>
      </c>
      <c r="B23" s="25"/>
      <c r="C23" s="26">
        <v>5.9425000000000006E-2</v>
      </c>
      <c r="D23" s="27"/>
      <c r="E23" s="26">
        <v>0.1143</v>
      </c>
      <c r="F23" s="27"/>
      <c r="G23" s="26">
        <f t="shared" si="0"/>
        <v>5.4874999999999993E-2</v>
      </c>
      <c r="H23" s="28"/>
    </row>
    <row r="24" spans="1:8" x14ac:dyDescent="0.3">
      <c r="A24" s="25">
        <v>2001</v>
      </c>
      <c r="B24" s="25"/>
      <c r="C24" s="26">
        <v>5.4933333333333334E-2</v>
      </c>
      <c r="D24" s="27"/>
      <c r="E24" s="26">
        <v>0.1109</v>
      </c>
      <c r="F24" s="27"/>
      <c r="G24" s="26">
        <f t="shared" si="0"/>
        <v>5.5966666666666665E-2</v>
      </c>
      <c r="H24" s="28"/>
    </row>
    <row r="25" spans="1:8" x14ac:dyDescent="0.3">
      <c r="A25" s="25">
        <v>2002</v>
      </c>
      <c r="B25" s="25"/>
      <c r="C25" s="26">
        <v>5.4300000000000008E-2</v>
      </c>
      <c r="D25" s="27"/>
      <c r="E25" s="30">
        <v>0.1116</v>
      </c>
      <c r="F25" s="27"/>
      <c r="G25" s="26">
        <f t="shared" si="0"/>
        <v>5.7299999999999997E-2</v>
      </c>
      <c r="H25" s="28"/>
    </row>
    <row r="26" spans="1:8" x14ac:dyDescent="0.3">
      <c r="A26" s="29">
        <v>2003</v>
      </c>
      <c r="B26" s="29"/>
      <c r="C26" s="26">
        <v>4.9575000000000001E-2</v>
      </c>
      <c r="D26" s="27"/>
      <c r="E26" s="30">
        <v>0.10970000000000001</v>
      </c>
      <c r="F26" s="27"/>
      <c r="G26" s="26">
        <f t="shared" si="0"/>
        <v>6.0125000000000005E-2</v>
      </c>
      <c r="H26" s="28"/>
    </row>
    <row r="27" spans="1:8" x14ac:dyDescent="0.3">
      <c r="A27" s="31">
        <v>2004</v>
      </c>
      <c r="B27" s="31"/>
      <c r="C27" s="26">
        <v>5.046666666666666E-2</v>
      </c>
      <c r="D27" s="27"/>
      <c r="E27" s="30">
        <v>0.1075</v>
      </c>
      <c r="F27" s="27"/>
      <c r="G27" s="26">
        <f t="shared" si="0"/>
        <v>5.7033333333333339E-2</v>
      </c>
      <c r="H27" s="28"/>
    </row>
    <row r="28" spans="1:8" x14ac:dyDescent="0.3">
      <c r="A28" s="29">
        <v>2005</v>
      </c>
      <c r="B28" s="29"/>
      <c r="C28" s="30">
        <v>4.6458333333333331E-2</v>
      </c>
      <c r="D28" s="32"/>
      <c r="E28" s="30">
        <v>0.10539999999999999</v>
      </c>
      <c r="F28" s="27"/>
      <c r="G28" s="26">
        <f t="shared" si="0"/>
        <v>5.8941666666666663E-2</v>
      </c>
      <c r="H28" s="28"/>
    </row>
    <row r="29" spans="1:8" x14ac:dyDescent="0.3">
      <c r="A29" s="31">
        <v>2006</v>
      </c>
      <c r="B29" s="31"/>
      <c r="C29" s="30">
        <v>4.8981818181818175E-2</v>
      </c>
      <c r="D29" s="32"/>
      <c r="E29" s="30">
        <v>0.10340000000000001</v>
      </c>
      <c r="F29" s="27"/>
      <c r="G29" s="26">
        <f t="shared" si="0"/>
        <v>5.4418181818181831E-2</v>
      </c>
      <c r="H29" s="28"/>
    </row>
    <row r="30" spans="1:8" x14ac:dyDescent="0.3">
      <c r="A30" s="29">
        <v>2007</v>
      </c>
      <c r="B30" s="29"/>
      <c r="C30" s="30">
        <v>4.8341666666666672E-2</v>
      </c>
      <c r="D30" s="32"/>
      <c r="E30" s="30">
        <v>0.1031</v>
      </c>
      <c r="F30" s="27"/>
      <c r="G30" s="26">
        <f t="shared" si="0"/>
        <v>5.4758333333333326E-2</v>
      </c>
      <c r="H30" s="28"/>
    </row>
    <row r="31" spans="1:8" x14ac:dyDescent="0.3">
      <c r="A31" s="31">
        <v>2008</v>
      </c>
      <c r="B31" s="31"/>
      <c r="C31" s="30">
        <v>4.2791666666666665E-2</v>
      </c>
      <c r="D31" s="32"/>
      <c r="E31" s="30">
        <v>0.1037</v>
      </c>
      <c r="F31" s="27"/>
      <c r="G31" s="26">
        <f t="shared" si="0"/>
        <v>6.0908333333333335E-2</v>
      </c>
      <c r="H31" s="28"/>
    </row>
    <row r="32" spans="1:8" x14ac:dyDescent="0.3">
      <c r="A32" s="29">
        <v>2009</v>
      </c>
      <c r="B32" s="29"/>
      <c r="C32" s="30">
        <v>4.0691666666666668E-2</v>
      </c>
      <c r="D32" s="32"/>
      <c r="E32" s="30">
        <v>0.1052</v>
      </c>
      <c r="F32" s="27"/>
      <c r="G32" s="26">
        <f t="shared" si="0"/>
        <v>6.4508333333333334E-2</v>
      </c>
      <c r="H32" s="28"/>
    </row>
    <row r="33" spans="1:11" x14ac:dyDescent="0.3">
      <c r="A33" s="31">
        <v>2010</v>
      </c>
      <c r="B33" s="31"/>
      <c r="C33" s="30">
        <v>4.2508333333333335E-2</v>
      </c>
      <c r="D33" s="32"/>
      <c r="E33" s="30">
        <v>0.10290000000000001</v>
      </c>
      <c r="F33" s="27"/>
      <c r="G33" s="26">
        <f t="shared" si="0"/>
        <v>6.039166666666667E-2</v>
      </c>
      <c r="H33" s="28"/>
    </row>
    <row r="34" spans="1:11" x14ac:dyDescent="0.3">
      <c r="A34" s="29">
        <v>2011</v>
      </c>
      <c r="B34" s="29"/>
      <c r="C34" s="30">
        <v>3.9108333333333335E-2</v>
      </c>
      <c r="D34" s="32"/>
      <c r="E34" s="30">
        <v>0.1019</v>
      </c>
      <c r="F34" s="27"/>
      <c r="G34" s="26">
        <f t="shared" si="0"/>
        <v>6.2791666666666662E-2</v>
      </c>
      <c r="H34" s="28"/>
    </row>
    <row r="35" spans="1:11" x14ac:dyDescent="0.3">
      <c r="A35" s="31">
        <v>2012</v>
      </c>
      <c r="B35" s="31"/>
      <c r="C35" s="30">
        <v>2.9208333333333333E-2</v>
      </c>
      <c r="D35" s="32"/>
      <c r="E35" s="30">
        <v>0.10009999999999999</v>
      </c>
      <c r="F35" s="27"/>
      <c r="G35" s="26">
        <f t="shared" si="0"/>
        <v>7.0891666666666658E-2</v>
      </c>
      <c r="H35" s="28"/>
    </row>
    <row r="36" spans="1:11" x14ac:dyDescent="0.3">
      <c r="A36" s="29">
        <v>2013</v>
      </c>
      <c r="B36" s="29"/>
      <c r="C36" s="30">
        <v>3.4483333333333331E-2</v>
      </c>
      <c r="D36" s="32"/>
      <c r="E36" s="30">
        <v>9.8100000000000007E-2</v>
      </c>
      <c r="F36" s="27"/>
      <c r="G36" s="26">
        <f t="shared" si="0"/>
        <v>6.3616666666666682E-2</v>
      </c>
      <c r="H36" s="28"/>
    </row>
    <row r="37" spans="1:11" x14ac:dyDescent="0.3">
      <c r="A37" s="31">
        <v>2014</v>
      </c>
      <c r="B37" s="31"/>
      <c r="C37" s="30">
        <v>3.3399999999999999E-2</v>
      </c>
      <c r="D37" s="32"/>
      <c r="E37" s="30">
        <v>9.7500000000000003E-2</v>
      </c>
      <c r="F37" s="27"/>
      <c r="G37" s="26">
        <f t="shared" si="0"/>
        <v>6.4100000000000004E-2</v>
      </c>
      <c r="H37" s="28"/>
    </row>
    <row r="38" spans="1:11" x14ac:dyDescent="0.3">
      <c r="A38" s="31">
        <v>2015</v>
      </c>
      <c r="B38" s="31"/>
      <c r="C38" s="30">
        <v>2.8408333333333331E-2</v>
      </c>
      <c r="D38" s="32"/>
      <c r="E38" s="30">
        <v>9.6000000000000002E-2</v>
      </c>
      <c r="F38" s="27"/>
      <c r="G38" s="26">
        <f t="shared" si="0"/>
        <v>6.7591666666666675E-2</v>
      </c>
      <c r="H38" s="28"/>
    </row>
    <row r="39" spans="1:11" x14ac:dyDescent="0.3">
      <c r="A39" s="31">
        <v>2016</v>
      </c>
      <c r="B39" s="31"/>
      <c r="C39" s="30">
        <v>2.5975000000000002E-2</v>
      </c>
      <c r="D39" s="32"/>
      <c r="E39" s="30">
        <v>9.6000000000000002E-2</v>
      </c>
      <c r="F39" s="27"/>
      <c r="G39" s="26">
        <f t="shared" si="0"/>
        <v>7.0025000000000004E-2</v>
      </c>
      <c r="H39" s="28"/>
    </row>
    <row r="40" spans="1:11" x14ac:dyDescent="0.3">
      <c r="A40" s="31" t="s">
        <v>188</v>
      </c>
      <c r="B40" s="31"/>
      <c r="C40" s="30">
        <v>2.9716666666666666E-2</v>
      </c>
      <c r="D40" s="32"/>
      <c r="E40" s="30">
        <v>9.6100000000000005E-2</v>
      </c>
      <c r="F40" s="27"/>
      <c r="G40" s="26">
        <f t="shared" si="0"/>
        <v>6.6383333333333336E-2</v>
      </c>
      <c r="H40" s="28"/>
    </row>
    <row r="41" spans="1:11" x14ac:dyDescent="0.3">
      <c r="A41" s="29" t="s">
        <v>47</v>
      </c>
      <c r="B41" s="29"/>
      <c r="C41" s="33">
        <f>AVERAGE(C9:C40)</f>
        <v>5.6149431818181814E-2</v>
      </c>
      <c r="E41" s="33">
        <f>AVERAGE(E9:E40)</f>
        <v>0.11121250000000001</v>
      </c>
      <c r="G41" s="33">
        <f>AVERAGE(G9:G40)</f>
        <v>5.5063068181818178E-2</v>
      </c>
      <c r="H41" s="27"/>
    </row>
    <row r="42" spans="1:11" x14ac:dyDescent="0.3">
      <c r="A42" s="25"/>
      <c r="B42" s="25"/>
      <c r="G42" s="26"/>
      <c r="H42" s="27"/>
    </row>
    <row r="43" spans="1:11" ht="17.25" x14ac:dyDescent="0.35">
      <c r="A43" s="34" t="s">
        <v>68</v>
      </c>
      <c r="B43" s="34"/>
    </row>
    <row r="44" spans="1:11" x14ac:dyDescent="0.3">
      <c r="A44" s="35" t="s">
        <v>60</v>
      </c>
      <c r="B44" s="35"/>
      <c r="G44" s="36">
        <v>3.5999999999999997E-2</v>
      </c>
    </row>
    <row r="45" spans="1:11" x14ac:dyDescent="0.3">
      <c r="A45" s="35" t="s">
        <v>54</v>
      </c>
      <c r="B45" s="35"/>
      <c r="G45" s="37">
        <f>C41</f>
        <v>5.6149431818181814E-2</v>
      </c>
      <c r="K45" s="25"/>
    </row>
    <row r="46" spans="1:11" x14ac:dyDescent="0.3">
      <c r="A46" s="35" t="s">
        <v>55</v>
      </c>
      <c r="B46" s="35"/>
      <c r="G46" s="38">
        <f>G44-G45</f>
        <v>-2.0149431818181816E-2</v>
      </c>
      <c r="K46" s="25"/>
    </row>
    <row r="47" spans="1:11" ht="4.1500000000000004" customHeight="1" x14ac:dyDescent="0.3">
      <c r="A47" s="25"/>
      <c r="B47" s="25"/>
      <c r="G47" s="37"/>
      <c r="K47" s="25"/>
    </row>
    <row r="48" spans="1:11" x14ac:dyDescent="0.3">
      <c r="A48" s="23" t="s">
        <v>69</v>
      </c>
      <c r="B48" s="35"/>
      <c r="G48" s="37">
        <f>'AMM-17 (2)'!B45</f>
        <v>-0.44200990553727054</v>
      </c>
      <c r="K48" s="25"/>
    </row>
    <row r="49" spans="1:11" x14ac:dyDescent="0.3">
      <c r="A49" s="35" t="s">
        <v>73</v>
      </c>
      <c r="B49" s="35"/>
      <c r="G49" s="38">
        <f>G48*G46</f>
        <v>8.9062484545842178E-3</v>
      </c>
      <c r="K49" s="25"/>
    </row>
    <row r="50" spans="1:11" ht="4.1500000000000004" customHeight="1" x14ac:dyDescent="0.3">
      <c r="A50" s="25"/>
      <c r="B50" s="25"/>
      <c r="G50" s="37"/>
      <c r="K50" s="25"/>
    </row>
    <row r="51" spans="1:11" x14ac:dyDescent="0.3">
      <c r="A51" s="35" t="s">
        <v>56</v>
      </c>
      <c r="B51" s="35"/>
      <c r="G51" s="37">
        <f>G41</f>
        <v>5.5063068181818178E-2</v>
      </c>
      <c r="K51" s="25"/>
    </row>
    <row r="52" spans="1:11" x14ac:dyDescent="0.3">
      <c r="A52" s="35" t="s">
        <v>57</v>
      </c>
      <c r="B52" s="35"/>
      <c r="G52" s="39">
        <f>G49</f>
        <v>8.9062484545842178E-3</v>
      </c>
      <c r="K52" s="25"/>
    </row>
    <row r="53" spans="1:11" x14ac:dyDescent="0.3">
      <c r="A53" s="35" t="s">
        <v>58</v>
      </c>
      <c r="B53" s="35"/>
      <c r="G53" s="40">
        <f>G51+G52</f>
        <v>6.3969316636402401E-2</v>
      </c>
      <c r="K53" s="25"/>
    </row>
    <row r="54" spans="1:11" ht="4.1500000000000004" customHeight="1" x14ac:dyDescent="0.3">
      <c r="A54" s="14"/>
      <c r="B54" s="14"/>
      <c r="G54" s="41"/>
      <c r="K54" s="25"/>
    </row>
    <row r="55" spans="1:11" x14ac:dyDescent="0.3">
      <c r="A55" s="35" t="str">
        <f>A44</f>
        <v>Projected Treasury Bond Yield (b)</v>
      </c>
      <c r="B55" s="35"/>
      <c r="G55" s="36">
        <f>G44</f>
        <v>3.5999999999999997E-2</v>
      </c>
      <c r="K55" s="25"/>
    </row>
    <row r="56" spans="1:11" ht="6.6" customHeight="1" x14ac:dyDescent="0.3">
      <c r="A56" s="35"/>
      <c r="B56" s="35"/>
      <c r="G56" s="36"/>
      <c r="K56" s="25"/>
    </row>
    <row r="57" spans="1:11" ht="18" thickBot="1" x14ac:dyDescent="0.4">
      <c r="A57" s="42" t="s">
        <v>59</v>
      </c>
      <c r="B57" s="42"/>
      <c r="C57" s="43"/>
      <c r="D57" s="42"/>
      <c r="E57" s="43"/>
      <c r="F57" s="42"/>
      <c r="G57" s="44">
        <f>G55+G53</f>
        <v>9.9969316636402406E-2</v>
      </c>
      <c r="K57" s="25"/>
    </row>
    <row r="58" spans="1:11" ht="18" thickTop="1" x14ac:dyDescent="0.35">
      <c r="A58" s="42"/>
      <c r="B58" s="42"/>
      <c r="C58" s="43"/>
      <c r="D58" s="42"/>
      <c r="E58" s="43"/>
      <c r="F58" s="42"/>
      <c r="G58" s="48"/>
      <c r="K58" s="25"/>
    </row>
    <row r="59" spans="1:11" ht="17.25" x14ac:dyDescent="0.35">
      <c r="C59" s="43"/>
      <c r="D59" s="42"/>
      <c r="E59" s="43"/>
      <c r="F59" s="42"/>
      <c r="G59" s="48"/>
      <c r="K59" s="25"/>
    </row>
    <row r="60" spans="1:11" s="54" customFormat="1" ht="15" x14ac:dyDescent="0.3">
      <c r="A60" s="45" t="s">
        <v>195</v>
      </c>
      <c r="B60" s="45"/>
      <c r="C60" s="55"/>
      <c r="D60" s="56"/>
      <c r="E60" s="55"/>
      <c r="F60" s="56"/>
      <c r="G60" s="57"/>
      <c r="K60" s="45"/>
    </row>
    <row r="61" spans="1:11" s="61" customFormat="1" ht="15" x14ac:dyDescent="0.3">
      <c r="A61" s="46" t="s">
        <v>194</v>
      </c>
      <c r="B61" s="46"/>
      <c r="C61" s="58"/>
      <c r="D61" s="59"/>
      <c r="E61" s="58"/>
      <c r="F61" s="59"/>
      <c r="G61" s="60"/>
      <c r="K61" s="45"/>
    </row>
    <row r="62" spans="1:11" s="61" customFormat="1" ht="15" x14ac:dyDescent="0.3">
      <c r="A62" s="46" t="s">
        <v>70</v>
      </c>
      <c r="B62" s="46"/>
      <c r="C62" s="58"/>
      <c r="D62" s="59"/>
      <c r="E62" s="58"/>
      <c r="F62" s="59"/>
      <c r="G62" s="60"/>
      <c r="K62" s="45"/>
    </row>
  </sheetData>
  <pageMargins left="1.5" right="0.5" top="1" bottom="0.5" header="0.5" footer="0.5"/>
  <pageSetup scale="69" firstPageNumber="3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I48"/>
  <sheetViews>
    <sheetView showGridLines="0" tabSelected="1" showOutlineSymbols="0" view="pageBreakPreview" zoomScale="60" zoomScaleNormal="80" workbookViewId="0">
      <selection activeCell="M12" sqref="M12"/>
    </sheetView>
  </sheetViews>
  <sheetFormatPr defaultColWidth="11.75" defaultRowHeight="16.5" x14ac:dyDescent="0.3"/>
  <cols>
    <col min="1" max="1" width="21.75" style="15" customWidth="1"/>
    <col min="2" max="2" width="21.5" style="15" bestFit="1" customWidth="1"/>
    <col min="3" max="3" width="15.75" style="15" customWidth="1"/>
    <col min="4" max="4" width="14.5" style="15" customWidth="1"/>
    <col min="5" max="5" width="14" style="15" bestFit="1" customWidth="1"/>
    <col min="6" max="6" width="18.5" style="15" customWidth="1"/>
    <col min="7" max="7" width="11.875" style="15" bestFit="1" customWidth="1"/>
    <col min="8" max="8" width="14.5" style="15" customWidth="1"/>
    <col min="9" max="9" width="13.5" style="15" customWidth="1"/>
    <col min="10" max="16384" width="11.75" style="15"/>
  </cols>
  <sheetData>
    <row r="1" spans="1:9" ht="17.25" x14ac:dyDescent="0.35">
      <c r="A1" s="12" t="s">
        <v>71</v>
      </c>
      <c r="B1" s="13"/>
      <c r="C1" s="13"/>
      <c r="D1" s="13"/>
      <c r="E1" s="13"/>
      <c r="I1" s="18" t="s">
        <v>193</v>
      </c>
    </row>
    <row r="2" spans="1:9" ht="17.25" x14ac:dyDescent="0.35">
      <c r="A2" s="17"/>
      <c r="B2" s="16"/>
      <c r="C2" s="16"/>
      <c r="D2" s="16"/>
      <c r="E2" s="16"/>
      <c r="I2" s="19" t="s">
        <v>51</v>
      </c>
    </row>
    <row r="3" spans="1:9" ht="17.25" x14ac:dyDescent="0.35">
      <c r="A3" s="17" t="s">
        <v>74</v>
      </c>
      <c r="B3" s="16"/>
      <c r="C3" s="16"/>
      <c r="D3" s="16"/>
      <c r="E3" s="16"/>
      <c r="F3" s="16"/>
      <c r="G3" s="22"/>
    </row>
    <row r="28" spans="1:9" x14ac:dyDescent="0.3">
      <c r="A28" t="s">
        <v>1</v>
      </c>
      <c r="B28"/>
      <c r="C28"/>
      <c r="D28"/>
      <c r="E28"/>
      <c r="F28"/>
      <c r="G28"/>
      <c r="H28"/>
      <c r="I28"/>
    </row>
    <row r="29" spans="1:9" ht="17.25" thickBot="1" x14ac:dyDescent="0.35">
      <c r="A29"/>
      <c r="B29"/>
      <c r="C29"/>
      <c r="D29"/>
      <c r="E29"/>
      <c r="F29"/>
      <c r="G29"/>
      <c r="H29"/>
      <c r="I29"/>
    </row>
    <row r="30" spans="1:9" ht="17.25" x14ac:dyDescent="0.35">
      <c r="A30" s="111" t="s">
        <v>2</v>
      </c>
      <c r="B30" s="111"/>
      <c r="C30"/>
      <c r="D30"/>
      <c r="E30"/>
      <c r="F30"/>
      <c r="G30"/>
      <c r="H30"/>
      <c r="I30"/>
    </row>
    <row r="31" spans="1:9" x14ac:dyDescent="0.3">
      <c r="A31" s="108" t="s">
        <v>3</v>
      </c>
      <c r="B31" s="108">
        <v>0.90558299325089497</v>
      </c>
      <c r="C31"/>
      <c r="D31"/>
      <c r="E31"/>
      <c r="F31"/>
      <c r="G31"/>
      <c r="H31"/>
      <c r="I31"/>
    </row>
    <row r="32" spans="1:9" x14ac:dyDescent="0.3">
      <c r="A32" s="108" t="s">
        <v>4</v>
      </c>
      <c r="B32" s="108">
        <v>0.82008055766525045</v>
      </c>
      <c r="C32"/>
      <c r="D32"/>
      <c r="E32"/>
      <c r="F32"/>
      <c r="G32"/>
      <c r="H32"/>
      <c r="I32"/>
    </row>
    <row r="33" spans="1:9" x14ac:dyDescent="0.3">
      <c r="A33" s="108" t="s">
        <v>5</v>
      </c>
      <c r="B33" s="108">
        <v>0.81408324292075884</v>
      </c>
      <c r="C33"/>
      <c r="D33"/>
      <c r="E33"/>
      <c r="F33"/>
      <c r="G33"/>
      <c r="H33"/>
      <c r="I33"/>
    </row>
    <row r="34" spans="1:9" x14ac:dyDescent="0.3">
      <c r="A34" s="108" t="s">
        <v>6</v>
      </c>
      <c r="B34" s="108">
        <v>4.0183124871125478E-3</v>
      </c>
      <c r="C34"/>
      <c r="D34"/>
      <c r="E34"/>
      <c r="F34"/>
      <c r="G34"/>
      <c r="H34"/>
      <c r="I34"/>
    </row>
    <row r="35" spans="1:9" ht="17.25" thickBot="1" x14ac:dyDescent="0.35">
      <c r="A35" s="109" t="s">
        <v>7</v>
      </c>
      <c r="B35" s="109">
        <v>32</v>
      </c>
      <c r="C35"/>
      <c r="D35"/>
      <c r="E35"/>
      <c r="F35"/>
      <c r="G35"/>
      <c r="H35"/>
      <c r="I35"/>
    </row>
    <row r="36" spans="1:9" x14ac:dyDescent="0.3">
      <c r="A36"/>
      <c r="B36"/>
      <c r="C36"/>
      <c r="D36"/>
      <c r="E36"/>
      <c r="F36"/>
      <c r="G36"/>
      <c r="H36"/>
      <c r="I36"/>
    </row>
    <row r="37" spans="1:9" ht="17.25" thickBot="1" x14ac:dyDescent="0.35">
      <c r="A37" t="s">
        <v>8</v>
      </c>
      <c r="B37"/>
      <c r="C37"/>
      <c r="D37"/>
      <c r="E37"/>
      <c r="F37"/>
      <c r="G37"/>
      <c r="H37"/>
      <c r="I37"/>
    </row>
    <row r="38" spans="1:9" ht="17.25" x14ac:dyDescent="0.35">
      <c r="A38" s="110"/>
      <c r="B38" s="110" t="s">
        <v>13</v>
      </c>
      <c r="C38" s="110" t="s">
        <v>14</v>
      </c>
      <c r="D38" s="110" t="s">
        <v>15</v>
      </c>
      <c r="E38" s="110" t="s">
        <v>16</v>
      </c>
      <c r="F38" s="110" t="s">
        <v>17</v>
      </c>
      <c r="G38"/>
      <c r="H38"/>
      <c r="I38"/>
    </row>
    <row r="39" spans="1:9" x14ac:dyDescent="0.3">
      <c r="A39" s="108" t="s">
        <v>9</v>
      </c>
      <c r="B39" s="108">
        <v>1</v>
      </c>
      <c r="C39" s="108">
        <v>2.207939088682971E-3</v>
      </c>
      <c r="D39" s="108">
        <v>2.207939088682971E-3</v>
      </c>
      <c r="E39" s="108">
        <v>136.74129049479504</v>
      </c>
      <c r="F39" s="108">
        <v>1.0618733484654799E-12</v>
      </c>
      <c r="G39"/>
      <c r="H39"/>
      <c r="I39"/>
    </row>
    <row r="40" spans="1:9" x14ac:dyDescent="0.3">
      <c r="A40" s="108" t="s">
        <v>10</v>
      </c>
      <c r="B40" s="108">
        <v>30</v>
      </c>
      <c r="C40" s="108">
        <v>4.8440505732253879E-4</v>
      </c>
      <c r="D40" s="108">
        <v>1.6146835244084628E-5</v>
      </c>
      <c r="E40" s="108"/>
      <c r="F40" s="108"/>
      <c r="G40"/>
      <c r="H40"/>
      <c r="I40"/>
    </row>
    <row r="41" spans="1:9" ht="17.25" thickBot="1" x14ac:dyDescent="0.35">
      <c r="A41" s="109" t="s">
        <v>11</v>
      </c>
      <c r="B41" s="109">
        <v>31</v>
      </c>
      <c r="C41" s="109">
        <v>2.6923441460055099E-3</v>
      </c>
      <c r="D41" s="109"/>
      <c r="E41" s="109"/>
      <c r="F41" s="109"/>
      <c r="G41"/>
      <c r="H41"/>
      <c r="I41"/>
    </row>
    <row r="42" spans="1:9" ht="17.25" thickBot="1" x14ac:dyDescent="0.35">
      <c r="A42"/>
      <c r="B42"/>
      <c r="C42"/>
      <c r="D42"/>
      <c r="E42"/>
      <c r="F42"/>
      <c r="G42"/>
      <c r="H42"/>
      <c r="I42"/>
    </row>
    <row r="43" spans="1:9" ht="17.25" x14ac:dyDescent="0.35">
      <c r="A43" s="110"/>
      <c r="B43" s="110" t="s">
        <v>18</v>
      </c>
      <c r="C43" s="110" t="s">
        <v>6</v>
      </c>
      <c r="D43" s="110" t="s">
        <v>19</v>
      </c>
      <c r="E43" s="110" t="s">
        <v>20</v>
      </c>
      <c r="F43" s="110" t="s">
        <v>21</v>
      </c>
      <c r="G43" s="110" t="s">
        <v>22</v>
      </c>
      <c r="H43" s="110" t="s">
        <v>23</v>
      </c>
      <c r="I43" s="110" t="s">
        <v>24</v>
      </c>
    </row>
    <row r="44" spans="1:9" x14ac:dyDescent="0.3">
      <c r="A44" s="108" t="s">
        <v>12</v>
      </c>
      <c r="B44" s="108">
        <v>7.9881673235744133E-2</v>
      </c>
      <c r="C44" s="108">
        <v>2.2381189555467479E-3</v>
      </c>
      <c r="D44" s="108">
        <v>35.691433217958654</v>
      </c>
      <c r="E44" s="108">
        <v>3.9152446303891713E-26</v>
      </c>
      <c r="F44" s="108">
        <v>7.5310824538905322E-2</v>
      </c>
      <c r="G44" s="108">
        <v>8.4452521932582944E-2</v>
      </c>
      <c r="H44" s="108">
        <v>7.5310824538905322E-2</v>
      </c>
      <c r="I44" s="108">
        <v>8.4452521932582944E-2</v>
      </c>
    </row>
    <row r="45" spans="1:9" ht="17.25" thickBot="1" x14ac:dyDescent="0.35">
      <c r="A45" s="109" t="s">
        <v>25</v>
      </c>
      <c r="B45" s="109">
        <v>-0.44200990553727054</v>
      </c>
      <c r="C45" s="109">
        <v>3.7799161412820817E-2</v>
      </c>
      <c r="D45" s="109">
        <v>-11.693643166045172</v>
      </c>
      <c r="E45" s="109">
        <v>1.0618733484654912E-12</v>
      </c>
      <c r="F45" s="109">
        <v>-0.51920609176195909</v>
      </c>
      <c r="G45" s="109">
        <v>-0.364813719312582</v>
      </c>
      <c r="H45" s="109">
        <v>-0.51920609176195909</v>
      </c>
      <c r="I45" s="109">
        <v>-0.364813719312582</v>
      </c>
    </row>
    <row r="46" spans="1:9" x14ac:dyDescent="0.3">
      <c r="A46"/>
      <c r="B46"/>
      <c r="C46"/>
      <c r="D46"/>
      <c r="E46"/>
      <c r="F46"/>
      <c r="G46"/>
      <c r="H46"/>
      <c r="I46"/>
    </row>
    <row r="47" spans="1:9" x14ac:dyDescent="0.3">
      <c r="A47"/>
      <c r="B47"/>
      <c r="C47"/>
      <c r="D47"/>
      <c r="E47"/>
      <c r="F47"/>
      <c r="G47"/>
      <c r="H47"/>
      <c r="I47"/>
    </row>
    <row r="48" spans="1:9" x14ac:dyDescent="0.3">
      <c r="A48"/>
      <c r="B48"/>
      <c r="C48"/>
      <c r="D48"/>
      <c r="E48"/>
      <c r="F48"/>
      <c r="G48"/>
      <c r="H48"/>
      <c r="I48"/>
    </row>
  </sheetData>
  <printOptions horizontalCentered="1"/>
  <pageMargins left="0.5" right="0.5" top="0.75" bottom="0.25" header="0.5" footer="0.5"/>
  <pageSetup scale="64" firstPageNumber="3" orientation="portrait" useFirstPageNumber="1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K63"/>
  <sheetViews>
    <sheetView showGridLines="0" tabSelected="1" showOutlineSymbols="0" view="pageBreakPreview" zoomScaleNormal="80" zoomScaleSheetLayoutView="100" workbookViewId="0">
      <selection activeCell="M12" sqref="M12"/>
    </sheetView>
  </sheetViews>
  <sheetFormatPr defaultColWidth="11.75" defaultRowHeight="16.5" x14ac:dyDescent="0.3"/>
  <cols>
    <col min="1" max="1" width="15.75" style="15" customWidth="1"/>
    <col min="2" max="2" width="22.25" style="15" customWidth="1"/>
    <col min="3" max="3" width="10.25" style="21" customWidth="1"/>
    <col min="4" max="4" width="8.375" style="15" customWidth="1"/>
    <col min="5" max="5" width="11.75" style="21"/>
    <col min="6" max="6" width="8" style="15" customWidth="1"/>
    <col min="7" max="7" width="9.875" style="21" customWidth="1"/>
    <col min="8" max="16384" width="11.75" style="15"/>
  </cols>
  <sheetData>
    <row r="1" spans="1:8" ht="17.25" x14ac:dyDescent="0.35">
      <c r="A1" s="12" t="s">
        <v>71</v>
      </c>
      <c r="B1" s="12"/>
      <c r="C1" s="22"/>
      <c r="D1" s="13"/>
      <c r="E1" s="22"/>
      <c r="F1" s="13"/>
      <c r="G1" s="18" t="s">
        <v>193</v>
      </c>
      <c r="H1" s="14"/>
    </row>
    <row r="2" spans="1:8" ht="17.25" x14ac:dyDescent="0.35">
      <c r="A2" s="17"/>
      <c r="B2" s="17"/>
      <c r="D2" s="16"/>
      <c r="F2" s="16"/>
      <c r="G2" s="19" t="s">
        <v>52</v>
      </c>
    </row>
    <row r="3" spans="1:8" ht="17.25" x14ac:dyDescent="0.35">
      <c r="A3" s="17" t="s">
        <v>78</v>
      </c>
      <c r="B3" s="17"/>
      <c r="D3" s="16"/>
      <c r="F3" s="16"/>
    </row>
    <row r="4" spans="1:8" x14ac:dyDescent="0.3">
      <c r="A4" s="47"/>
      <c r="B4" s="47"/>
      <c r="D4" s="16"/>
      <c r="F4" s="16"/>
    </row>
    <row r="5" spans="1:8" s="54" customFormat="1" ht="15" x14ac:dyDescent="0.3">
      <c r="A5" s="52"/>
      <c r="B5" s="52"/>
      <c r="C5" s="53" t="s">
        <v>31</v>
      </c>
      <c r="E5" s="53" t="s">
        <v>31</v>
      </c>
      <c r="G5" s="53" t="s">
        <v>31</v>
      </c>
    </row>
    <row r="6" spans="1:8" ht="17.25" x14ac:dyDescent="0.35">
      <c r="A6" s="14"/>
      <c r="B6" s="14"/>
      <c r="C6" s="20" t="s">
        <v>75</v>
      </c>
      <c r="D6" s="49"/>
      <c r="E6" s="20" t="s">
        <v>63</v>
      </c>
      <c r="F6" s="49"/>
      <c r="G6" s="20" t="s">
        <v>65</v>
      </c>
    </row>
    <row r="7" spans="1:8" ht="17.25" x14ac:dyDescent="0.35">
      <c r="A7" s="14"/>
      <c r="B7" s="14"/>
      <c r="C7" s="20" t="s">
        <v>76</v>
      </c>
      <c r="D7" s="49"/>
      <c r="E7" s="20" t="s">
        <v>103</v>
      </c>
      <c r="F7" s="49"/>
      <c r="G7" s="20" t="s">
        <v>66</v>
      </c>
    </row>
    <row r="8" spans="1:8" ht="17.25" x14ac:dyDescent="0.35">
      <c r="A8" s="24"/>
      <c r="B8" s="24"/>
      <c r="C8" s="50" t="s">
        <v>62</v>
      </c>
      <c r="D8" s="51"/>
      <c r="E8" s="50" t="s">
        <v>64</v>
      </c>
      <c r="F8" s="51"/>
      <c r="G8" s="50" t="s">
        <v>67</v>
      </c>
    </row>
    <row r="9" spans="1:8" x14ac:dyDescent="0.3">
      <c r="A9" s="25">
        <v>1986</v>
      </c>
      <c r="B9" s="25"/>
      <c r="C9" s="26">
        <v>9.5799999999999996E-2</v>
      </c>
      <c r="D9" s="27"/>
      <c r="E9" s="26">
        <f>'AMM-17 (1)'!E9</f>
        <v>0.13930000000000001</v>
      </c>
      <c r="F9" s="27"/>
      <c r="G9" s="26">
        <f t="shared" ref="G9:G40" si="0">E9-C9</f>
        <v>4.3500000000000011E-2</v>
      </c>
      <c r="H9" s="28"/>
    </row>
    <row r="10" spans="1:8" x14ac:dyDescent="0.3">
      <c r="A10" s="25">
        <v>1987</v>
      </c>
      <c r="B10" s="25"/>
      <c r="C10" s="26">
        <v>0.10100000000000001</v>
      </c>
      <c r="D10" s="27"/>
      <c r="E10" s="26">
        <f>'AMM-17 (1)'!E10</f>
        <v>0.12989999999999999</v>
      </c>
      <c r="F10" s="27"/>
      <c r="G10" s="26">
        <f t="shared" si="0"/>
        <v>2.8899999999999981E-2</v>
      </c>
      <c r="H10" s="28"/>
    </row>
    <row r="11" spans="1:8" x14ac:dyDescent="0.3">
      <c r="A11" s="25">
        <v>1988</v>
      </c>
      <c r="B11" s="25"/>
      <c r="C11" s="26">
        <v>0.10489999999999999</v>
      </c>
      <c r="D11" s="27"/>
      <c r="E11" s="26">
        <f>'AMM-17 (1)'!E11</f>
        <v>0.12790000000000001</v>
      </c>
      <c r="F11" s="27"/>
      <c r="G11" s="26">
        <f t="shared" si="0"/>
        <v>2.300000000000002E-2</v>
      </c>
      <c r="H11" s="28"/>
    </row>
    <row r="12" spans="1:8" x14ac:dyDescent="0.3">
      <c r="A12" s="25">
        <v>1989</v>
      </c>
      <c r="B12" s="25"/>
      <c r="C12" s="26">
        <v>9.7699999999999995E-2</v>
      </c>
      <c r="D12" s="27"/>
      <c r="E12" s="26">
        <f>'AMM-17 (1)'!E12</f>
        <v>0.12970000000000001</v>
      </c>
      <c r="F12" s="27"/>
      <c r="G12" s="26">
        <f t="shared" si="0"/>
        <v>3.2000000000000015E-2</v>
      </c>
      <c r="H12" s="28"/>
    </row>
    <row r="13" spans="1:8" x14ac:dyDescent="0.3">
      <c r="A13" s="25">
        <v>1990</v>
      </c>
      <c r="B13" s="25"/>
      <c r="C13" s="26">
        <v>9.8599999999999993E-2</v>
      </c>
      <c r="D13" s="27"/>
      <c r="E13" s="26">
        <f>'AMM-17 (1)'!E13</f>
        <v>0.127</v>
      </c>
      <c r="F13" s="27"/>
      <c r="G13" s="26">
        <f t="shared" si="0"/>
        <v>2.8400000000000009E-2</v>
      </c>
      <c r="H13" s="28"/>
    </row>
    <row r="14" spans="1:8" x14ac:dyDescent="0.3">
      <c r="A14" s="25">
        <v>1991</v>
      </c>
      <c r="B14" s="25"/>
      <c r="C14" s="26">
        <v>9.3600000000000003E-2</v>
      </c>
      <c r="D14" s="27"/>
      <c r="E14" s="26">
        <f>'AMM-17 (1)'!E14</f>
        <v>0.1255</v>
      </c>
      <c r="F14" s="27"/>
      <c r="G14" s="26">
        <f t="shared" si="0"/>
        <v>3.1899999999999998E-2</v>
      </c>
      <c r="H14" s="28"/>
    </row>
    <row r="15" spans="1:8" x14ac:dyDescent="0.3">
      <c r="A15" s="25">
        <v>1992</v>
      </c>
      <c r="B15" s="25"/>
      <c r="C15" s="26">
        <v>8.6900000000000005E-2</v>
      </c>
      <c r="D15" s="27"/>
      <c r="E15" s="26">
        <f>'AMM-17 (1)'!E15</f>
        <v>0.12089999999999999</v>
      </c>
      <c r="F15" s="27"/>
      <c r="G15" s="26">
        <f t="shared" si="0"/>
        <v>3.3999999999999989E-2</v>
      </c>
      <c r="H15" s="28"/>
    </row>
    <row r="16" spans="1:8" x14ac:dyDescent="0.3">
      <c r="A16" s="25">
        <v>1993</v>
      </c>
      <c r="B16" s="25"/>
      <c r="C16" s="26">
        <v>7.5899999999999995E-2</v>
      </c>
      <c r="D16" s="27"/>
      <c r="E16" s="26">
        <f>'AMM-17 (1)'!E16</f>
        <v>0.11409999999999999</v>
      </c>
      <c r="F16" s="27"/>
      <c r="G16" s="26">
        <f t="shared" si="0"/>
        <v>3.8199999999999998E-2</v>
      </c>
      <c r="H16" s="28"/>
    </row>
    <row r="17" spans="1:8" x14ac:dyDescent="0.3">
      <c r="A17" s="25">
        <v>1994</v>
      </c>
      <c r="B17" s="25"/>
      <c r="C17" s="26">
        <v>8.3099999999999993E-2</v>
      </c>
      <c r="D17" s="27"/>
      <c r="E17" s="26">
        <f>'AMM-17 (1)'!E17</f>
        <v>0.1134</v>
      </c>
      <c r="F17" s="27"/>
      <c r="G17" s="26">
        <f t="shared" si="0"/>
        <v>3.0300000000000007E-2</v>
      </c>
      <c r="H17" s="28"/>
    </row>
    <row r="18" spans="1:8" x14ac:dyDescent="0.3">
      <c r="A18" s="25">
        <v>1995</v>
      </c>
      <c r="B18" s="25"/>
      <c r="C18" s="26">
        <v>7.8899999999999998E-2</v>
      </c>
      <c r="D18" s="27"/>
      <c r="E18" s="26">
        <f>'AMM-17 (1)'!E18</f>
        <v>0.11550000000000001</v>
      </c>
      <c r="F18" s="27"/>
      <c r="G18" s="26">
        <f t="shared" si="0"/>
        <v>3.6600000000000008E-2</v>
      </c>
      <c r="H18" s="28"/>
    </row>
    <row r="19" spans="1:8" x14ac:dyDescent="0.3">
      <c r="A19" s="25">
        <v>1996</v>
      </c>
      <c r="B19" s="25"/>
      <c r="C19" s="26">
        <v>7.7499999999999999E-2</v>
      </c>
      <c r="D19" s="27"/>
      <c r="E19" s="26">
        <f>'AMM-17 (1)'!E19</f>
        <v>0.1139</v>
      </c>
      <c r="F19" s="27"/>
      <c r="G19" s="26">
        <f t="shared" si="0"/>
        <v>3.6400000000000002E-2</v>
      </c>
      <c r="H19" s="28"/>
    </row>
    <row r="20" spans="1:8" x14ac:dyDescent="0.3">
      <c r="A20" s="25">
        <v>1997</v>
      </c>
      <c r="B20" s="25"/>
      <c r="C20" s="26">
        <v>7.5999999999999998E-2</v>
      </c>
      <c r="D20" s="27"/>
      <c r="E20" s="26">
        <f>'AMM-17 (1)'!E20</f>
        <v>0.114</v>
      </c>
      <c r="F20" s="27"/>
      <c r="G20" s="26">
        <f t="shared" si="0"/>
        <v>3.8000000000000006E-2</v>
      </c>
      <c r="H20" s="28"/>
    </row>
    <row r="21" spans="1:8" x14ac:dyDescent="0.3">
      <c r="A21" s="25">
        <v>1998</v>
      </c>
      <c r="B21" s="25"/>
      <c r="C21" s="26">
        <v>7.0400000000000004E-2</v>
      </c>
      <c r="D21" s="27"/>
      <c r="E21" s="26">
        <f>'AMM-17 (1)'!E21</f>
        <v>0.1166</v>
      </c>
      <c r="F21" s="27"/>
      <c r="G21" s="26">
        <f t="shared" si="0"/>
        <v>4.6199999999999991E-2</v>
      </c>
      <c r="H21" s="28"/>
    </row>
    <row r="22" spans="1:8" x14ac:dyDescent="0.3">
      <c r="A22" s="29">
        <v>1999</v>
      </c>
      <c r="B22" s="29"/>
      <c r="C22" s="26">
        <v>7.6200000000000004E-2</v>
      </c>
      <c r="D22" s="27"/>
      <c r="E22" s="26">
        <f>'AMM-17 (1)'!E22</f>
        <v>0.1077</v>
      </c>
      <c r="F22" s="27"/>
      <c r="G22" s="26">
        <f t="shared" si="0"/>
        <v>3.15E-2</v>
      </c>
      <c r="H22" s="28"/>
    </row>
    <row r="23" spans="1:8" x14ac:dyDescent="0.3">
      <c r="A23" s="25">
        <v>2000</v>
      </c>
      <c r="B23" s="25"/>
      <c r="C23" s="26">
        <v>8.2441666666666663E-2</v>
      </c>
      <c r="D23" s="27"/>
      <c r="E23" s="26">
        <f>'AMM-17 (1)'!E23</f>
        <v>0.1143</v>
      </c>
      <c r="F23" s="27"/>
      <c r="G23" s="26">
        <f t="shared" si="0"/>
        <v>3.1858333333333336E-2</v>
      </c>
      <c r="H23" s="28"/>
    </row>
    <row r="24" spans="1:8" x14ac:dyDescent="0.3">
      <c r="A24" s="25">
        <v>2001</v>
      </c>
      <c r="B24" s="25"/>
      <c r="C24" s="26">
        <v>7.7625E-2</v>
      </c>
      <c r="D24" s="27"/>
      <c r="E24" s="26">
        <f>'AMM-17 (1)'!E24</f>
        <v>0.1109</v>
      </c>
      <c r="F24" s="27"/>
      <c r="G24" s="26">
        <f t="shared" si="0"/>
        <v>3.3274999999999999E-2</v>
      </c>
      <c r="H24" s="28"/>
    </row>
    <row r="25" spans="1:8" x14ac:dyDescent="0.3">
      <c r="A25" s="25">
        <v>2002</v>
      </c>
      <c r="B25" s="25"/>
      <c r="C25" s="26">
        <v>7.3724999999999999E-2</v>
      </c>
      <c r="D25" s="27"/>
      <c r="E25" s="30">
        <f>'AMM-17 (1)'!E25</f>
        <v>0.1116</v>
      </c>
      <c r="F25" s="27"/>
      <c r="G25" s="26">
        <f t="shared" si="0"/>
        <v>3.7875000000000006E-2</v>
      </c>
      <c r="H25" s="28"/>
    </row>
    <row r="26" spans="1:8" x14ac:dyDescent="0.3">
      <c r="A26" s="29">
        <v>2003</v>
      </c>
      <c r="B26" s="29"/>
      <c r="C26" s="26">
        <v>6.5808333333333344E-2</v>
      </c>
      <c r="D26" s="27"/>
      <c r="E26" s="30">
        <f>'AMM-17 (1)'!E26</f>
        <v>0.10970000000000001</v>
      </c>
      <c r="F26" s="27"/>
      <c r="G26" s="26">
        <f t="shared" si="0"/>
        <v>4.3891666666666662E-2</v>
      </c>
      <c r="H26" s="28"/>
    </row>
    <row r="27" spans="1:8" x14ac:dyDescent="0.3">
      <c r="A27" s="31">
        <v>2004</v>
      </c>
      <c r="B27" s="31"/>
      <c r="C27" s="26">
        <v>6.1600833333333334E-2</v>
      </c>
      <c r="D27" s="27"/>
      <c r="E27" s="30">
        <f>'AMM-17 (1)'!E27</f>
        <v>0.1075</v>
      </c>
      <c r="F27" s="27"/>
      <c r="G27" s="26">
        <f t="shared" si="0"/>
        <v>4.5899166666666665E-2</v>
      </c>
      <c r="H27" s="28"/>
    </row>
    <row r="28" spans="1:8" x14ac:dyDescent="0.3">
      <c r="A28" s="29">
        <v>2005</v>
      </c>
      <c r="B28" s="29"/>
      <c r="C28" s="30">
        <v>5.6491666666666662E-2</v>
      </c>
      <c r="D28" s="32"/>
      <c r="E28" s="30">
        <f>'AMM-17 (1)'!E28</f>
        <v>0.10539999999999999</v>
      </c>
      <c r="F28" s="27"/>
      <c r="G28" s="26">
        <f t="shared" si="0"/>
        <v>4.8908333333333331E-2</v>
      </c>
      <c r="H28" s="28"/>
    </row>
    <row r="29" spans="1:8" x14ac:dyDescent="0.3">
      <c r="A29" s="31">
        <v>2006</v>
      </c>
      <c r="B29" s="31"/>
      <c r="C29" s="30">
        <v>6.0683333333333325E-2</v>
      </c>
      <c r="D29" s="32"/>
      <c r="E29" s="30">
        <f>'AMM-17 (1)'!E29</f>
        <v>0.10340000000000001</v>
      </c>
      <c r="F29" s="27"/>
      <c r="G29" s="26">
        <f t="shared" si="0"/>
        <v>4.2716666666666681E-2</v>
      </c>
      <c r="H29" s="28"/>
    </row>
    <row r="30" spans="1:8" x14ac:dyDescent="0.3">
      <c r="A30" s="29">
        <v>2007</v>
      </c>
      <c r="B30" s="29"/>
      <c r="C30" s="30">
        <v>6.0733333333333334E-2</v>
      </c>
      <c r="D30" s="32"/>
      <c r="E30" s="30">
        <f>'AMM-17 (1)'!E30</f>
        <v>0.1031</v>
      </c>
      <c r="F30" s="27"/>
      <c r="G30" s="26">
        <f t="shared" si="0"/>
        <v>4.2366666666666664E-2</v>
      </c>
      <c r="H30" s="28"/>
    </row>
    <row r="31" spans="1:8" x14ac:dyDescent="0.3">
      <c r="A31" s="31">
        <v>2008</v>
      </c>
      <c r="B31" s="31"/>
      <c r="C31" s="30">
        <v>6.5283333333333332E-2</v>
      </c>
      <c r="D31" s="32"/>
      <c r="E31" s="30">
        <f>'AMM-17 (1)'!E31</f>
        <v>0.1037</v>
      </c>
      <c r="F31" s="27"/>
      <c r="G31" s="26">
        <f t="shared" si="0"/>
        <v>3.8416666666666668E-2</v>
      </c>
      <c r="H31" s="28"/>
    </row>
    <row r="32" spans="1:8" x14ac:dyDescent="0.3">
      <c r="A32" s="29">
        <v>2009</v>
      </c>
      <c r="B32" s="29"/>
      <c r="C32" s="30">
        <v>6.0367365027151197E-2</v>
      </c>
      <c r="D32" s="32"/>
      <c r="E32" s="30">
        <f>'AMM-17 (1)'!E32</f>
        <v>0.1052</v>
      </c>
      <c r="F32" s="27"/>
      <c r="G32" s="26">
        <f t="shared" si="0"/>
        <v>4.4832634972848805E-2</v>
      </c>
      <c r="H32" s="28"/>
    </row>
    <row r="33" spans="1:11" x14ac:dyDescent="0.3">
      <c r="A33" s="31">
        <v>2010</v>
      </c>
      <c r="B33" s="31"/>
      <c r="C33" s="30">
        <v>5.4612557558110959E-2</v>
      </c>
      <c r="D33" s="32"/>
      <c r="E33" s="30">
        <f>'AMM-17 (1)'!E33</f>
        <v>0.10290000000000001</v>
      </c>
      <c r="F33" s="27"/>
      <c r="G33" s="26">
        <f t="shared" si="0"/>
        <v>4.8287442441889046E-2</v>
      </c>
      <c r="H33" s="28"/>
    </row>
    <row r="34" spans="1:11" x14ac:dyDescent="0.3">
      <c r="A34" s="29">
        <v>2011</v>
      </c>
      <c r="B34" s="29"/>
      <c r="C34" s="30">
        <v>5.0411142903926134E-2</v>
      </c>
      <c r="D34" s="32"/>
      <c r="E34" s="30">
        <f>'AMM-17 (1)'!E34</f>
        <v>0.1019</v>
      </c>
      <c r="F34" s="27"/>
      <c r="G34" s="26">
        <f t="shared" si="0"/>
        <v>5.148885709607387E-2</v>
      </c>
      <c r="H34" s="28"/>
    </row>
    <row r="35" spans="1:11" x14ac:dyDescent="0.3">
      <c r="A35" s="31">
        <v>2012</v>
      </c>
      <c r="B35" s="31"/>
      <c r="C35" s="30">
        <v>4.1307867339918432E-2</v>
      </c>
      <c r="D35" s="32"/>
      <c r="E35" s="30">
        <f>'AMM-17 (1)'!E35</f>
        <v>0.10009999999999999</v>
      </c>
      <c r="F35" s="27"/>
      <c r="G35" s="26">
        <f t="shared" si="0"/>
        <v>5.8792132660081563E-2</v>
      </c>
      <c r="H35" s="28"/>
    </row>
    <row r="36" spans="1:11" x14ac:dyDescent="0.3">
      <c r="A36" s="29">
        <v>2013</v>
      </c>
      <c r="B36" s="29"/>
      <c r="C36" s="30">
        <v>4.4761066776790454E-2</v>
      </c>
      <c r="D36" s="32"/>
      <c r="E36" s="30">
        <f>'AMM-17 (1)'!E36</f>
        <v>9.8100000000000007E-2</v>
      </c>
      <c r="F36" s="27"/>
      <c r="G36" s="26">
        <f t="shared" si="0"/>
        <v>5.3338933223209553E-2</v>
      </c>
      <c r="H36" s="28"/>
    </row>
    <row r="37" spans="1:11" x14ac:dyDescent="0.3">
      <c r="A37" s="31">
        <v>2014</v>
      </c>
      <c r="B37" s="31"/>
      <c r="C37" s="30">
        <v>4.2774094021446961E-2</v>
      </c>
      <c r="D37" s="32"/>
      <c r="E37" s="30">
        <f>'AMM-17 (1)'!E37</f>
        <v>9.7500000000000003E-2</v>
      </c>
      <c r="F37" s="27"/>
      <c r="G37" s="26">
        <f t="shared" si="0"/>
        <v>5.4725905978553042E-2</v>
      </c>
      <c r="H37" s="28"/>
    </row>
    <row r="38" spans="1:11" x14ac:dyDescent="0.3">
      <c r="A38" s="31">
        <v>2015</v>
      </c>
      <c r="B38" s="31"/>
      <c r="C38" s="30">
        <v>4.115396758942811E-2</v>
      </c>
      <c r="D38" s="32"/>
      <c r="E38" s="30">
        <f>'AMM-17 (1)'!E38</f>
        <v>9.6000000000000002E-2</v>
      </c>
      <c r="F38" s="27"/>
      <c r="G38" s="26">
        <f t="shared" si="0"/>
        <v>5.4846032410571892E-2</v>
      </c>
      <c r="H38" s="28"/>
    </row>
    <row r="39" spans="1:11" x14ac:dyDescent="0.3">
      <c r="A39" s="31">
        <v>2016</v>
      </c>
      <c r="B39" s="31"/>
      <c r="C39" s="30">
        <v>3.930199127182251E-2</v>
      </c>
      <c r="D39" s="32"/>
      <c r="E39" s="30">
        <f>'AMM-17 (1)'!E39</f>
        <v>9.6000000000000002E-2</v>
      </c>
      <c r="F39" s="27"/>
      <c r="G39" s="26">
        <f t="shared" si="0"/>
        <v>5.6698008728177492E-2</v>
      </c>
      <c r="H39" s="28"/>
    </row>
    <row r="40" spans="1:11" x14ac:dyDescent="0.3">
      <c r="A40" s="31" t="s">
        <v>188</v>
      </c>
      <c r="B40" s="31"/>
      <c r="C40" s="30">
        <v>4.1210937174953187E-2</v>
      </c>
      <c r="D40" s="32"/>
      <c r="E40" s="30">
        <f>'AMM-17 (1)'!E40</f>
        <v>9.6100000000000005E-2</v>
      </c>
      <c r="F40" s="27"/>
      <c r="G40" s="26">
        <f t="shared" si="0"/>
        <v>5.4889062825046818E-2</v>
      </c>
      <c r="H40" s="28"/>
    </row>
    <row r="41" spans="1:11" x14ac:dyDescent="0.3">
      <c r="A41" s="29" t="s">
        <v>47</v>
      </c>
      <c r="B41" s="29"/>
      <c r="C41" s="33">
        <f>AVERAGE(C9:C40)</f>
        <v>6.9899796551985888E-2</v>
      </c>
      <c r="E41" s="33">
        <f>AVERAGE(E9:E40)</f>
        <v>0.11121250000000001</v>
      </c>
      <c r="G41" s="33">
        <f>AVERAGE(G9:G40)</f>
        <v>4.1312703448014132E-2</v>
      </c>
      <c r="H41" s="27"/>
    </row>
    <row r="42" spans="1:11" x14ac:dyDescent="0.3">
      <c r="A42" s="25"/>
      <c r="B42" s="25"/>
      <c r="G42" s="26"/>
      <c r="H42" s="27"/>
    </row>
    <row r="43" spans="1:11" ht="17.25" x14ac:dyDescent="0.35">
      <c r="A43" s="34" t="s">
        <v>48</v>
      </c>
      <c r="B43" s="34"/>
    </row>
    <row r="44" spans="1:11" x14ac:dyDescent="0.3">
      <c r="A44" s="35" t="s">
        <v>189</v>
      </c>
      <c r="B44" s="35"/>
      <c r="G44" s="36">
        <v>4.2700000000000002E-2</v>
      </c>
    </row>
    <row r="45" spans="1:11" x14ac:dyDescent="0.3">
      <c r="A45" s="35" t="s">
        <v>190</v>
      </c>
      <c r="B45" s="35"/>
      <c r="G45" s="37">
        <f>C41</f>
        <v>6.9899796551985888E-2</v>
      </c>
      <c r="K45" s="25"/>
    </row>
    <row r="46" spans="1:11" x14ac:dyDescent="0.3">
      <c r="A46" s="35" t="s">
        <v>55</v>
      </c>
      <c r="B46" s="35"/>
      <c r="G46" s="38">
        <f>G44-G45</f>
        <v>-2.7199796551985886E-2</v>
      </c>
      <c r="K46" s="25"/>
    </row>
    <row r="47" spans="1:11" ht="4.1500000000000004" customHeight="1" x14ac:dyDescent="0.3">
      <c r="A47" s="25"/>
      <c r="B47" s="25"/>
      <c r="G47" s="37"/>
      <c r="K47" s="25"/>
    </row>
    <row r="48" spans="1:11" x14ac:dyDescent="0.3">
      <c r="A48" s="23" t="s">
        <v>69</v>
      </c>
      <c r="B48" s="35"/>
      <c r="G48" s="37">
        <f>'AMM-17 (4)'!B45</f>
        <v>-0.45195640768960027</v>
      </c>
      <c r="K48" s="25"/>
    </row>
    <row r="49" spans="1:11" x14ac:dyDescent="0.3">
      <c r="A49" s="35" t="s">
        <v>73</v>
      </c>
      <c r="B49" s="35"/>
      <c r="G49" s="38">
        <f>G48*G46</f>
        <v>1.2293122339523517E-2</v>
      </c>
      <c r="K49" s="25"/>
    </row>
    <row r="50" spans="1:11" ht="4.1500000000000004" customHeight="1" x14ac:dyDescent="0.3">
      <c r="A50" s="25"/>
      <c r="B50" s="25"/>
      <c r="G50" s="37"/>
      <c r="K50" s="25"/>
    </row>
    <row r="51" spans="1:11" x14ac:dyDescent="0.3">
      <c r="A51" s="35" t="s">
        <v>56</v>
      </c>
      <c r="B51" s="35"/>
      <c r="G51" s="37">
        <f>G41</f>
        <v>4.1312703448014132E-2</v>
      </c>
      <c r="K51" s="25"/>
    </row>
    <row r="52" spans="1:11" x14ac:dyDescent="0.3">
      <c r="A52" s="35" t="s">
        <v>57</v>
      </c>
      <c r="B52" s="35"/>
      <c r="G52" s="39">
        <f>G49</f>
        <v>1.2293122339523517E-2</v>
      </c>
      <c r="K52" s="25"/>
    </row>
    <row r="53" spans="1:11" x14ac:dyDescent="0.3">
      <c r="A53" s="35" t="s">
        <v>58</v>
      </c>
      <c r="B53" s="35"/>
      <c r="G53" s="40">
        <f>G51+G52</f>
        <v>5.3605825787537649E-2</v>
      </c>
      <c r="K53" s="25"/>
    </row>
    <row r="54" spans="1:11" ht="4.1500000000000004" customHeight="1" x14ac:dyDescent="0.3">
      <c r="A54" s="14"/>
      <c r="B54" s="14"/>
      <c r="G54" s="41"/>
      <c r="K54" s="25"/>
    </row>
    <row r="55" spans="1:11" x14ac:dyDescent="0.3">
      <c r="A55" s="35" t="str">
        <f>A44</f>
        <v>Current Baa Utility Bond Yield (b)</v>
      </c>
      <c r="B55" s="35"/>
      <c r="G55" s="36">
        <f>G44</f>
        <v>4.2700000000000002E-2</v>
      </c>
      <c r="K55" s="25"/>
    </row>
    <row r="56" spans="1:11" ht="6.6" customHeight="1" x14ac:dyDescent="0.3">
      <c r="A56" s="35"/>
      <c r="B56" s="35"/>
      <c r="G56" s="36"/>
      <c r="K56" s="25"/>
    </row>
    <row r="57" spans="1:11" ht="18" thickBot="1" x14ac:dyDescent="0.4">
      <c r="A57" s="42" t="s">
        <v>59</v>
      </c>
      <c r="B57" s="42"/>
      <c r="C57" s="43"/>
      <c r="D57" s="42"/>
      <c r="E57" s="43"/>
      <c r="F57" s="42"/>
      <c r="G57" s="44">
        <f>G55+G53</f>
        <v>9.6305825787537658E-2</v>
      </c>
      <c r="K57" s="25"/>
    </row>
    <row r="58" spans="1:11" ht="18" thickTop="1" x14ac:dyDescent="0.35">
      <c r="A58" s="42"/>
      <c r="B58" s="42"/>
      <c r="C58" s="43"/>
      <c r="D58" s="42"/>
      <c r="E58" s="43"/>
      <c r="F58" s="42"/>
      <c r="G58" s="48"/>
      <c r="K58" s="25"/>
    </row>
    <row r="59" spans="1:11" ht="17.25" x14ac:dyDescent="0.35">
      <c r="C59" s="43"/>
      <c r="D59" s="42"/>
      <c r="E59" s="43"/>
      <c r="F59" s="42"/>
      <c r="G59" s="48"/>
      <c r="K59" s="25"/>
    </row>
    <row r="60" spans="1:11" s="54" customFormat="1" ht="15" x14ac:dyDescent="0.3">
      <c r="A60" s="45"/>
      <c r="B60" s="45"/>
      <c r="C60" s="55"/>
      <c r="D60" s="56"/>
      <c r="E60" s="55"/>
      <c r="F60" s="56"/>
      <c r="G60" s="57"/>
      <c r="K60" s="45"/>
    </row>
    <row r="61" spans="1:11" s="61" customFormat="1" ht="15" x14ac:dyDescent="0.3">
      <c r="A61" s="46" t="s">
        <v>196</v>
      </c>
      <c r="B61" s="46"/>
      <c r="C61" s="58"/>
      <c r="D61" s="59"/>
      <c r="E61" s="58"/>
      <c r="F61" s="59"/>
      <c r="G61" s="60"/>
      <c r="K61" s="45"/>
    </row>
    <row r="62" spans="1:11" s="61" customFormat="1" ht="15" x14ac:dyDescent="0.3">
      <c r="A62" s="46" t="s">
        <v>194</v>
      </c>
      <c r="B62" s="46"/>
      <c r="C62" s="58"/>
      <c r="D62" s="59"/>
      <c r="E62" s="58"/>
      <c r="F62" s="59"/>
      <c r="G62" s="60"/>
      <c r="K62" s="45"/>
    </row>
    <row r="63" spans="1:11" x14ac:dyDescent="0.3">
      <c r="A63" s="46" t="s">
        <v>77</v>
      </c>
    </row>
  </sheetData>
  <pageMargins left="1.5" right="0.5" top="1" bottom="0.5" header="0.5" footer="0.5"/>
  <pageSetup scale="68" firstPageNumber="5" orientation="portrait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 fitToPage="1"/>
  </sheetPr>
  <dimension ref="A1:I61"/>
  <sheetViews>
    <sheetView showGridLines="0" tabSelected="1" showOutlineSymbols="0" view="pageBreakPreview" zoomScale="60" zoomScaleNormal="80" workbookViewId="0">
      <selection activeCell="M12" sqref="M12"/>
    </sheetView>
  </sheetViews>
  <sheetFormatPr defaultColWidth="11.75" defaultRowHeight="16.5" x14ac:dyDescent="0.3"/>
  <cols>
    <col min="1" max="1" width="20.625" style="15" customWidth="1"/>
    <col min="2" max="2" width="21.5" style="15" bestFit="1" customWidth="1"/>
    <col min="3" max="3" width="11.875" style="15" bestFit="1" customWidth="1"/>
    <col min="4" max="5" width="14" style="15" bestFit="1" customWidth="1"/>
    <col min="6" max="6" width="16.625" style="15" customWidth="1"/>
    <col min="7" max="7" width="14.5" style="15" customWidth="1"/>
    <col min="8" max="8" width="14.625" style="15" customWidth="1"/>
    <col min="9" max="9" width="16" style="15" customWidth="1"/>
    <col min="10" max="16384" width="11.75" style="15"/>
  </cols>
  <sheetData>
    <row r="1" spans="1:9" ht="17.25" x14ac:dyDescent="0.35">
      <c r="A1" s="12" t="s">
        <v>71</v>
      </c>
      <c r="B1" s="13"/>
      <c r="C1" s="13"/>
      <c r="D1" s="13"/>
      <c r="E1" s="13"/>
      <c r="G1" s="43"/>
      <c r="I1" s="18" t="s">
        <v>193</v>
      </c>
    </row>
    <row r="2" spans="1:9" ht="17.25" x14ac:dyDescent="0.35">
      <c r="A2" s="17"/>
      <c r="B2" s="16"/>
      <c r="C2" s="16"/>
      <c r="D2" s="16"/>
      <c r="E2" s="16"/>
      <c r="G2" s="43"/>
      <c r="I2" s="19" t="s">
        <v>53</v>
      </c>
    </row>
    <row r="3" spans="1:9" ht="17.25" x14ac:dyDescent="0.35">
      <c r="A3" s="17" t="s">
        <v>79</v>
      </c>
      <c r="B3" s="16"/>
      <c r="C3" s="16"/>
      <c r="D3" s="16"/>
      <c r="E3" s="16"/>
      <c r="F3" s="16"/>
      <c r="G3" s="22"/>
    </row>
    <row r="28" spans="1:9" x14ac:dyDescent="0.3">
      <c r="A28" t="s">
        <v>1</v>
      </c>
      <c r="B28"/>
      <c r="C28"/>
      <c r="D28"/>
      <c r="E28"/>
      <c r="F28"/>
      <c r="G28"/>
      <c r="H28"/>
      <c r="I28"/>
    </row>
    <row r="29" spans="1:9" ht="17.25" thickBot="1" x14ac:dyDescent="0.35">
      <c r="A29"/>
      <c r="B29"/>
      <c r="C29"/>
      <c r="D29"/>
      <c r="E29"/>
      <c r="F29"/>
      <c r="G29"/>
      <c r="H29"/>
      <c r="I29"/>
    </row>
    <row r="30" spans="1:9" ht="17.25" x14ac:dyDescent="0.35">
      <c r="A30" s="111" t="s">
        <v>2</v>
      </c>
      <c r="B30" s="111"/>
      <c r="C30"/>
      <c r="D30"/>
      <c r="E30"/>
      <c r="F30"/>
      <c r="G30"/>
      <c r="H30"/>
      <c r="I30"/>
    </row>
    <row r="31" spans="1:9" x14ac:dyDescent="0.3">
      <c r="A31" s="108" t="s">
        <v>3</v>
      </c>
      <c r="B31" s="108">
        <v>0.92191407787097801</v>
      </c>
      <c r="C31"/>
      <c r="D31"/>
      <c r="E31"/>
      <c r="F31"/>
      <c r="G31"/>
      <c r="H31"/>
      <c r="I31"/>
    </row>
    <row r="32" spans="1:9" x14ac:dyDescent="0.3">
      <c r="A32" s="108" t="s">
        <v>4</v>
      </c>
      <c r="B32" s="108">
        <v>0.84992556697669563</v>
      </c>
      <c r="C32"/>
      <c r="D32"/>
      <c r="E32"/>
      <c r="F32"/>
      <c r="G32"/>
      <c r="H32"/>
      <c r="I32"/>
    </row>
    <row r="33" spans="1:9" x14ac:dyDescent="0.3">
      <c r="A33" s="108" t="s">
        <v>5</v>
      </c>
      <c r="B33" s="108">
        <v>0.84492308587591891</v>
      </c>
      <c r="C33"/>
      <c r="D33"/>
      <c r="E33"/>
      <c r="F33"/>
      <c r="G33"/>
      <c r="H33"/>
      <c r="I33"/>
    </row>
    <row r="34" spans="1:9" x14ac:dyDescent="0.3">
      <c r="A34" s="108" t="s">
        <v>6</v>
      </c>
      <c r="B34" s="108">
        <v>3.7822829601052432E-3</v>
      </c>
      <c r="C34"/>
      <c r="D34"/>
      <c r="E34"/>
      <c r="F34"/>
      <c r="G34"/>
      <c r="H34"/>
      <c r="I34"/>
    </row>
    <row r="35" spans="1:9" ht="17.25" thickBot="1" x14ac:dyDescent="0.35">
      <c r="A35" s="109" t="s">
        <v>7</v>
      </c>
      <c r="B35" s="109">
        <v>32</v>
      </c>
      <c r="C35"/>
      <c r="D35"/>
      <c r="E35"/>
      <c r="F35"/>
      <c r="G35"/>
      <c r="H35"/>
      <c r="I35"/>
    </row>
    <row r="36" spans="1:9" x14ac:dyDescent="0.3">
      <c r="A36"/>
      <c r="B36"/>
      <c r="C36"/>
      <c r="D36"/>
      <c r="E36"/>
      <c r="F36"/>
      <c r="G36"/>
      <c r="H36"/>
      <c r="I36"/>
    </row>
    <row r="37" spans="1:9" ht="17.25" thickBot="1" x14ac:dyDescent="0.35">
      <c r="A37" t="s">
        <v>8</v>
      </c>
      <c r="B37"/>
      <c r="C37"/>
      <c r="D37"/>
      <c r="E37"/>
      <c r="F37"/>
      <c r="G37"/>
      <c r="H37"/>
      <c r="I37"/>
    </row>
    <row r="38" spans="1:9" ht="17.25" x14ac:dyDescent="0.35">
      <c r="A38" s="110"/>
      <c r="B38" s="110" t="s">
        <v>13</v>
      </c>
      <c r="C38" s="110" t="s">
        <v>14</v>
      </c>
      <c r="D38" s="110" t="s">
        <v>15</v>
      </c>
      <c r="E38" s="110" t="s">
        <v>16</v>
      </c>
      <c r="F38" s="110" t="s">
        <v>17</v>
      </c>
      <c r="G38"/>
      <c r="H38"/>
      <c r="I38"/>
    </row>
    <row r="39" spans="1:9" x14ac:dyDescent="0.3">
      <c r="A39" s="108" t="s">
        <v>9</v>
      </c>
      <c r="B39" s="108">
        <v>1</v>
      </c>
      <c r="C39" s="108">
        <v>2.430543898710199E-3</v>
      </c>
      <c r="D39" s="108">
        <v>2.430543898710199E-3</v>
      </c>
      <c r="E39" s="108">
        <v>169.90080519139084</v>
      </c>
      <c r="F39" s="108">
        <v>6.8755083563878214E-14</v>
      </c>
      <c r="G39"/>
      <c r="H39"/>
      <c r="I39"/>
    </row>
    <row r="40" spans="1:9" x14ac:dyDescent="0.3">
      <c r="A40" s="108" t="s">
        <v>10</v>
      </c>
      <c r="B40" s="108">
        <v>30</v>
      </c>
      <c r="C40" s="108">
        <v>4.2916993170907445E-4</v>
      </c>
      <c r="D40" s="108">
        <v>1.4305664390302481E-5</v>
      </c>
      <c r="E40" s="108"/>
      <c r="F40" s="108"/>
      <c r="G40"/>
      <c r="H40"/>
      <c r="I40"/>
    </row>
    <row r="41" spans="1:9" ht="17.25" thickBot="1" x14ac:dyDescent="0.35">
      <c r="A41" s="109" t="s">
        <v>11</v>
      </c>
      <c r="B41" s="109">
        <v>31</v>
      </c>
      <c r="C41" s="109">
        <v>2.8597138304192735E-3</v>
      </c>
      <c r="D41" s="109"/>
      <c r="E41" s="109"/>
      <c r="F41" s="109"/>
      <c r="G41"/>
      <c r="H41"/>
      <c r="I41"/>
    </row>
    <row r="42" spans="1:9" ht="17.25" thickBot="1" x14ac:dyDescent="0.35">
      <c r="A42"/>
      <c r="B42"/>
      <c r="C42"/>
      <c r="D42"/>
      <c r="E42"/>
      <c r="F42"/>
      <c r="G42"/>
      <c r="H42"/>
      <c r="I42"/>
    </row>
    <row r="43" spans="1:9" ht="17.25" x14ac:dyDescent="0.35">
      <c r="A43" s="110"/>
      <c r="B43" s="110" t="s">
        <v>18</v>
      </c>
      <c r="C43" s="110" t="s">
        <v>6</v>
      </c>
      <c r="D43" s="110" t="s">
        <v>19</v>
      </c>
      <c r="E43" s="110" t="s">
        <v>20</v>
      </c>
      <c r="F43" s="110" t="s">
        <v>21</v>
      </c>
      <c r="G43" s="110" t="s">
        <v>22</v>
      </c>
      <c r="H43" s="110" t="s">
        <v>23</v>
      </c>
      <c r="I43" s="110" t="s">
        <v>24</v>
      </c>
    </row>
    <row r="44" spans="1:9" x14ac:dyDescent="0.3">
      <c r="A44" s="108" t="s">
        <v>12</v>
      </c>
      <c r="B44" s="108">
        <v>7.2904364395883575E-2</v>
      </c>
      <c r="C44" s="108">
        <v>2.514212044352386E-3</v>
      </c>
      <c r="D44" s="108">
        <v>28.996903646073488</v>
      </c>
      <c r="E44" s="108">
        <v>1.677955447809905E-23</v>
      </c>
      <c r="F44" s="108">
        <v>6.7769658388401877E-2</v>
      </c>
      <c r="G44" s="108">
        <v>7.8039070403365274E-2</v>
      </c>
      <c r="H44" s="108">
        <v>6.7769658388401877E-2</v>
      </c>
      <c r="I44" s="108">
        <v>7.8039070403365274E-2</v>
      </c>
    </row>
    <row r="45" spans="1:9" ht="17.25" thickBot="1" x14ac:dyDescent="0.35">
      <c r="A45" s="109" t="s">
        <v>25</v>
      </c>
      <c r="B45" s="109">
        <v>-0.45195640768960027</v>
      </c>
      <c r="C45" s="109">
        <v>3.4673591595244281E-2</v>
      </c>
      <c r="D45" s="109">
        <v>-13.034600308079686</v>
      </c>
      <c r="E45" s="109">
        <v>6.8755083563877242E-14</v>
      </c>
      <c r="F45" s="109">
        <v>-0.52276932876560578</v>
      </c>
      <c r="G45" s="109">
        <v>-0.38114348661359476</v>
      </c>
      <c r="H45" s="109">
        <v>-0.52276932876560578</v>
      </c>
      <c r="I45" s="109">
        <v>-0.38114348661359476</v>
      </c>
    </row>
    <row r="46" spans="1:9" x14ac:dyDescent="0.3">
      <c r="A46"/>
      <c r="B46"/>
      <c r="C46"/>
      <c r="D46"/>
      <c r="E46"/>
      <c r="F46"/>
      <c r="G46"/>
      <c r="H46"/>
      <c r="I46"/>
    </row>
    <row r="47" spans="1:9" x14ac:dyDescent="0.3">
      <c r="A47"/>
      <c r="B47"/>
      <c r="C47"/>
      <c r="D47"/>
      <c r="E47"/>
      <c r="F47"/>
      <c r="G47"/>
      <c r="H47"/>
      <c r="I47"/>
    </row>
    <row r="48" spans="1:9" x14ac:dyDescent="0.3">
      <c r="A48"/>
      <c r="B48"/>
      <c r="C48"/>
      <c r="D48"/>
      <c r="E48"/>
      <c r="F48"/>
      <c r="G48"/>
      <c r="H48"/>
      <c r="I48"/>
    </row>
    <row r="60" spans="1:1" x14ac:dyDescent="0.3">
      <c r="A60" s="15" t="s">
        <v>49</v>
      </c>
    </row>
    <row r="61" spans="1:1" x14ac:dyDescent="0.3">
      <c r="A61" s="15" t="s">
        <v>43</v>
      </c>
    </row>
  </sheetData>
  <printOptions horizontalCentered="1"/>
  <pageMargins left="0.5" right="0.5" top="0.75" bottom="0.5" header="0.5" footer="0.5"/>
  <pageSetup scale="66" firstPageNumber="5" orientation="portrait" useFirstPageNumber="1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5F3CE42-27CB-45E2-8B66-4E2C414E4F2E}"/>
</file>

<file path=customXml/itemProps2.xml><?xml version="1.0" encoding="utf-8"?>
<ds:datastoreItem xmlns:ds="http://schemas.openxmlformats.org/officeDocument/2006/customXml" ds:itemID="{4A3F8DEF-7D14-4EEB-80D6-E4F9806F9CDD}"/>
</file>

<file path=customXml/itemProps3.xml><?xml version="1.0" encoding="utf-8"?>
<ds:datastoreItem xmlns:ds="http://schemas.openxmlformats.org/officeDocument/2006/customXml" ds:itemID="{70837EB9-99D0-4EA1-8897-F3A7F5140F26}"/>
</file>

<file path=customXml/itemProps4.xml><?xml version="1.0" encoding="utf-8"?>
<ds:datastoreItem xmlns:ds="http://schemas.openxmlformats.org/officeDocument/2006/customXml" ds:itemID="{AD8BDE63-BC4C-4405-A5FA-C49BE9271D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Reb Figure 1</vt:lpstr>
      <vt:lpstr>Reb Figure 2</vt:lpstr>
      <vt:lpstr>Reb Figure 3</vt:lpstr>
      <vt:lpstr>AMM-15</vt:lpstr>
      <vt:lpstr>AMM-16</vt:lpstr>
      <vt:lpstr>AMM-17 (1)</vt:lpstr>
      <vt:lpstr>AMM-17 (2)</vt:lpstr>
      <vt:lpstr>AMM-17 (3)</vt:lpstr>
      <vt:lpstr>AMM-17 (4)</vt:lpstr>
      <vt:lpstr>Bond Yields</vt:lpstr>
      <vt:lpstr>Header</vt:lpstr>
      <vt:lpstr>'AMM-15'!Print_Area</vt:lpstr>
      <vt:lpstr>'AMM-16'!Print_Area</vt:lpstr>
      <vt:lpstr>'AMM-17 (1)'!Print_Area</vt:lpstr>
      <vt:lpstr>'AMM-17 (2)'!Print_Area</vt:lpstr>
      <vt:lpstr>'AMM-17 (3)'!Print_Area</vt:lpstr>
      <vt:lpstr>'AMM-17 (4)'!Print_Area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McKenzie</dc:creator>
  <cp:lastModifiedBy>Kimball, Paul</cp:lastModifiedBy>
  <cp:lastPrinted>2017-11-29T18:48:40Z</cp:lastPrinted>
  <dcterms:created xsi:type="dcterms:W3CDTF">2015-11-02T18:41:54Z</dcterms:created>
  <dcterms:modified xsi:type="dcterms:W3CDTF">2017-11-29T18:48:51Z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