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xl/comments6.xml" ContentType="application/vnd.openxmlformats-officedocument.spreadsheetml.comments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UG-200479 Cost Recovery Quarterly Report\01-31-2025\"/>
    </mc:Choice>
  </mc:AlternateContent>
  <xr:revisionPtr revIDLastSave="0" documentId="13_ncr:1_{C68A02BA-FADF-4DD9-BC9A-70A0AF54994C}" xr6:coauthVersionLast="47" xr6:coauthVersionMax="47" xr10:uidLastSave="{00000000-0000-0000-0000-000000000000}"/>
  <bookViews>
    <workbookView xWindow="-120" yWindow="-120" windowWidth="29040" windowHeight="15720" tabRatio="769" xr2:uid="{00000000-000D-0000-FFFF-FFFF00000000}"/>
  </bookViews>
  <sheets>
    <sheet name="COVID-19" sheetId="9" r:id="rId1"/>
    <sheet name="Other Direct Costs" sheetId="12" state="hidden" r:id="rId2"/>
    <sheet name="JDE Export OR" sheetId="21" state="hidden" r:id="rId3"/>
    <sheet name="Savings Jan" sheetId="5" state="hidden" r:id="rId4"/>
    <sheet name="Savings Feb" sheetId="6" state="hidden" r:id="rId5"/>
    <sheet name="Savings Mar Accrual" sheetId="4" state="hidden" r:id="rId6"/>
    <sheet name="Savings Mar" sheetId="14" state="hidden" r:id="rId7"/>
    <sheet name="Savings Apr" sheetId="17" state="hidden" r:id="rId8"/>
    <sheet name="Savings May" sheetId="16" state="hidden" r:id="rId9"/>
    <sheet name="Savings Jun" sheetId="19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'COVID-19'!$A$1:$BK$34</definedName>
    <definedName name="_xlnm.Print_Area" localSheetId="2">'JDE Export OR'!$A$1:$H$25</definedName>
    <definedName name="_xlnm.Print_Area" localSheetId="1">'Other Direct Costs'!$B$1:$Z$30</definedName>
    <definedName name="_xlnm.Print_Area" localSheetId="7">'Savings Apr'!$A$1:$Q$88</definedName>
    <definedName name="_xlnm.Print_Area" localSheetId="4">'Savings Feb'!$A$1:$S$87</definedName>
    <definedName name="_xlnm.Print_Area" localSheetId="3">'Savings Jan'!$A$1:$R$84</definedName>
    <definedName name="_xlnm.Print_Area" localSheetId="9">'Savings Jun'!$A$1:$Q$89</definedName>
    <definedName name="_xlnm.Print_Area" localSheetId="6">'Savings Mar'!$A$1:$S$90</definedName>
    <definedName name="_xlnm.Print_Area" localSheetId="5">'Savings Mar Accrual'!$A$1:$Q$81</definedName>
    <definedName name="_xlnm.Print_Area" localSheetId="8">'Savings May'!$A$1:$R$88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5" i="9" l="1"/>
  <c r="AT15" i="9" l="1"/>
  <c r="AS15" i="9" l="1"/>
  <c r="BB28" i="9" l="1"/>
  <c r="BA28" i="9"/>
  <c r="AZ28" i="9"/>
  <c r="AY28" i="9"/>
  <c r="AX28" i="9"/>
  <c r="AW28" i="9"/>
  <c r="AV28" i="9"/>
  <c r="AU28" i="9"/>
  <c r="AT28" i="9"/>
  <c r="AS28" i="9"/>
  <c r="AR28" i="9"/>
  <c r="AQ28" i="9"/>
  <c r="BB15" i="9"/>
  <c r="BA15" i="9"/>
  <c r="AZ15" i="9"/>
  <c r="AX15" i="9"/>
  <c r="AW15" i="9"/>
  <c r="AV15" i="9"/>
  <c r="AU15" i="9"/>
  <c r="AR15" i="9"/>
  <c r="AQ15" i="9"/>
  <c r="AY19" i="9"/>
  <c r="AV19" i="9"/>
  <c r="AT19" i="9"/>
  <c r="AS19" i="9"/>
  <c r="BB19" i="9" l="1"/>
  <c r="AU19" i="9"/>
  <c r="AW19" i="9"/>
  <c r="AZ19" i="9"/>
  <c r="AX19" i="9"/>
  <c r="BA19" i="9"/>
  <c r="AN28" i="9" l="1"/>
  <c r="AN15" i="9" l="1"/>
  <c r="AN19" i="9" s="1"/>
  <c r="AM15" i="9" l="1"/>
  <c r="AM19" i="9" s="1"/>
  <c r="AP28" i="9" l="1"/>
  <c r="AO28" i="9"/>
  <c r="AP15" i="9"/>
  <c r="AP19" i="9" s="1"/>
  <c r="AO15" i="9"/>
  <c r="AO19" i="9" s="1"/>
  <c r="AM28" i="9"/>
  <c r="AL28" i="9" l="1"/>
  <c r="AK28" i="9"/>
  <c r="BD26" i="9"/>
  <c r="BD25" i="9"/>
  <c r="BD24" i="9"/>
  <c r="BD23" i="9"/>
  <c r="BD22" i="9"/>
  <c r="BD12" i="9"/>
  <c r="BI7" i="9" s="1"/>
  <c r="BD10" i="9"/>
  <c r="BD8" i="9"/>
  <c r="BD7" i="9"/>
  <c r="BD6" i="9"/>
  <c r="AL15" i="9"/>
  <c r="AL19" i="9" s="1"/>
  <c r="AK15" i="9"/>
  <c r="AK19" i="9" s="1"/>
  <c r="AJ15" i="9" l="1"/>
  <c r="AJ19" i="9" s="1"/>
  <c r="AJ28" i="9" l="1"/>
  <c r="AI28" i="9"/>
  <c r="AH28" i="9"/>
  <c r="AI15" i="9"/>
  <c r="AI19" i="9" s="1"/>
  <c r="AH15" i="9"/>
  <c r="AH19" i="9" s="1"/>
  <c r="AG15" i="9" l="1"/>
  <c r="AG19" i="9" s="1"/>
  <c r="AF15" i="9"/>
  <c r="AF19" i="9" s="1"/>
  <c r="AE15" i="9"/>
  <c r="AE19" i="9" s="1"/>
  <c r="AG28" i="9"/>
  <c r="AF28" i="9"/>
  <c r="AE28" i="9"/>
  <c r="AD28" i="9" l="1"/>
  <c r="AD15" i="9"/>
  <c r="AD19" i="9" s="1"/>
  <c r="AC28" i="9" l="1"/>
  <c r="AB28" i="9"/>
  <c r="AC15" i="9"/>
  <c r="AC19" i="9" s="1"/>
  <c r="AB15" i="9"/>
  <c r="AB19" i="9" s="1"/>
  <c r="AA15" i="9"/>
  <c r="AA19" i="9" s="1"/>
  <c r="Z15" i="9"/>
  <c r="Z19" i="9" s="1"/>
  <c r="Y15" i="9"/>
  <c r="Y19" i="9" s="1"/>
  <c r="X15" i="9"/>
  <c r="X19" i="9" s="1"/>
  <c r="W15" i="9"/>
  <c r="W19" i="9" s="1"/>
  <c r="V15" i="9"/>
  <c r="V19" i="9" s="1"/>
  <c r="U15" i="9"/>
  <c r="U19" i="9" s="1"/>
  <c r="T15" i="9"/>
  <c r="T19" i="9" s="1"/>
  <c r="S15" i="9"/>
  <c r="S19" i="9" s="1"/>
  <c r="R15" i="9"/>
  <c r="R19" i="9" s="1"/>
  <c r="Q15" i="9"/>
  <c r="Q19" i="9" s="1"/>
  <c r="P15" i="9"/>
  <c r="P19" i="9" s="1"/>
  <c r="O15" i="9"/>
  <c r="O19" i="9" s="1"/>
  <c r="N15" i="9"/>
  <c r="N19" i="9" s="1"/>
  <c r="M15" i="9"/>
  <c r="M19" i="9" s="1"/>
  <c r="K15" i="9"/>
  <c r="K19" i="9" s="1"/>
  <c r="J15" i="9"/>
  <c r="J19" i="9" s="1"/>
  <c r="I15" i="9"/>
  <c r="I19" i="9" s="1"/>
  <c r="H15" i="9"/>
  <c r="H19" i="9" s="1"/>
  <c r="E15" i="9"/>
  <c r="E19" i="9" s="1"/>
  <c r="AA28" i="9" l="1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H28" i="9"/>
  <c r="G28" i="9"/>
  <c r="E28" i="9"/>
  <c r="AR19" i="9" l="1"/>
  <c r="AQ19" i="9" l="1"/>
  <c r="BD18" i="9" l="1"/>
  <c r="BD17" i="9" l="1"/>
  <c r="BI8" i="9" l="1"/>
  <c r="P42" i="14" l="1"/>
  <c r="I27" i="9" l="1"/>
  <c r="BD27" i="9" s="1"/>
  <c r="I28" i="9" l="1"/>
  <c r="O87" i="14"/>
  <c r="BI12" i="9" l="1"/>
  <c r="F21" i="9" l="1"/>
  <c r="BD21" i="9" s="1"/>
  <c r="BD28" i="9" s="1"/>
  <c r="BD9" i="9"/>
  <c r="BD13" i="9"/>
  <c r="BD11" i="9"/>
  <c r="G15" i="9"/>
  <c r="G19" i="9" s="1"/>
  <c r="BD5" i="9"/>
  <c r="Y22" i="12"/>
  <c r="F15" i="9" l="1"/>
  <c r="F19" i="9" s="1"/>
  <c r="F28" i="9"/>
  <c r="BI6" i="9" l="1"/>
  <c r="BI11" i="9"/>
  <c r="BD14" i="9" l="1"/>
  <c r="BD32" i="9" s="1"/>
  <c r="L15" i="9"/>
  <c r="L19" i="9" s="1"/>
  <c r="BD15" i="9" l="1"/>
  <c r="BD19" i="9" l="1"/>
  <c r="BD30" i="9"/>
  <c r="O38" i="14"/>
  <c r="O35" i="14"/>
  <c r="O22" i="14"/>
  <c r="O31" i="14"/>
  <c r="O43" i="14" l="1"/>
  <c r="M14" i="5" l="1"/>
  <c r="Y28" i="12" l="1"/>
  <c r="N21" i="12"/>
  <c r="F24" i="21"/>
  <c r="G25" i="21" s="1"/>
  <c r="G24" i="21"/>
  <c r="F50" i="21"/>
  <c r="G50" i="21"/>
  <c r="F51" i="21" l="1"/>
  <c r="H85" i="19" l="1"/>
  <c r="F85" i="19"/>
  <c r="D85" i="19"/>
  <c r="K86" i="19" s="1"/>
  <c r="H82" i="19"/>
  <c r="F82" i="19"/>
  <c r="D82" i="19"/>
  <c r="H79" i="19"/>
  <c r="F79" i="19"/>
  <c r="D79" i="19"/>
  <c r="K80" i="19" s="1"/>
  <c r="K76" i="19"/>
  <c r="H75" i="19"/>
  <c r="F75" i="19"/>
  <c r="D75" i="19"/>
  <c r="H74" i="19"/>
  <c r="F74" i="19"/>
  <c r="D74" i="19"/>
  <c r="H73" i="19"/>
  <c r="F73" i="19"/>
  <c r="D73" i="19"/>
  <c r="H72" i="19"/>
  <c r="F72" i="19"/>
  <c r="D72" i="19"/>
  <c r="H71" i="19"/>
  <c r="F71" i="19"/>
  <c r="D71" i="19"/>
  <c r="H70" i="19"/>
  <c r="F70" i="19"/>
  <c r="D70" i="19"/>
  <c r="K66" i="19"/>
  <c r="H65" i="19"/>
  <c r="F65" i="19"/>
  <c r="D65" i="19"/>
  <c r="H64" i="19"/>
  <c r="F64" i="19"/>
  <c r="D64" i="19"/>
  <c r="M63" i="19"/>
  <c r="H63" i="19"/>
  <c r="F63" i="19"/>
  <c r="D63" i="19"/>
  <c r="H62" i="19"/>
  <c r="F62" i="19"/>
  <c r="D62" i="19"/>
  <c r="H61" i="19"/>
  <c r="F61" i="19"/>
  <c r="D61" i="19"/>
  <c r="H60" i="19"/>
  <c r="F60" i="19"/>
  <c r="D60" i="19"/>
  <c r="O58" i="19"/>
  <c r="O71" i="19" s="1"/>
  <c r="M58" i="19"/>
  <c r="M65" i="19" s="1"/>
  <c r="K55" i="19"/>
  <c r="O42" i="19"/>
  <c r="K41" i="19"/>
  <c r="N40" i="19"/>
  <c r="M40" i="19"/>
  <c r="M41" i="19" s="1"/>
  <c r="H40" i="19"/>
  <c r="O40" i="19" s="1"/>
  <c r="K38" i="19"/>
  <c r="R37" i="19"/>
  <c r="N37" i="19"/>
  <c r="N38" i="19" s="1"/>
  <c r="M37" i="19"/>
  <c r="M38" i="19" s="1"/>
  <c r="K35" i="19"/>
  <c r="R34" i="19"/>
  <c r="N34" i="19"/>
  <c r="N35" i="19" s="1"/>
  <c r="M34" i="19"/>
  <c r="M35" i="19" s="1"/>
  <c r="K31" i="19"/>
  <c r="H31" i="19"/>
  <c r="F31" i="19"/>
  <c r="D31" i="19"/>
  <c r="R30" i="19"/>
  <c r="N30" i="19"/>
  <c r="O30" i="19" s="1"/>
  <c r="M30" i="19"/>
  <c r="R29" i="19"/>
  <c r="N29" i="19"/>
  <c r="O29" i="19" s="1"/>
  <c r="M29" i="19"/>
  <c r="S29" i="19" s="1"/>
  <c r="R28" i="19"/>
  <c r="N28" i="19"/>
  <c r="O28" i="19" s="1"/>
  <c r="M28" i="19"/>
  <c r="S28" i="19" s="1"/>
  <c r="R27" i="19"/>
  <c r="N27" i="19"/>
  <c r="O27" i="19" s="1"/>
  <c r="M27" i="19"/>
  <c r="R26" i="19"/>
  <c r="N26" i="19"/>
  <c r="O26" i="19" s="1"/>
  <c r="M26" i="19"/>
  <c r="R25" i="19"/>
  <c r="N25" i="19"/>
  <c r="O25" i="19" s="1"/>
  <c r="M25" i="19"/>
  <c r="S25" i="19" s="1"/>
  <c r="K22" i="19"/>
  <c r="H22" i="19"/>
  <c r="F22" i="19"/>
  <c r="D22" i="19"/>
  <c r="R21" i="19"/>
  <c r="N21" i="19"/>
  <c r="O21" i="19" s="1"/>
  <c r="M21" i="19"/>
  <c r="R20" i="19"/>
  <c r="N20" i="19"/>
  <c r="O20" i="19" s="1"/>
  <c r="M20" i="19"/>
  <c r="R19" i="19"/>
  <c r="N19" i="19"/>
  <c r="O19" i="19" s="1"/>
  <c r="M19" i="19"/>
  <c r="R18" i="19"/>
  <c r="N18" i="19"/>
  <c r="O18" i="19" s="1"/>
  <c r="M18" i="19"/>
  <c r="M22" i="19" s="1"/>
  <c r="M23" i="19" s="1"/>
  <c r="R17" i="19"/>
  <c r="N17" i="19"/>
  <c r="O17" i="19" s="1"/>
  <c r="M17" i="19"/>
  <c r="R16" i="19"/>
  <c r="N16" i="19"/>
  <c r="O16" i="19" s="1"/>
  <c r="M16" i="19"/>
  <c r="K10" i="19"/>
  <c r="D10" i="19"/>
  <c r="K32" i="19" l="1"/>
  <c r="S19" i="19"/>
  <c r="S16" i="19"/>
  <c r="S20" i="19"/>
  <c r="K23" i="19"/>
  <c r="M31" i="19"/>
  <c r="M32" i="19" s="1"/>
  <c r="S34" i="19"/>
  <c r="O34" i="19"/>
  <c r="S37" i="19"/>
  <c r="S40" i="19"/>
  <c r="M61" i="19"/>
  <c r="S61" i="19" s="1"/>
  <c r="R73" i="19"/>
  <c r="R71" i="19"/>
  <c r="F76" i="19"/>
  <c r="D66" i="19"/>
  <c r="K67" i="19" s="1"/>
  <c r="H76" i="19"/>
  <c r="F66" i="19"/>
  <c r="R62" i="19"/>
  <c r="R65" i="19"/>
  <c r="R72" i="19"/>
  <c r="R82" i="19"/>
  <c r="R85" i="19"/>
  <c r="H66" i="19"/>
  <c r="N61" i="19"/>
  <c r="R63" i="19"/>
  <c r="R75" i="19"/>
  <c r="R61" i="19"/>
  <c r="R79" i="19"/>
  <c r="K83" i="19"/>
  <c r="N63" i="19"/>
  <c r="R64" i="19"/>
  <c r="N65" i="19"/>
  <c r="R74" i="19"/>
  <c r="N22" i="19"/>
  <c r="N23" i="19" s="1"/>
  <c r="N31" i="19"/>
  <c r="N32" i="19" s="1"/>
  <c r="O22" i="19"/>
  <c r="O31" i="19"/>
  <c r="M75" i="19"/>
  <c r="M74" i="19"/>
  <c r="M73" i="19"/>
  <c r="M72" i="19"/>
  <c r="M71" i="19"/>
  <c r="M70" i="19"/>
  <c r="N87" i="19"/>
  <c r="M85" i="19"/>
  <c r="M79" i="19"/>
  <c r="D76" i="19"/>
  <c r="K77" i="19" s="1"/>
  <c r="M82" i="19"/>
  <c r="S18" i="19"/>
  <c r="S27" i="19"/>
  <c r="N41" i="19"/>
  <c r="O79" i="19"/>
  <c r="O80" i="19" s="1"/>
  <c r="O65" i="19"/>
  <c r="O64" i="19"/>
  <c r="O63" i="19"/>
  <c r="O62" i="19"/>
  <c r="O61" i="19"/>
  <c r="O60" i="19"/>
  <c r="O82" i="19"/>
  <c r="O83" i="19" s="1"/>
  <c r="O75" i="19"/>
  <c r="O74" i="19"/>
  <c r="O73" i="19"/>
  <c r="O72" i="19"/>
  <c r="M60" i="19"/>
  <c r="M62" i="19"/>
  <c r="S63" i="19"/>
  <c r="M64" i="19"/>
  <c r="S65" i="19"/>
  <c r="O85" i="19"/>
  <c r="O86" i="19" s="1"/>
  <c r="S17" i="19"/>
  <c r="S21" i="19"/>
  <c r="S26" i="19"/>
  <c r="S30" i="19"/>
  <c r="R60" i="19"/>
  <c r="R70" i="19"/>
  <c r="O70" i="19"/>
  <c r="N85" i="19" l="1"/>
  <c r="S85" i="19"/>
  <c r="M86" i="19"/>
  <c r="S72" i="19"/>
  <c r="N72" i="19"/>
  <c r="N64" i="19"/>
  <c r="S64" i="19"/>
  <c r="M66" i="19"/>
  <c r="M67" i="19" s="1"/>
  <c r="N60" i="19"/>
  <c r="S60" i="19"/>
  <c r="S82" i="19"/>
  <c r="M83" i="19"/>
  <c r="S73" i="19"/>
  <c r="N73" i="19"/>
  <c r="O43" i="19"/>
  <c r="S70" i="19"/>
  <c r="M76" i="19"/>
  <c r="M77" i="19" s="1"/>
  <c r="N70" i="19"/>
  <c r="S74" i="19"/>
  <c r="N74" i="19"/>
  <c r="O76" i="19"/>
  <c r="O77" i="19" s="1"/>
  <c r="N62" i="19"/>
  <c r="S62" i="19"/>
  <c r="O66" i="19"/>
  <c r="O67" i="19" s="1"/>
  <c r="M80" i="19"/>
  <c r="N79" i="19"/>
  <c r="S79" i="19"/>
  <c r="S71" i="19"/>
  <c r="N71" i="19"/>
  <c r="S75" i="19"/>
  <c r="N75" i="19"/>
  <c r="N76" i="19" l="1"/>
  <c r="N66" i="19"/>
  <c r="N88" i="19" l="1"/>
  <c r="H85" i="17"/>
  <c r="F85" i="17"/>
  <c r="D85" i="17"/>
  <c r="K86" i="17" s="1"/>
  <c r="H82" i="17"/>
  <c r="F82" i="17"/>
  <c r="D82" i="17"/>
  <c r="K83" i="17" s="1"/>
  <c r="H79" i="17"/>
  <c r="F79" i="17"/>
  <c r="D79" i="17"/>
  <c r="K80" i="17" s="1"/>
  <c r="K76" i="17"/>
  <c r="H75" i="17"/>
  <c r="F75" i="17"/>
  <c r="D75" i="17"/>
  <c r="H74" i="17"/>
  <c r="F74" i="17"/>
  <c r="D74" i="17"/>
  <c r="H73" i="17"/>
  <c r="F73" i="17"/>
  <c r="D73" i="17"/>
  <c r="H72" i="17"/>
  <c r="F72" i="17"/>
  <c r="D72" i="17"/>
  <c r="H71" i="17"/>
  <c r="F71" i="17"/>
  <c r="D71" i="17"/>
  <c r="H70" i="17"/>
  <c r="F70" i="17"/>
  <c r="D70" i="17"/>
  <c r="K66" i="17"/>
  <c r="H65" i="17"/>
  <c r="F65" i="17"/>
  <c r="D65" i="17"/>
  <c r="H64" i="17"/>
  <c r="F64" i="17"/>
  <c r="D64" i="17"/>
  <c r="H63" i="17"/>
  <c r="F63" i="17"/>
  <c r="D63" i="17"/>
  <c r="H62" i="17"/>
  <c r="F62" i="17"/>
  <c r="D62" i="17"/>
  <c r="H61" i="17"/>
  <c r="F61" i="17"/>
  <c r="D61" i="17"/>
  <c r="H60" i="17"/>
  <c r="F60" i="17"/>
  <c r="D60" i="17"/>
  <c r="O58" i="17"/>
  <c r="O82" i="17" s="1"/>
  <c r="M58" i="17"/>
  <c r="M75" i="17" s="1"/>
  <c r="K55" i="17"/>
  <c r="O42" i="17"/>
  <c r="M41" i="17"/>
  <c r="K41" i="17"/>
  <c r="N40" i="17"/>
  <c r="M40" i="17"/>
  <c r="H40" i="17"/>
  <c r="K38" i="17"/>
  <c r="R37" i="17"/>
  <c r="N37" i="17"/>
  <c r="N38" i="17" s="1"/>
  <c r="M37" i="17"/>
  <c r="K35" i="17"/>
  <c r="R34" i="17"/>
  <c r="N34" i="17"/>
  <c r="O34" i="17" s="1"/>
  <c r="M34" i="17"/>
  <c r="S34" i="17" s="1"/>
  <c r="K31" i="17"/>
  <c r="H31" i="17"/>
  <c r="F31" i="17"/>
  <c r="D31" i="17"/>
  <c r="R30" i="17"/>
  <c r="N30" i="17"/>
  <c r="O30" i="17" s="1"/>
  <c r="M30" i="17"/>
  <c r="R29" i="17"/>
  <c r="N29" i="17"/>
  <c r="O29" i="17" s="1"/>
  <c r="M29" i="17"/>
  <c r="S29" i="17" s="1"/>
  <c r="R28" i="17"/>
  <c r="O28" i="17"/>
  <c r="N28" i="17"/>
  <c r="M28" i="17"/>
  <c r="S28" i="17" s="1"/>
  <c r="R27" i="17"/>
  <c r="O27" i="17"/>
  <c r="N27" i="17"/>
  <c r="M27" i="17"/>
  <c r="S27" i="17" s="1"/>
  <c r="R26" i="17"/>
  <c r="N26" i="17"/>
  <c r="O26" i="17" s="1"/>
  <c r="M26" i="17"/>
  <c r="R25" i="17"/>
  <c r="N25" i="17"/>
  <c r="O25" i="17" s="1"/>
  <c r="M25" i="17"/>
  <c r="S25" i="17" s="1"/>
  <c r="K22" i="17"/>
  <c r="H22" i="17"/>
  <c r="F22" i="17"/>
  <c r="D22" i="17"/>
  <c r="R21" i="17"/>
  <c r="N21" i="17"/>
  <c r="O21" i="17" s="1"/>
  <c r="M21" i="17"/>
  <c r="R20" i="17"/>
  <c r="N20" i="17"/>
  <c r="O20" i="17" s="1"/>
  <c r="M20" i="17"/>
  <c r="S20" i="17" s="1"/>
  <c r="R19" i="17"/>
  <c r="O19" i="17"/>
  <c r="N19" i="17"/>
  <c r="M19" i="17"/>
  <c r="S19" i="17" s="1"/>
  <c r="R18" i="17"/>
  <c r="O18" i="17"/>
  <c r="N18" i="17"/>
  <c r="M18" i="17"/>
  <c r="S18" i="17" s="1"/>
  <c r="R17" i="17"/>
  <c r="N17" i="17"/>
  <c r="O17" i="17" s="1"/>
  <c r="M17" i="17"/>
  <c r="R16" i="17"/>
  <c r="N16" i="17"/>
  <c r="O16" i="17" s="1"/>
  <c r="M16" i="17"/>
  <c r="S16" i="17" s="1"/>
  <c r="K10" i="17"/>
  <c r="D10" i="17"/>
  <c r="O83" i="17" l="1"/>
  <c r="F66" i="17"/>
  <c r="H66" i="17"/>
  <c r="R70" i="17"/>
  <c r="R74" i="17"/>
  <c r="D66" i="17"/>
  <c r="K67" i="17" s="1"/>
  <c r="M35" i="17"/>
  <c r="N41" i="17"/>
  <c r="O60" i="17"/>
  <c r="O61" i="17"/>
  <c r="O62" i="17"/>
  <c r="O63" i="17"/>
  <c r="O64" i="17"/>
  <c r="O65" i="17"/>
  <c r="O85" i="17"/>
  <c r="S17" i="17"/>
  <c r="S21" i="17"/>
  <c r="K23" i="17"/>
  <c r="M31" i="17"/>
  <c r="M32" i="17" s="1"/>
  <c r="S30" i="17"/>
  <c r="K32" i="17"/>
  <c r="S37" i="17"/>
  <c r="M38" i="17"/>
  <c r="S40" i="17"/>
  <c r="O79" i="17"/>
  <c r="O80" i="17" s="1"/>
  <c r="R71" i="17"/>
  <c r="R75" i="17"/>
  <c r="R61" i="17"/>
  <c r="R62" i="17"/>
  <c r="R63" i="17"/>
  <c r="R64" i="17"/>
  <c r="R65" i="17"/>
  <c r="R82" i="17"/>
  <c r="F76" i="17"/>
  <c r="R73" i="17"/>
  <c r="H76" i="17"/>
  <c r="R72" i="17"/>
  <c r="O86" i="17"/>
  <c r="O22" i="17"/>
  <c r="O31" i="17"/>
  <c r="N75" i="17"/>
  <c r="S26" i="17"/>
  <c r="N22" i="17"/>
  <c r="N23" i="17" s="1"/>
  <c r="N31" i="17"/>
  <c r="N32" i="17" s="1"/>
  <c r="N35" i="17"/>
  <c r="M60" i="17"/>
  <c r="M61" i="17"/>
  <c r="M62" i="17"/>
  <c r="M63" i="17"/>
  <c r="M64" i="17"/>
  <c r="M65" i="17"/>
  <c r="O70" i="17"/>
  <c r="O71" i="17"/>
  <c r="O72" i="17"/>
  <c r="O73" i="17"/>
  <c r="O74" i="17"/>
  <c r="O75" i="17"/>
  <c r="S75" i="17" s="1"/>
  <c r="M79" i="17"/>
  <c r="R85" i="17"/>
  <c r="M22" i="17"/>
  <c r="M23" i="17" s="1"/>
  <c r="O40" i="17"/>
  <c r="R60" i="17"/>
  <c r="D76" i="17"/>
  <c r="K77" i="17" s="1"/>
  <c r="R79" i="17"/>
  <c r="M82" i="17"/>
  <c r="M85" i="17"/>
  <c r="N87" i="17"/>
  <c r="M70" i="17"/>
  <c r="M71" i="17"/>
  <c r="M72" i="17"/>
  <c r="M73" i="17"/>
  <c r="M74" i="17"/>
  <c r="O66" i="17" l="1"/>
  <c r="O67" i="17" s="1"/>
  <c r="S70" i="17"/>
  <c r="M76" i="17"/>
  <c r="M77" i="17" s="1"/>
  <c r="N70" i="17"/>
  <c r="O76" i="17"/>
  <c r="O77" i="17" s="1"/>
  <c r="N62" i="17"/>
  <c r="S62" i="17"/>
  <c r="N65" i="17"/>
  <c r="S65" i="17"/>
  <c r="S72" i="17"/>
  <c r="N72" i="17"/>
  <c r="N85" i="17"/>
  <c r="S85" i="17"/>
  <c r="M86" i="17"/>
  <c r="M80" i="17"/>
  <c r="N79" i="17"/>
  <c r="S79" i="17"/>
  <c r="N64" i="17"/>
  <c r="S64" i="17"/>
  <c r="M66" i="17"/>
  <c r="M67" i="17" s="1"/>
  <c r="N60" i="17"/>
  <c r="S60" i="17"/>
  <c r="O43" i="17"/>
  <c r="S74" i="17"/>
  <c r="N74" i="17"/>
  <c r="S73" i="17"/>
  <c r="N73" i="17"/>
  <c r="N61" i="17"/>
  <c r="S61" i="17"/>
  <c r="S71" i="17"/>
  <c r="N71" i="17"/>
  <c r="S82" i="17"/>
  <c r="M83" i="17"/>
  <c r="N63" i="17"/>
  <c r="S63" i="17"/>
  <c r="N66" i="17" l="1"/>
  <c r="N76" i="17"/>
  <c r="N88" i="17" l="1"/>
  <c r="E10" i="16" l="1"/>
  <c r="L10" i="16"/>
  <c r="N16" i="16"/>
  <c r="O16" i="16"/>
  <c r="P16" i="16" s="1"/>
  <c r="S16" i="16"/>
  <c r="N17" i="16"/>
  <c r="T17" i="16" s="1"/>
  <c r="O17" i="16"/>
  <c r="P17" i="16" s="1"/>
  <c r="S17" i="16"/>
  <c r="N18" i="16"/>
  <c r="O18" i="16"/>
  <c r="P18" i="16" s="1"/>
  <c r="S18" i="16"/>
  <c r="N19" i="16"/>
  <c r="O19" i="16"/>
  <c r="P19" i="16" s="1"/>
  <c r="S19" i="16"/>
  <c r="N20" i="16"/>
  <c r="O20" i="16"/>
  <c r="P20" i="16" s="1"/>
  <c r="S20" i="16"/>
  <c r="N21" i="16"/>
  <c r="O21" i="16"/>
  <c r="P21" i="16" s="1"/>
  <c r="S21" i="16"/>
  <c r="T21" i="16"/>
  <c r="E22" i="16"/>
  <c r="G22" i="16"/>
  <c r="I22" i="16"/>
  <c r="L22" i="16"/>
  <c r="L23" i="16" s="1"/>
  <c r="N25" i="16"/>
  <c r="O25" i="16"/>
  <c r="P25" i="16" s="1"/>
  <c r="S25" i="16"/>
  <c r="N26" i="16"/>
  <c r="O26" i="16"/>
  <c r="P26" i="16" s="1"/>
  <c r="S26" i="16"/>
  <c r="N27" i="16"/>
  <c r="O27" i="16"/>
  <c r="P27" i="16" s="1"/>
  <c r="S27" i="16"/>
  <c r="T27" i="16"/>
  <c r="N28" i="16"/>
  <c r="O28" i="16"/>
  <c r="S28" i="16"/>
  <c r="N29" i="16"/>
  <c r="O29" i="16"/>
  <c r="P29" i="16" s="1"/>
  <c r="S29" i="16"/>
  <c r="N30" i="16"/>
  <c r="O30" i="16"/>
  <c r="P30" i="16" s="1"/>
  <c r="S30" i="16"/>
  <c r="E31" i="16"/>
  <c r="G31" i="16"/>
  <c r="I31" i="16"/>
  <c r="L31" i="16"/>
  <c r="L32" i="16" s="1"/>
  <c r="N34" i="16"/>
  <c r="N35" i="16" s="1"/>
  <c r="O34" i="16"/>
  <c r="P34" i="16" s="1"/>
  <c r="S34" i="16"/>
  <c r="L35" i="16"/>
  <c r="N37" i="16"/>
  <c r="O37" i="16"/>
  <c r="O38" i="16" s="1"/>
  <c r="S37" i="16"/>
  <c r="L38" i="16"/>
  <c r="N38" i="16"/>
  <c r="I40" i="16"/>
  <c r="N40" i="16"/>
  <c r="O40" i="16"/>
  <c r="L41" i="16"/>
  <c r="N41" i="16"/>
  <c r="P42" i="16"/>
  <c r="L55" i="16"/>
  <c r="N58" i="16"/>
  <c r="P58" i="16"/>
  <c r="P60" i="16" s="1"/>
  <c r="E60" i="16"/>
  <c r="G60" i="16"/>
  <c r="I60" i="16"/>
  <c r="N60" i="16"/>
  <c r="N66" i="16" s="1"/>
  <c r="E61" i="16"/>
  <c r="G61" i="16"/>
  <c r="I61" i="16"/>
  <c r="N61" i="16"/>
  <c r="E62" i="16"/>
  <c r="G62" i="16"/>
  <c r="I62" i="16"/>
  <c r="N62" i="16"/>
  <c r="E63" i="16"/>
  <c r="G63" i="16"/>
  <c r="I63" i="16"/>
  <c r="N63" i="16"/>
  <c r="E64" i="16"/>
  <c r="G64" i="16"/>
  <c r="I64" i="16"/>
  <c r="N64" i="16"/>
  <c r="E65" i="16"/>
  <c r="G65" i="16"/>
  <c r="I65" i="16"/>
  <c r="N65" i="16"/>
  <c r="L66" i="16"/>
  <c r="E70" i="16"/>
  <c r="G70" i="16"/>
  <c r="I70" i="16"/>
  <c r="N70" i="16"/>
  <c r="E71" i="16"/>
  <c r="G71" i="16"/>
  <c r="I71" i="16"/>
  <c r="N71" i="16"/>
  <c r="O71" i="16" s="1"/>
  <c r="E72" i="16"/>
  <c r="G72" i="16"/>
  <c r="I72" i="16"/>
  <c r="N72" i="16"/>
  <c r="E73" i="16"/>
  <c r="G73" i="16"/>
  <c r="I73" i="16"/>
  <c r="N73" i="16"/>
  <c r="E74" i="16"/>
  <c r="G74" i="16"/>
  <c r="I74" i="16"/>
  <c r="N74" i="16"/>
  <c r="E75" i="16"/>
  <c r="G75" i="16"/>
  <c r="I75" i="16"/>
  <c r="N75" i="16"/>
  <c r="L76" i="16"/>
  <c r="E79" i="16"/>
  <c r="L80" i="16" s="1"/>
  <c r="G79" i="16"/>
  <c r="I79" i="16"/>
  <c r="N79" i="16"/>
  <c r="N80" i="16" s="1"/>
  <c r="P79" i="16"/>
  <c r="E82" i="16"/>
  <c r="L83" i="16" s="1"/>
  <c r="G82" i="16"/>
  <c r="I82" i="16"/>
  <c r="N82" i="16"/>
  <c r="E85" i="16"/>
  <c r="L86" i="16" s="1"/>
  <c r="G85" i="16"/>
  <c r="I85" i="16"/>
  <c r="N85" i="16"/>
  <c r="P85" i="16"/>
  <c r="O87" i="16"/>
  <c r="S73" i="16" l="1"/>
  <c r="O72" i="16"/>
  <c r="P82" i="16"/>
  <c r="T82" i="16" s="1"/>
  <c r="O75" i="16"/>
  <c r="P74" i="16"/>
  <c r="G76" i="16"/>
  <c r="P65" i="16"/>
  <c r="T65" i="16" s="1"/>
  <c r="T30" i="16"/>
  <c r="T20" i="16"/>
  <c r="P63" i="16"/>
  <c r="T63" i="16" s="1"/>
  <c r="P40" i="16"/>
  <c r="T28" i="16"/>
  <c r="S74" i="16"/>
  <c r="P61" i="16"/>
  <c r="T61" i="16" s="1"/>
  <c r="P86" i="16"/>
  <c r="P83" i="16"/>
  <c r="S65" i="16"/>
  <c r="O64" i="16"/>
  <c r="I66" i="16"/>
  <c r="O62" i="16"/>
  <c r="S61" i="16"/>
  <c r="O60" i="16"/>
  <c r="N31" i="16"/>
  <c r="N32" i="16" s="1"/>
  <c r="P22" i="16"/>
  <c r="O85" i="16"/>
  <c r="O79" i="16"/>
  <c r="P75" i="16"/>
  <c r="T75" i="16" s="1"/>
  <c r="S75" i="16"/>
  <c r="P73" i="16"/>
  <c r="T73" i="16" s="1"/>
  <c r="P72" i="16"/>
  <c r="T72" i="16" s="1"/>
  <c r="S72" i="16"/>
  <c r="P71" i="16"/>
  <c r="T71" i="16" s="1"/>
  <c r="S71" i="16"/>
  <c r="P70" i="16"/>
  <c r="I76" i="16"/>
  <c r="O65" i="16"/>
  <c r="P64" i="16"/>
  <c r="T64" i="16" s="1"/>
  <c r="O63" i="16"/>
  <c r="P62" i="16"/>
  <c r="T62" i="16" s="1"/>
  <c r="O61" i="16"/>
  <c r="T40" i="16"/>
  <c r="T37" i="16"/>
  <c r="P28" i="16"/>
  <c r="T26" i="16"/>
  <c r="P31" i="16"/>
  <c r="P43" i="16" s="1"/>
  <c r="T19" i="16"/>
  <c r="T18" i="16"/>
  <c r="N22" i="16"/>
  <c r="N23" i="16" s="1"/>
  <c r="S70" i="16"/>
  <c r="S64" i="16"/>
  <c r="S60" i="16"/>
  <c r="S85" i="16"/>
  <c r="O73" i="16"/>
  <c r="G66" i="16"/>
  <c r="N67" i="16" s="1"/>
  <c r="S63" i="16"/>
  <c r="E76" i="16"/>
  <c r="L77" i="16" s="1"/>
  <c r="N86" i="16"/>
  <c r="S82" i="16"/>
  <c r="P80" i="16"/>
  <c r="S79" i="16"/>
  <c r="O74" i="16"/>
  <c r="O70" i="16"/>
  <c r="E66" i="16"/>
  <c r="L67" i="16" s="1"/>
  <c r="S62" i="16"/>
  <c r="T74" i="16"/>
  <c r="T85" i="16"/>
  <c r="T29" i="16"/>
  <c r="T25" i="16"/>
  <c r="N83" i="16"/>
  <c r="T79" i="16"/>
  <c r="T60" i="16"/>
  <c r="O35" i="16"/>
  <c r="O31" i="16"/>
  <c r="O32" i="16" s="1"/>
  <c r="O22" i="16"/>
  <c r="O23" i="16" s="1"/>
  <c r="T34" i="16"/>
  <c r="T16" i="16"/>
  <c r="N76" i="16"/>
  <c r="N77" i="16" s="1"/>
  <c r="O41" i="16"/>
  <c r="O66" i="16" l="1"/>
  <c r="O76" i="16"/>
  <c r="O88" i="16" s="1"/>
  <c r="P76" i="16"/>
  <c r="P77" i="16" s="1"/>
  <c r="T70" i="16"/>
  <c r="P66" i="16"/>
  <c r="P67" i="16" s="1"/>
  <c r="H85" i="14" l="1"/>
  <c r="F85" i="14"/>
  <c r="D85" i="14"/>
  <c r="K86" i="14" s="1"/>
  <c r="H82" i="14"/>
  <c r="F82" i="14"/>
  <c r="D82" i="14"/>
  <c r="H79" i="14"/>
  <c r="F79" i="14"/>
  <c r="D79" i="14"/>
  <c r="K80" i="14" s="1"/>
  <c r="K76" i="14"/>
  <c r="H75" i="14"/>
  <c r="F75" i="14"/>
  <c r="D75" i="14"/>
  <c r="H74" i="14"/>
  <c r="F74" i="14"/>
  <c r="D74" i="14"/>
  <c r="H73" i="14"/>
  <c r="F73" i="14"/>
  <c r="D73" i="14"/>
  <c r="H72" i="14"/>
  <c r="F72" i="14"/>
  <c r="D72" i="14"/>
  <c r="H71" i="14"/>
  <c r="F71" i="14"/>
  <c r="D71" i="14"/>
  <c r="H70" i="14"/>
  <c r="F70" i="14"/>
  <c r="D70" i="14"/>
  <c r="K66" i="14"/>
  <c r="H65" i="14"/>
  <c r="F65" i="14"/>
  <c r="D65" i="14"/>
  <c r="H64" i="14"/>
  <c r="F64" i="14"/>
  <c r="D64" i="14"/>
  <c r="H63" i="14"/>
  <c r="F63" i="14"/>
  <c r="D63" i="14"/>
  <c r="H62" i="14"/>
  <c r="F62" i="14"/>
  <c r="D62" i="14"/>
  <c r="H61" i="14"/>
  <c r="F61" i="14"/>
  <c r="D61" i="14"/>
  <c r="H60" i="14"/>
  <c r="F60" i="14"/>
  <c r="D60" i="14"/>
  <c r="R58" i="14"/>
  <c r="R79" i="14" s="1"/>
  <c r="M58" i="14"/>
  <c r="K55" i="14"/>
  <c r="K41" i="14"/>
  <c r="T40" i="14"/>
  <c r="N40" i="14"/>
  <c r="P40" i="14" s="1"/>
  <c r="M40" i="14"/>
  <c r="K38" i="14"/>
  <c r="T37" i="14"/>
  <c r="N37" i="14"/>
  <c r="U37" i="14" s="1"/>
  <c r="M37" i="14"/>
  <c r="M38" i="14" s="1"/>
  <c r="K35" i="14"/>
  <c r="T34" i="14"/>
  <c r="N34" i="14"/>
  <c r="N35" i="14" s="1"/>
  <c r="M34" i="14"/>
  <c r="M35" i="14" s="1"/>
  <c r="K31" i="14"/>
  <c r="H31" i="14"/>
  <c r="F31" i="14"/>
  <c r="D31" i="14"/>
  <c r="T30" i="14"/>
  <c r="N30" i="14"/>
  <c r="P30" i="14" s="1"/>
  <c r="M30" i="14"/>
  <c r="T29" i="14"/>
  <c r="N29" i="14"/>
  <c r="P29" i="14" s="1"/>
  <c r="M29" i="14"/>
  <c r="T28" i="14"/>
  <c r="N28" i="14"/>
  <c r="P28" i="14" s="1"/>
  <c r="M28" i="14"/>
  <c r="T27" i="14"/>
  <c r="N27" i="14"/>
  <c r="P27" i="14" s="1"/>
  <c r="M27" i="14"/>
  <c r="T26" i="14"/>
  <c r="N26" i="14"/>
  <c r="P26" i="14" s="1"/>
  <c r="M26" i="14"/>
  <c r="T25" i="14"/>
  <c r="N25" i="14"/>
  <c r="M25" i="14"/>
  <c r="K22" i="14"/>
  <c r="F22" i="14"/>
  <c r="D22" i="14"/>
  <c r="V21" i="14"/>
  <c r="T21" i="14"/>
  <c r="N21" i="14"/>
  <c r="P21" i="14" s="1"/>
  <c r="M21" i="14"/>
  <c r="T20" i="14"/>
  <c r="N20" i="14"/>
  <c r="P20" i="14" s="1"/>
  <c r="M20" i="14"/>
  <c r="N19" i="14"/>
  <c r="P19" i="14" s="1"/>
  <c r="M19" i="14"/>
  <c r="H19" i="14"/>
  <c r="T18" i="14"/>
  <c r="N18" i="14"/>
  <c r="P18" i="14" s="1"/>
  <c r="M18" i="14"/>
  <c r="U18" i="14" s="1"/>
  <c r="T17" i="14"/>
  <c r="P17" i="14"/>
  <c r="N17" i="14"/>
  <c r="M17" i="14"/>
  <c r="U17" i="14" s="1"/>
  <c r="T16" i="14"/>
  <c r="P16" i="14"/>
  <c r="N16" i="14"/>
  <c r="M16" i="14"/>
  <c r="U16" i="14" s="1"/>
  <c r="K10" i="14"/>
  <c r="D10" i="14"/>
  <c r="N41" i="14" l="1"/>
  <c r="N31" i="14"/>
  <c r="N32" i="14" s="1"/>
  <c r="U28" i="14"/>
  <c r="U29" i="14"/>
  <c r="T72" i="14"/>
  <c r="T82" i="14"/>
  <c r="U26" i="14"/>
  <c r="K32" i="14"/>
  <c r="U40" i="14"/>
  <c r="W19" i="14"/>
  <c r="M22" i="14"/>
  <c r="M23" i="14" s="1"/>
  <c r="R85" i="14"/>
  <c r="R86" i="14" s="1"/>
  <c r="U19" i="14"/>
  <c r="U20" i="14"/>
  <c r="U21" i="14"/>
  <c r="K23" i="14"/>
  <c r="U25" i="14"/>
  <c r="U27" i="14"/>
  <c r="U30" i="14"/>
  <c r="M41" i="14"/>
  <c r="D66" i="14"/>
  <c r="K67" i="14" s="1"/>
  <c r="T71" i="14"/>
  <c r="T61" i="14"/>
  <c r="T65" i="14"/>
  <c r="H66" i="14"/>
  <c r="T75" i="14"/>
  <c r="F66" i="14"/>
  <c r="H76" i="14"/>
  <c r="T85" i="14"/>
  <c r="R80" i="14"/>
  <c r="T64" i="14"/>
  <c r="T63" i="14"/>
  <c r="T74" i="14"/>
  <c r="T62" i="14"/>
  <c r="F76" i="14"/>
  <c r="T73" i="14"/>
  <c r="T79" i="14"/>
  <c r="K83" i="14"/>
  <c r="P34" i="14"/>
  <c r="T60" i="14"/>
  <c r="T70" i="14"/>
  <c r="D76" i="14"/>
  <c r="K77" i="14" s="1"/>
  <c r="N38" i="14"/>
  <c r="P22" i="14"/>
  <c r="M31" i="14"/>
  <c r="M32" i="14" s="1"/>
  <c r="M75" i="14"/>
  <c r="M74" i="14"/>
  <c r="M73" i="14"/>
  <c r="M72" i="14"/>
  <c r="M71" i="14"/>
  <c r="M70" i="14"/>
  <c r="M85" i="14"/>
  <c r="M79" i="14"/>
  <c r="M65" i="14"/>
  <c r="M64" i="14"/>
  <c r="M63" i="14"/>
  <c r="M62" i="14"/>
  <c r="M61" i="14"/>
  <c r="M60" i="14"/>
  <c r="M82" i="14"/>
  <c r="H22" i="14"/>
  <c r="V19" i="14"/>
  <c r="X19" i="14" s="1"/>
  <c r="T19" i="14"/>
  <c r="P25" i="14"/>
  <c r="P31" i="14" s="1"/>
  <c r="N22" i="14"/>
  <c r="N23" i="14" s="1"/>
  <c r="U34" i="14"/>
  <c r="R70" i="14"/>
  <c r="R71" i="14"/>
  <c r="R72" i="14"/>
  <c r="R73" i="14"/>
  <c r="R74" i="14"/>
  <c r="R75" i="14"/>
  <c r="R82" i="14"/>
  <c r="R83" i="14" s="1"/>
  <c r="R60" i="14"/>
  <c r="R61" i="14"/>
  <c r="R62" i="14"/>
  <c r="R63" i="14"/>
  <c r="R64" i="14"/>
  <c r="R65" i="14"/>
  <c r="R76" i="14" l="1"/>
  <c r="R77" i="14" s="1"/>
  <c r="M80" i="14"/>
  <c r="O79" i="14"/>
  <c r="U79" i="14"/>
  <c r="U75" i="14"/>
  <c r="O75" i="14"/>
  <c r="R66" i="14"/>
  <c r="R67" i="14" s="1"/>
  <c r="O63" i="14"/>
  <c r="U63" i="14"/>
  <c r="O64" i="14"/>
  <c r="U64" i="14"/>
  <c r="U73" i="14"/>
  <c r="O73" i="14"/>
  <c r="P43" i="14"/>
  <c r="O62" i="14"/>
  <c r="U62" i="14"/>
  <c r="U71" i="14"/>
  <c r="O71" i="14"/>
  <c r="U82" i="14"/>
  <c r="M83" i="14"/>
  <c r="O85" i="14"/>
  <c r="U85" i="14"/>
  <c r="M86" i="14"/>
  <c r="U72" i="14"/>
  <c r="O72" i="14"/>
  <c r="M66" i="14"/>
  <c r="M67" i="14" s="1"/>
  <c r="O60" i="14"/>
  <c r="U60" i="14"/>
  <c r="O61" i="14"/>
  <c r="U61" i="14"/>
  <c r="O65" i="14"/>
  <c r="U65" i="14"/>
  <c r="U70" i="14"/>
  <c r="M76" i="14"/>
  <c r="M77" i="14" s="1"/>
  <c r="O70" i="14"/>
  <c r="U74" i="14"/>
  <c r="O74" i="14"/>
  <c r="O76" i="14" l="1"/>
  <c r="O66" i="14"/>
  <c r="O88" i="14" l="1"/>
  <c r="O89" i="14" s="1"/>
  <c r="O28" i="12" l="1"/>
  <c r="N27" i="12"/>
  <c r="M27" i="12"/>
  <c r="L27" i="12"/>
  <c r="K27" i="12"/>
  <c r="J27" i="12"/>
  <c r="N26" i="12"/>
  <c r="M26" i="12"/>
  <c r="L26" i="12"/>
  <c r="K26" i="12"/>
  <c r="J26" i="12"/>
  <c r="N25" i="12"/>
  <c r="Y25" i="12" s="1"/>
  <c r="M23" i="12"/>
  <c r="L23" i="12"/>
  <c r="U22" i="12"/>
  <c r="T22" i="12"/>
  <c r="S22" i="12"/>
  <c r="R22" i="12"/>
  <c r="Q22" i="12"/>
  <c r="P22" i="12"/>
  <c r="O22" i="12"/>
  <c r="N22" i="12"/>
  <c r="U21" i="12"/>
  <c r="T21" i="12"/>
  <c r="S21" i="12"/>
  <c r="R21" i="12"/>
  <c r="Q21" i="12"/>
  <c r="P21" i="12"/>
  <c r="O21" i="12"/>
  <c r="N20" i="12"/>
  <c r="O20" i="12" s="1"/>
  <c r="P20" i="12" s="1"/>
  <c r="Q20" i="12" s="1"/>
  <c r="R20" i="12" s="1"/>
  <c r="S20" i="12" s="1"/>
  <c r="T20" i="12" s="1"/>
  <c r="U20" i="12" s="1"/>
  <c r="P14" i="12"/>
  <c r="N14" i="12"/>
  <c r="L14" i="12"/>
  <c r="J14" i="12"/>
  <c r="W12" i="12"/>
  <c r="S14" i="12"/>
  <c r="Q13" i="12"/>
  <c r="O12" i="12"/>
  <c r="T12" i="12"/>
  <c r="Q14" i="12"/>
  <c r="O13" i="12"/>
  <c r="M12" i="12"/>
  <c r="W14" i="12"/>
  <c r="T13" i="12"/>
  <c r="R12" i="12"/>
  <c r="O14" i="12"/>
  <c r="M13" i="12"/>
  <c r="K12" i="12"/>
  <c r="T14" i="12"/>
  <c r="R13" i="12"/>
  <c r="P12" i="12"/>
  <c r="M14" i="12"/>
  <c r="W13" i="12"/>
  <c r="P13" i="12"/>
  <c r="N12" i="12"/>
  <c r="K14" i="12"/>
  <c r="I13" i="12"/>
  <c r="N13" i="12"/>
  <c r="L12" i="12"/>
  <c r="I14" i="12"/>
  <c r="L13" i="12"/>
  <c r="J12" i="12"/>
  <c r="U13" i="12"/>
  <c r="S12" i="12"/>
  <c r="S13" i="12"/>
  <c r="Q12" i="12"/>
  <c r="K13" i="12"/>
  <c r="I12" i="12"/>
  <c r="U12" i="12"/>
  <c r="U14" i="12"/>
  <c r="R14" i="12"/>
  <c r="J13" i="12"/>
  <c r="X21" i="12" l="1"/>
  <c r="W22" i="12"/>
  <c r="O25" i="12"/>
  <c r="P25" i="12" s="1"/>
  <c r="Q25" i="12" s="1"/>
  <c r="R25" i="12" s="1"/>
  <c r="S25" i="12" s="1"/>
  <c r="T25" i="12" s="1"/>
  <c r="U25" i="12" s="1"/>
  <c r="W21" i="12"/>
  <c r="Y21" i="12" s="1"/>
  <c r="W23" i="12"/>
  <c r="X22" i="12"/>
  <c r="Y14" i="12"/>
  <c r="Y13" i="12"/>
  <c r="X23" i="12"/>
  <c r="BI13" i="9" l="1"/>
  <c r="Y23" i="12"/>
  <c r="I84" i="6" l="1"/>
  <c r="G84" i="6"/>
  <c r="E84" i="6"/>
  <c r="I81" i="6"/>
  <c r="G81" i="6"/>
  <c r="E81" i="6"/>
  <c r="L82" i="6" s="1"/>
  <c r="I78" i="6"/>
  <c r="G78" i="6"/>
  <c r="E78" i="6"/>
  <c r="L79" i="6" s="1"/>
  <c r="L75" i="6"/>
  <c r="I74" i="6"/>
  <c r="G74" i="6"/>
  <c r="E74" i="6"/>
  <c r="I73" i="6"/>
  <c r="G73" i="6"/>
  <c r="E73" i="6"/>
  <c r="I72" i="6"/>
  <c r="G72" i="6"/>
  <c r="E72" i="6"/>
  <c r="I71" i="6"/>
  <c r="G71" i="6"/>
  <c r="E71" i="6"/>
  <c r="I70" i="6"/>
  <c r="G70" i="6"/>
  <c r="E70" i="6"/>
  <c r="I69" i="6"/>
  <c r="G69" i="6"/>
  <c r="E69" i="6"/>
  <c r="T69" i="6" s="1"/>
  <c r="L65" i="6"/>
  <c r="I64" i="6"/>
  <c r="G64" i="6"/>
  <c r="E64" i="6"/>
  <c r="I63" i="6"/>
  <c r="G63" i="6"/>
  <c r="E63" i="6"/>
  <c r="I62" i="6"/>
  <c r="G62" i="6"/>
  <c r="E62" i="6"/>
  <c r="I61" i="6"/>
  <c r="G61" i="6"/>
  <c r="E61" i="6"/>
  <c r="I60" i="6"/>
  <c r="G60" i="6"/>
  <c r="E60" i="6"/>
  <c r="I59" i="6"/>
  <c r="G59" i="6"/>
  <c r="E59" i="6"/>
  <c r="R57" i="6"/>
  <c r="R81" i="6" s="1"/>
  <c r="N57" i="6"/>
  <c r="N84" i="6" s="1"/>
  <c r="L54" i="6"/>
  <c r="L40" i="6"/>
  <c r="T39" i="6"/>
  <c r="O39" i="6"/>
  <c r="O40" i="6" s="1"/>
  <c r="N39" i="6"/>
  <c r="U39" i="6" s="1"/>
  <c r="L37" i="6"/>
  <c r="T36" i="6"/>
  <c r="O36" i="6"/>
  <c r="O37" i="6" s="1"/>
  <c r="N36" i="6"/>
  <c r="U36" i="6" s="1"/>
  <c r="L34" i="6"/>
  <c r="T33" i="6"/>
  <c r="O33" i="6"/>
  <c r="O34" i="6" s="1"/>
  <c r="N33" i="6"/>
  <c r="N34" i="6" s="1"/>
  <c r="L30" i="6"/>
  <c r="I30" i="6"/>
  <c r="G30" i="6"/>
  <c r="E30" i="6"/>
  <c r="T29" i="6"/>
  <c r="O29" i="6"/>
  <c r="P29" i="6" s="1"/>
  <c r="N29" i="6"/>
  <c r="T28" i="6"/>
  <c r="O28" i="6"/>
  <c r="P28" i="6" s="1"/>
  <c r="N28" i="6"/>
  <c r="U28" i="6" s="1"/>
  <c r="T27" i="6"/>
  <c r="O27" i="6"/>
  <c r="P27" i="6" s="1"/>
  <c r="N27" i="6"/>
  <c r="T26" i="6"/>
  <c r="O26" i="6"/>
  <c r="P26" i="6" s="1"/>
  <c r="N26" i="6"/>
  <c r="T25" i="6"/>
  <c r="O25" i="6"/>
  <c r="P25" i="6" s="1"/>
  <c r="N25" i="6"/>
  <c r="T24" i="6"/>
  <c r="O24" i="6"/>
  <c r="N24" i="6"/>
  <c r="L21" i="6"/>
  <c r="I21" i="6"/>
  <c r="G21" i="6"/>
  <c r="E21" i="6"/>
  <c r="T20" i="6"/>
  <c r="O20" i="6"/>
  <c r="P20" i="6" s="1"/>
  <c r="N20" i="6"/>
  <c r="T19" i="6"/>
  <c r="O19" i="6"/>
  <c r="P19" i="6" s="1"/>
  <c r="N19" i="6"/>
  <c r="T18" i="6"/>
  <c r="O18" i="6"/>
  <c r="P18" i="6" s="1"/>
  <c r="N18" i="6"/>
  <c r="T17" i="6"/>
  <c r="O17" i="6"/>
  <c r="P17" i="6" s="1"/>
  <c r="N17" i="6"/>
  <c r="T16" i="6"/>
  <c r="O16" i="6"/>
  <c r="P16" i="6" s="1"/>
  <c r="N16" i="6"/>
  <c r="T15" i="6"/>
  <c r="O15" i="6"/>
  <c r="O21" i="6" s="1"/>
  <c r="O22" i="6" s="1"/>
  <c r="N15" i="6"/>
  <c r="L9" i="6"/>
  <c r="E9" i="6"/>
  <c r="P78" i="5"/>
  <c r="M78" i="5"/>
  <c r="H78" i="5"/>
  <c r="F78" i="5"/>
  <c r="D78" i="5"/>
  <c r="N76" i="5"/>
  <c r="P75" i="5"/>
  <c r="M75" i="5"/>
  <c r="H75" i="5"/>
  <c r="F75" i="5"/>
  <c r="D75" i="5"/>
  <c r="L76" i="5" s="1"/>
  <c r="P72" i="5"/>
  <c r="M72" i="5"/>
  <c r="H72" i="5"/>
  <c r="F72" i="5"/>
  <c r="D72" i="5"/>
  <c r="L73" i="5" s="1"/>
  <c r="P69" i="5"/>
  <c r="M69" i="5"/>
  <c r="L69" i="5"/>
  <c r="L70" i="5" s="1"/>
  <c r="H69" i="5"/>
  <c r="F69" i="5"/>
  <c r="D69" i="5"/>
  <c r="P68" i="5"/>
  <c r="M68" i="5"/>
  <c r="H68" i="5"/>
  <c r="F68" i="5"/>
  <c r="D68" i="5"/>
  <c r="P67" i="5"/>
  <c r="M67" i="5"/>
  <c r="H67" i="5"/>
  <c r="F67" i="5"/>
  <c r="D67" i="5"/>
  <c r="P66" i="5"/>
  <c r="M66" i="5"/>
  <c r="H66" i="5"/>
  <c r="F66" i="5"/>
  <c r="D66" i="5"/>
  <c r="P65" i="5"/>
  <c r="M65" i="5"/>
  <c r="H65" i="5"/>
  <c r="F65" i="5"/>
  <c r="D65" i="5"/>
  <c r="P64" i="5"/>
  <c r="M64" i="5"/>
  <c r="H64" i="5"/>
  <c r="F64" i="5"/>
  <c r="D64" i="5"/>
  <c r="P61" i="5"/>
  <c r="M61" i="5"/>
  <c r="L61" i="5"/>
  <c r="L62" i="5" s="1"/>
  <c r="H61" i="5"/>
  <c r="F61" i="5"/>
  <c r="D61" i="5"/>
  <c r="P60" i="5"/>
  <c r="M60" i="5"/>
  <c r="H60" i="5"/>
  <c r="F60" i="5"/>
  <c r="D60" i="5"/>
  <c r="P59" i="5"/>
  <c r="M59" i="5"/>
  <c r="H59" i="5"/>
  <c r="F59" i="5"/>
  <c r="D59" i="5"/>
  <c r="P58" i="5"/>
  <c r="M58" i="5"/>
  <c r="H58" i="5"/>
  <c r="F58" i="5"/>
  <c r="D58" i="5"/>
  <c r="P57" i="5"/>
  <c r="M57" i="5"/>
  <c r="H57" i="5"/>
  <c r="F57" i="5"/>
  <c r="D57" i="5"/>
  <c r="P56" i="5"/>
  <c r="M56" i="5"/>
  <c r="H56" i="5"/>
  <c r="F56" i="5"/>
  <c r="D56" i="5"/>
  <c r="K51" i="5"/>
  <c r="L37" i="5"/>
  <c r="S36" i="5"/>
  <c r="O36" i="5"/>
  <c r="P36" i="5" s="1"/>
  <c r="P37" i="5" s="1"/>
  <c r="M36" i="5"/>
  <c r="T36" i="5" s="1"/>
  <c r="P34" i="5"/>
  <c r="L34" i="5"/>
  <c r="S33" i="5"/>
  <c r="O33" i="5"/>
  <c r="M33" i="5"/>
  <c r="N34" i="5" s="1"/>
  <c r="L31" i="5"/>
  <c r="S30" i="5"/>
  <c r="O30" i="5"/>
  <c r="P30" i="5" s="1"/>
  <c r="P31" i="5" s="1"/>
  <c r="M30" i="5"/>
  <c r="N31" i="5" s="1"/>
  <c r="S27" i="5"/>
  <c r="O27" i="5"/>
  <c r="P27" i="5" s="1"/>
  <c r="M27" i="5"/>
  <c r="L27" i="5"/>
  <c r="I27" i="5"/>
  <c r="G27" i="5"/>
  <c r="N28" i="5" s="1"/>
  <c r="E27" i="5"/>
  <c r="S26" i="5"/>
  <c r="O26" i="5"/>
  <c r="P26" i="5" s="1"/>
  <c r="M26" i="5"/>
  <c r="S25" i="5"/>
  <c r="O25" i="5"/>
  <c r="P25" i="5" s="1"/>
  <c r="M25" i="5"/>
  <c r="S24" i="5"/>
  <c r="O24" i="5"/>
  <c r="P24" i="5" s="1"/>
  <c r="M24" i="5"/>
  <c r="S23" i="5"/>
  <c r="O23" i="5"/>
  <c r="P23" i="5" s="1"/>
  <c r="M23" i="5"/>
  <c r="S22" i="5"/>
  <c r="O22" i="5"/>
  <c r="P22" i="5" s="1"/>
  <c r="M22" i="5"/>
  <c r="S19" i="5"/>
  <c r="O19" i="5"/>
  <c r="P19" i="5" s="1"/>
  <c r="M19" i="5"/>
  <c r="L19" i="5"/>
  <c r="I19" i="5"/>
  <c r="G19" i="5"/>
  <c r="N20" i="5" s="1"/>
  <c r="E19" i="5"/>
  <c r="S18" i="5"/>
  <c r="O18" i="5"/>
  <c r="P18" i="5" s="1"/>
  <c r="M18" i="5"/>
  <c r="S17" i="5"/>
  <c r="O17" i="5"/>
  <c r="P17" i="5" s="1"/>
  <c r="M17" i="5"/>
  <c r="T17" i="5" s="1"/>
  <c r="S16" i="5"/>
  <c r="O16" i="5"/>
  <c r="P16" i="5" s="1"/>
  <c r="M16" i="5"/>
  <c r="S15" i="5"/>
  <c r="O15" i="5"/>
  <c r="P15" i="5" s="1"/>
  <c r="M15" i="5"/>
  <c r="S14" i="5"/>
  <c r="O14" i="5"/>
  <c r="P14" i="5" s="1"/>
  <c r="K9" i="5"/>
  <c r="D9" i="5"/>
  <c r="H78" i="4"/>
  <c r="F78" i="4"/>
  <c r="D78" i="4"/>
  <c r="L79" i="4" s="1"/>
  <c r="N76" i="4"/>
  <c r="H75" i="4"/>
  <c r="F75" i="4"/>
  <c r="D75" i="4"/>
  <c r="H72" i="4"/>
  <c r="F72" i="4"/>
  <c r="D72" i="4"/>
  <c r="L73" i="4" s="1"/>
  <c r="L69" i="4"/>
  <c r="L70" i="4" s="1"/>
  <c r="H69" i="4"/>
  <c r="F69" i="4"/>
  <c r="D69" i="4"/>
  <c r="H68" i="4"/>
  <c r="F68" i="4"/>
  <c r="D68" i="4"/>
  <c r="H67" i="4"/>
  <c r="F67" i="4"/>
  <c r="D67" i="4"/>
  <c r="H66" i="4"/>
  <c r="F66" i="4"/>
  <c r="D66" i="4"/>
  <c r="H65" i="4"/>
  <c r="F65" i="4"/>
  <c r="D65" i="4"/>
  <c r="H64" i="4"/>
  <c r="F64" i="4"/>
  <c r="D64" i="4"/>
  <c r="L61" i="4"/>
  <c r="L62" i="4" s="1"/>
  <c r="H61" i="4"/>
  <c r="F61" i="4"/>
  <c r="D61" i="4"/>
  <c r="H60" i="4"/>
  <c r="F60" i="4"/>
  <c r="D60" i="4"/>
  <c r="H59" i="4"/>
  <c r="F59" i="4"/>
  <c r="D59" i="4"/>
  <c r="H58" i="4"/>
  <c r="F58" i="4"/>
  <c r="D58" i="4"/>
  <c r="H57" i="4"/>
  <c r="F57" i="4"/>
  <c r="D57" i="4"/>
  <c r="H56" i="4"/>
  <c r="F56" i="4"/>
  <c r="D56" i="4"/>
  <c r="O54" i="4"/>
  <c r="M54" i="4"/>
  <c r="M75" i="4" s="1"/>
  <c r="K51" i="4"/>
  <c r="P38" i="4"/>
  <c r="L37" i="4"/>
  <c r="R36" i="4"/>
  <c r="O36" i="4"/>
  <c r="P36" i="4" s="1"/>
  <c r="P37" i="4" s="1"/>
  <c r="M36" i="4"/>
  <c r="N37" i="4" s="1"/>
  <c r="P34" i="4"/>
  <c r="L34" i="4"/>
  <c r="R33" i="4"/>
  <c r="O33" i="4"/>
  <c r="M33" i="4"/>
  <c r="N34" i="4" s="1"/>
  <c r="L31" i="4"/>
  <c r="R30" i="4"/>
  <c r="O30" i="4"/>
  <c r="P30" i="4" s="1"/>
  <c r="P31" i="4" s="1"/>
  <c r="M30" i="4"/>
  <c r="N31" i="4" s="1"/>
  <c r="N28" i="4"/>
  <c r="R27" i="4"/>
  <c r="P27" i="4"/>
  <c r="O27" i="4"/>
  <c r="M27" i="4"/>
  <c r="S27" i="4" s="1"/>
  <c r="L27" i="4"/>
  <c r="I27" i="4"/>
  <c r="G27" i="4"/>
  <c r="E27" i="4"/>
  <c r="R26" i="4"/>
  <c r="O26" i="4"/>
  <c r="P26" i="4" s="1"/>
  <c r="M26" i="4"/>
  <c r="R25" i="4"/>
  <c r="O25" i="4"/>
  <c r="P25" i="4" s="1"/>
  <c r="M25" i="4"/>
  <c r="S25" i="4" s="1"/>
  <c r="R24" i="4"/>
  <c r="P24" i="4"/>
  <c r="O24" i="4"/>
  <c r="M24" i="4"/>
  <c r="S24" i="4" s="1"/>
  <c r="R23" i="4"/>
  <c r="P23" i="4"/>
  <c r="O23" i="4"/>
  <c r="M23" i="4"/>
  <c r="S23" i="4" s="1"/>
  <c r="R22" i="4"/>
  <c r="O22" i="4"/>
  <c r="P22" i="4" s="1"/>
  <c r="M22" i="4"/>
  <c r="R19" i="4"/>
  <c r="O19" i="4"/>
  <c r="P19" i="4" s="1"/>
  <c r="M19" i="4"/>
  <c r="S19" i="4" s="1"/>
  <c r="L19" i="4"/>
  <c r="I19" i="4"/>
  <c r="G19" i="4"/>
  <c r="N20" i="4" s="1"/>
  <c r="E19" i="4"/>
  <c r="R18" i="4"/>
  <c r="O18" i="4"/>
  <c r="P18" i="4" s="1"/>
  <c r="M18" i="4"/>
  <c r="R17" i="4"/>
  <c r="O17" i="4"/>
  <c r="P17" i="4" s="1"/>
  <c r="M17" i="4"/>
  <c r="R16" i="4"/>
  <c r="O16" i="4"/>
  <c r="P16" i="4" s="1"/>
  <c r="M16" i="4"/>
  <c r="R15" i="4"/>
  <c r="O15" i="4"/>
  <c r="P15" i="4" s="1"/>
  <c r="M15" i="4"/>
  <c r="R14" i="4"/>
  <c r="O14" i="4"/>
  <c r="P14" i="4" s="1"/>
  <c r="M14" i="4"/>
  <c r="K9" i="4"/>
  <c r="D9" i="4"/>
  <c r="T72" i="6" l="1"/>
  <c r="T73" i="6"/>
  <c r="R82" i="6"/>
  <c r="T61" i="6"/>
  <c r="S22" i="4"/>
  <c r="S33" i="4"/>
  <c r="N78" i="5"/>
  <c r="N79" i="5" s="1"/>
  <c r="U20" i="6"/>
  <c r="O30" i="6"/>
  <c r="O31" i="6" s="1"/>
  <c r="E65" i="6"/>
  <c r="L66" i="6" s="1"/>
  <c r="T60" i="6"/>
  <c r="T64" i="6"/>
  <c r="S18" i="4"/>
  <c r="S26" i="4"/>
  <c r="N58" i="5"/>
  <c r="T63" i="6"/>
  <c r="I75" i="6"/>
  <c r="T71" i="6"/>
  <c r="T57" i="5"/>
  <c r="U17" i="6"/>
  <c r="U18" i="6"/>
  <c r="L22" i="6"/>
  <c r="U25" i="6"/>
  <c r="I65" i="6"/>
  <c r="T62" i="6"/>
  <c r="T70" i="6"/>
  <c r="S14" i="4"/>
  <c r="S15" i="4"/>
  <c r="P20" i="4"/>
  <c r="S36" i="4"/>
  <c r="M57" i="4"/>
  <c r="S16" i="4"/>
  <c r="S17" i="4"/>
  <c r="L20" i="4"/>
  <c r="P28" i="4"/>
  <c r="L28" i="4"/>
  <c r="S30" i="4"/>
  <c r="M59" i="4"/>
  <c r="R59" i="6"/>
  <c r="R60" i="6"/>
  <c r="R61" i="6"/>
  <c r="R62" i="6"/>
  <c r="R63" i="6"/>
  <c r="R64" i="6"/>
  <c r="T74" i="6"/>
  <c r="R78" i="6"/>
  <c r="R79" i="6" s="1"/>
  <c r="N21" i="6"/>
  <c r="N22" i="6" s="1"/>
  <c r="P15" i="6"/>
  <c r="U16" i="6"/>
  <c r="U19" i="6"/>
  <c r="N30" i="6"/>
  <c r="N31" i="6" s="1"/>
  <c r="U26" i="6"/>
  <c r="U27" i="6"/>
  <c r="U29" i="6"/>
  <c r="L31" i="6"/>
  <c r="N69" i="6"/>
  <c r="N70" i="6"/>
  <c r="N71" i="6"/>
  <c r="N72" i="6"/>
  <c r="N73" i="6"/>
  <c r="N74" i="6"/>
  <c r="L20" i="5"/>
  <c r="T14" i="5"/>
  <c r="T15" i="5"/>
  <c r="T19" i="5"/>
  <c r="T22" i="5"/>
  <c r="T56" i="5"/>
  <c r="T60" i="5"/>
  <c r="T75" i="5"/>
  <c r="T16" i="5"/>
  <c r="L28" i="5"/>
  <c r="T27" i="5"/>
  <c r="T18" i="5"/>
  <c r="Q69" i="5"/>
  <c r="Q61" i="5"/>
  <c r="N59" i="5"/>
  <c r="N72" i="5"/>
  <c r="N73" i="5" s="1"/>
  <c r="T58" i="5"/>
  <c r="T61" i="5"/>
  <c r="N56" i="5"/>
  <c r="N60" i="5"/>
  <c r="N69" i="5"/>
  <c r="T69" i="5"/>
  <c r="N57" i="5"/>
  <c r="T59" i="5"/>
  <c r="T72" i="5"/>
  <c r="Q76" i="5"/>
  <c r="T78" i="5"/>
  <c r="T25" i="5"/>
  <c r="T26" i="5"/>
  <c r="T23" i="5"/>
  <c r="T24" i="5"/>
  <c r="N37" i="5"/>
  <c r="G75" i="6"/>
  <c r="S78" i="5"/>
  <c r="R66" i="4"/>
  <c r="R75" i="4"/>
  <c r="T81" i="6"/>
  <c r="T84" i="6"/>
  <c r="N59" i="4"/>
  <c r="G65" i="6"/>
  <c r="I69" i="5"/>
  <c r="Q70" i="5" s="1"/>
  <c r="N57" i="4"/>
  <c r="R59" i="4"/>
  <c r="R78" i="4"/>
  <c r="I61" i="5"/>
  <c r="S58" i="5"/>
  <c r="S61" i="5"/>
  <c r="N64" i="5"/>
  <c r="S65" i="5"/>
  <c r="N68" i="5"/>
  <c r="R57" i="4"/>
  <c r="R67" i="4"/>
  <c r="R72" i="4"/>
  <c r="N65" i="5"/>
  <c r="S59" i="5"/>
  <c r="S66" i="5"/>
  <c r="S75" i="5"/>
  <c r="Q79" i="5"/>
  <c r="S56" i="5"/>
  <c r="S60" i="5"/>
  <c r="N66" i="5"/>
  <c r="S67" i="5"/>
  <c r="S69" i="5"/>
  <c r="S57" i="5"/>
  <c r="S64" i="5"/>
  <c r="N67" i="5"/>
  <c r="S68" i="5"/>
  <c r="Q73" i="5"/>
  <c r="T78" i="6"/>
  <c r="O70" i="6"/>
  <c r="O71" i="6"/>
  <c r="O72" i="6"/>
  <c r="O73" i="6"/>
  <c r="O74" i="6"/>
  <c r="I61" i="4"/>
  <c r="R58" i="4"/>
  <c r="R60" i="4"/>
  <c r="I69" i="4"/>
  <c r="L76" i="4"/>
  <c r="R65" i="4"/>
  <c r="R69" i="4"/>
  <c r="R64" i="4"/>
  <c r="R68" i="4"/>
  <c r="N85" i="6"/>
  <c r="O84" i="6"/>
  <c r="P21" i="6"/>
  <c r="U15" i="6"/>
  <c r="U24" i="6"/>
  <c r="U33" i="6"/>
  <c r="L85" i="6"/>
  <c r="N37" i="6"/>
  <c r="P39" i="6"/>
  <c r="N40" i="6"/>
  <c r="T59" i="6"/>
  <c r="O69" i="6"/>
  <c r="E75" i="6"/>
  <c r="L76" i="6" s="1"/>
  <c r="N81" i="6"/>
  <c r="R84" i="6"/>
  <c r="R85" i="6" s="1"/>
  <c r="P24" i="6"/>
  <c r="P30" i="6" s="1"/>
  <c r="P33" i="6"/>
  <c r="N59" i="6"/>
  <c r="N60" i="6"/>
  <c r="N61" i="6"/>
  <c r="N62" i="6"/>
  <c r="N63" i="6"/>
  <c r="N64" i="6"/>
  <c r="R69" i="6"/>
  <c r="U69" i="6" s="1"/>
  <c r="R70" i="6"/>
  <c r="U70" i="6" s="1"/>
  <c r="R71" i="6"/>
  <c r="U71" i="6" s="1"/>
  <c r="R72" i="6"/>
  <c r="U72" i="6" s="1"/>
  <c r="R73" i="6"/>
  <c r="U73" i="6" s="1"/>
  <c r="R74" i="6"/>
  <c r="U74" i="6" s="1"/>
  <c r="N78" i="6"/>
  <c r="P20" i="5"/>
  <c r="P28" i="5"/>
  <c r="T30" i="5"/>
  <c r="T64" i="5"/>
  <c r="T65" i="5"/>
  <c r="T66" i="5"/>
  <c r="T67" i="5"/>
  <c r="T68" i="5"/>
  <c r="L79" i="5"/>
  <c r="T33" i="5"/>
  <c r="N61" i="5"/>
  <c r="S72" i="5"/>
  <c r="P39" i="4"/>
  <c r="M68" i="4"/>
  <c r="M67" i="4"/>
  <c r="M66" i="4"/>
  <c r="M65" i="4"/>
  <c r="M64" i="4"/>
  <c r="M61" i="4"/>
  <c r="N80" i="4"/>
  <c r="M78" i="4"/>
  <c r="M72" i="4"/>
  <c r="M69" i="4"/>
  <c r="M60" i="4"/>
  <c r="O72" i="4"/>
  <c r="P73" i="4" s="1"/>
  <c r="O69" i="4"/>
  <c r="O60" i="4"/>
  <c r="O59" i="4"/>
  <c r="O58" i="4"/>
  <c r="O57" i="4"/>
  <c r="S57" i="4" s="1"/>
  <c r="O56" i="4"/>
  <c r="O75" i="4"/>
  <c r="P76" i="4" s="1"/>
  <c r="O68" i="4"/>
  <c r="O67" i="4"/>
  <c r="O66" i="4"/>
  <c r="O65" i="4"/>
  <c r="O64" i="4"/>
  <c r="O61" i="4"/>
  <c r="M56" i="4"/>
  <c r="M58" i="4"/>
  <c r="O78" i="4"/>
  <c r="P79" i="4" s="1"/>
  <c r="R56" i="4"/>
  <c r="R61" i="4"/>
  <c r="S59" i="4" l="1"/>
  <c r="P61" i="4"/>
  <c r="P62" i="4" s="1"/>
  <c r="S75" i="4"/>
  <c r="N75" i="6"/>
  <c r="N76" i="6" s="1"/>
  <c r="R65" i="6"/>
  <c r="R66" i="6" s="1"/>
  <c r="N62" i="5"/>
  <c r="Q62" i="5"/>
  <c r="N70" i="5"/>
  <c r="N81" i="5" s="1"/>
  <c r="O82" i="5" s="1"/>
  <c r="O75" i="6"/>
  <c r="R75" i="6"/>
  <c r="R76" i="6" s="1"/>
  <c r="O64" i="6"/>
  <c r="U64" i="6"/>
  <c r="O60" i="6"/>
  <c r="U60" i="6"/>
  <c r="U84" i="6"/>
  <c r="O62" i="6"/>
  <c r="U62" i="6"/>
  <c r="O61" i="6"/>
  <c r="U61" i="6"/>
  <c r="O78" i="6"/>
  <c r="U78" i="6"/>
  <c r="N79" i="6"/>
  <c r="O63" i="6"/>
  <c r="U63" i="6"/>
  <c r="N65" i="6"/>
  <c r="N66" i="6" s="1"/>
  <c r="O59" i="6"/>
  <c r="U59" i="6"/>
  <c r="N82" i="6"/>
  <c r="U81" i="6"/>
  <c r="P42" i="6"/>
  <c r="P39" i="5"/>
  <c r="Q40" i="5" s="1"/>
  <c r="N56" i="4"/>
  <c r="S56" i="4"/>
  <c r="S69" i="4"/>
  <c r="N69" i="4"/>
  <c r="N61" i="4"/>
  <c r="S61" i="4"/>
  <c r="S67" i="4"/>
  <c r="N67" i="4"/>
  <c r="N72" i="4"/>
  <c r="N73" i="4" s="1"/>
  <c r="S72" i="4"/>
  <c r="S64" i="4"/>
  <c r="N64" i="4"/>
  <c r="S68" i="4"/>
  <c r="N68" i="4"/>
  <c r="N58" i="4"/>
  <c r="S58" i="4"/>
  <c r="P69" i="4"/>
  <c r="P70" i="4" s="1"/>
  <c r="N78" i="4"/>
  <c r="N79" i="4" s="1"/>
  <c r="S78" i="4"/>
  <c r="S65" i="4"/>
  <c r="N65" i="4"/>
  <c r="N60" i="4"/>
  <c r="S60" i="4"/>
  <c r="S66" i="4"/>
  <c r="N66" i="4"/>
  <c r="R43" i="6" l="1"/>
  <c r="Q43" i="6"/>
  <c r="N70" i="4"/>
  <c r="O65" i="6"/>
  <c r="O87" i="6" s="1"/>
  <c r="N62" i="4"/>
  <c r="N81" i="4" l="1"/>
  <c r="Q88" i="6"/>
  <c r="P88" i="6"/>
  <c r="BI9" i="9" l="1"/>
  <c r="BI14" i="9" s="1"/>
  <c r="BD3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8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9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O19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9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O19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sharedStrings.xml><?xml version="1.0" encoding="utf-8"?>
<sst xmlns="http://schemas.openxmlformats.org/spreadsheetml/2006/main" count="1433" uniqueCount="161">
  <si>
    <t>Ledger Type</t>
  </si>
  <si>
    <t>AA</t>
  </si>
  <si>
    <t>UW</t>
  </si>
  <si>
    <t>UO</t>
  </si>
  <si>
    <t>Year</t>
  </si>
  <si>
    <t>Format</t>
  </si>
  <si>
    <t>PER</t>
  </si>
  <si>
    <t>Period</t>
  </si>
  <si>
    <t>Currency</t>
  </si>
  <si>
    <t>***</t>
  </si>
  <si>
    <t>Business Unit</t>
  </si>
  <si>
    <t>Company</t>
  </si>
  <si>
    <t>00047</t>
  </si>
  <si>
    <t>*</t>
  </si>
  <si>
    <t>Total Company</t>
  </si>
  <si>
    <t>Washington</t>
  </si>
  <si>
    <t>Oregon</t>
  </si>
  <si>
    <t>Check</t>
  </si>
  <si>
    <t>3-Factor</t>
  </si>
  <si>
    <t>WA</t>
  </si>
  <si>
    <t>OR</t>
  </si>
  <si>
    <t>2017</t>
  </si>
  <si>
    <t>2021</t>
  </si>
  <si>
    <t>12</t>
  </si>
  <si>
    <t>3</t>
  </si>
  <si>
    <t>CNG</t>
  </si>
  <si>
    <t>Object Account</t>
  </si>
  <si>
    <t>Sub Account</t>
  </si>
  <si>
    <t>5511</t>
  </si>
  <si>
    <t>Commercial Air Service</t>
  </si>
  <si>
    <t>5512</t>
  </si>
  <si>
    <t>Corporate Aircraft</t>
  </si>
  <si>
    <t>5514</t>
  </si>
  <si>
    <t>Personal Vehicle Use</t>
  </si>
  <si>
    <t>5521</t>
  </si>
  <si>
    <t>Meals &amp; Entertainment</t>
  </si>
  <si>
    <t>5522</t>
  </si>
  <si>
    <t>Lodging &amp; Other Reimbursable Expense</t>
  </si>
  <si>
    <t>5523</t>
  </si>
  <si>
    <t>Entertainment</t>
  </si>
  <si>
    <t>5830</t>
  </si>
  <si>
    <t>Employee Meeting</t>
  </si>
  <si>
    <t>5840</t>
  </si>
  <si>
    <t>Service Club Dues</t>
  </si>
  <si>
    <t>5851</t>
  </si>
  <si>
    <t>Seminars &amp; Meeting Registration</t>
  </si>
  <si>
    <t>5852</t>
  </si>
  <si>
    <t>Executive Training</t>
  </si>
  <si>
    <t>5853</t>
  </si>
  <si>
    <t>Safety Training Materials &amp; Expenses</t>
  </si>
  <si>
    <t>5854</t>
  </si>
  <si>
    <t>Other Employee Training</t>
  </si>
  <si>
    <t>5223</t>
  </si>
  <si>
    <t>External Auditing</t>
  </si>
  <si>
    <t>5400</t>
  </si>
  <si>
    <t>Company Vehicles &amp; Work Equipment</t>
  </si>
  <si>
    <t>Per Tony's Covid-19 Mileage-Auto Cost History.xlsx file</t>
  </si>
  <si>
    <t>monthly average 9 months</t>
  </si>
  <si>
    <t>5891</t>
  </si>
  <si>
    <t>Uniforms</t>
  </si>
  <si>
    <t>Care Act tax credit</t>
  </si>
  <si>
    <t>12-month average</t>
  </si>
  <si>
    <t>2015-2019 5 Year Average less January-February 2020</t>
  </si>
  <si>
    <t>Savings</t>
  </si>
  <si>
    <t>1</t>
  </si>
  <si>
    <t>2</t>
  </si>
  <si>
    <t>Object Acc</t>
  </si>
  <si>
    <t>Total CNC</t>
  </si>
  <si>
    <t>Total</t>
  </si>
  <si>
    <t>Explanation</t>
  </si>
  <si>
    <t>2020 3-Factor Rates</t>
  </si>
  <si>
    <t>2021 3-Factor Rates</t>
  </si>
  <si>
    <t>YTD</t>
  </si>
  <si>
    <t>Subledger Type</t>
  </si>
  <si>
    <t>Object</t>
  </si>
  <si>
    <t>Subsidiary</t>
  </si>
  <si>
    <t>Subledger</t>
  </si>
  <si>
    <t>4767000</t>
  </si>
  <si>
    <t>[*,/5960}</t>
  </si>
  <si>
    <t>W</t>
  </si>
  <si>
    <t>00278597</t>
  </si>
  <si>
    <t>2019</t>
  </si>
  <si>
    <t xml:space="preserve">3-year average because Mar-Dec 2019 one time higher Uniforms costs </t>
  </si>
  <si>
    <t>Due to one time higher than normal uniform costs Mar-Dec 2019</t>
  </si>
  <si>
    <t>5</t>
  </si>
  <si>
    <t>Mar</t>
  </si>
  <si>
    <t>4</t>
  </si>
  <si>
    <t>6</t>
  </si>
  <si>
    <t xml:space="preserve">3 year average because Mar-Dec 2019 one time higher Uniforms costs </t>
  </si>
  <si>
    <t>Doc Number</t>
  </si>
  <si>
    <t>G/L Date</t>
  </si>
  <si>
    <t>LT 1 Debit</t>
  </si>
  <si>
    <t>DEFOR0121 - OR DEF INT &amp; AMORT</t>
  </si>
  <si>
    <t>DEFOR0221 - OR DEF INT &amp; AMORT</t>
  </si>
  <si>
    <t>DEFOR0321 - OR DEF INT &amp; AMORT</t>
  </si>
  <si>
    <t>DEFOR0421 - OR DEF INT &amp; AMORT</t>
  </si>
  <si>
    <t>DEFOR0521 - OR DEF INT &amp; AMORT</t>
  </si>
  <si>
    <t>DEFOR0621 - OR DEF INT &amp; AMORT</t>
  </si>
  <si>
    <t>Do Ty</t>
  </si>
  <si>
    <t>LT 1 Credit</t>
  </si>
  <si>
    <t>JE</t>
  </si>
  <si>
    <t>Accrual</t>
  </si>
  <si>
    <t>Bad Debts - True-up Jan-21</t>
  </si>
  <si>
    <t>Bad Debts - True-up Dec-20</t>
  </si>
  <si>
    <t xml:space="preserve">Savings - True-up Feb-21 </t>
  </si>
  <si>
    <t>Savings - True-up Jan-21</t>
  </si>
  <si>
    <t>Savings - True-up Dec-20</t>
  </si>
  <si>
    <t>Savings - True-up May-Nov-20</t>
  </si>
  <si>
    <t>4767000 - Credit &amp; Collections May-20-May-21</t>
  </si>
  <si>
    <t>Bad Debts - Not Recoverable Mar-Apr-20</t>
  </si>
  <si>
    <t>Bad Debts - Costs</t>
  </si>
  <si>
    <t>COVID-19 DEFERRAL TRUE-UP 0221</t>
  </si>
  <si>
    <t>COVID-19 DEFERRAL TRUE-UP 0321</t>
  </si>
  <si>
    <t>COVID-19 DEFER TRUEUP CORR0321</t>
  </si>
  <si>
    <t>COVID-19 DEFERRAL TRUE-UP 0421</t>
  </si>
  <si>
    <t>COVID-19 DEFERRAL TRUE-UP 0521</t>
  </si>
  <si>
    <t>COVID-19 DEFERRAL TRUE-UP 0621</t>
  </si>
  <si>
    <t>COVID-19 DEFERRAL ACCRUAL 0621</t>
  </si>
  <si>
    <t>Column Total</t>
  </si>
  <si>
    <t>Ledger Total</t>
  </si>
  <si>
    <t>COVID-19 DEFERRAL ACCRUAL 0321</t>
  </si>
  <si>
    <t>This excludes reversing accrual entry</t>
  </si>
  <si>
    <t>Paste Special Below - Actuals</t>
  </si>
  <si>
    <t>Jan-May</t>
  </si>
  <si>
    <t>Interest - Past Due Bal Apr-20-May-21</t>
  </si>
  <si>
    <t>True-up</t>
  </si>
  <si>
    <t>True-up in Mar-21</t>
  </si>
  <si>
    <t>True-up in Apr-21</t>
  </si>
  <si>
    <t>JE Amt</t>
  </si>
  <si>
    <t xml:space="preserve">Adding in the operating costs for Credit &amp; Collections to offset the waived late payments fees we arent' allowed to collect per meeting with Mark Childes, Tammy Nygard, Dan Tilis, Teri Sovake </t>
  </si>
  <si>
    <t>and Jessica Anderson on 6/22/2021.</t>
  </si>
  <si>
    <t>Change from Accrual to actuals booked in Apr-21</t>
  </si>
  <si>
    <t>Change from Accrual to actuals booked in Jun-21</t>
  </si>
  <si>
    <t>Bad Debt Expense</t>
  </si>
  <si>
    <t>Other Direct Costs</t>
  </si>
  <si>
    <t>Reconnect Fees/Late Payment Fees</t>
  </si>
  <si>
    <t>Total 186</t>
  </si>
  <si>
    <t>Other Direct Benefits</t>
  </si>
  <si>
    <t>Total 253</t>
  </si>
  <si>
    <t xml:space="preserve"> O&amp;M Other Direct Costs</t>
  </si>
  <si>
    <t>4767000 - Credit &amp; Collections</t>
  </si>
  <si>
    <t>Total Ending Balance</t>
  </si>
  <si>
    <t>Variance</t>
  </si>
  <si>
    <t>Total Savings 47WA.2530.01290</t>
  </si>
  <si>
    <t>Total Costs 47WA.1860.20489</t>
  </si>
  <si>
    <t xml:space="preserve">CARES Act Tax Benefit </t>
  </si>
  <si>
    <t xml:space="preserve">COVID-19 Deferral </t>
  </si>
  <si>
    <t>Total Costs 1860</t>
  </si>
  <si>
    <t>Washington - COVID-19 Costs &amp; Savings</t>
  </si>
  <si>
    <t>Deferral Type</t>
  </si>
  <si>
    <t>Waived LPC - Not booked</t>
  </si>
  <si>
    <t>Waived Reconnection Fees - Not Booked</t>
  </si>
  <si>
    <t>Savings - Not Recoverable Mar &amp; Apr-20</t>
  </si>
  <si>
    <t>Savings - Cares Act Credit</t>
  </si>
  <si>
    <t>O&amp;M Workorder - Costs</t>
  </si>
  <si>
    <t>Interest - Past Due Balance - Over 30 days</t>
  </si>
  <si>
    <t>Interest - Past Due Bal corrects Oct-21 - Over 30 days</t>
  </si>
  <si>
    <t>Workorder Shutoff</t>
  </si>
  <si>
    <t>Washington COVID-19 Deferral Summary as of 12/31/2024</t>
  </si>
  <si>
    <t>Total Ending Balance 12.31.2024</t>
  </si>
  <si>
    <t>Credit &amp; Collections &amp; Past Due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</si>
</sst>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;@"/>
    <numFmt numFmtId="165" formatCode="_(* #,##0_);_(* \(#,##0\);_(* &quot;-&quot;??_);_(@_)"/>
    <numFmt numFmtId="166" formatCode="_(* #,##0.000_);_(* \(#,##0.000\);_(* &quot;-&quot;??_);_(@_)"/>
  </numFmts>
  <fonts count="2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0"/>
      <name val="Arial"/>
      <family val="2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/>
      <right style="mediumDashDot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</cellStyleXfs>
  <cellXfs count="286">
    <xf numFmtId="0" fontId="0" fillId="0" borderId="0" xfId="0"/>
    <xf numFmtId="43" fontId="0" fillId="0" borderId="0" xfId="1" applyFont="1"/>
    <xf numFmtId="43" fontId="0" fillId="0" borderId="0" xfId="4" applyFont="1"/>
    <xf numFmtId="0" fontId="0" fillId="0" borderId="0" xfId="0" applyFont="1"/>
    <xf numFmtId="0" fontId="4" fillId="0" borderId="0" xfId="5" applyAlignment="1">
      <alignment horizontal="center"/>
    </xf>
    <xf numFmtId="0" fontId="4" fillId="0" borderId="0" xfId="5"/>
    <xf numFmtId="0" fontId="4" fillId="7" borderId="0" xfId="5" applyFill="1" applyAlignment="1">
      <alignment horizontal="right"/>
    </xf>
    <xf numFmtId="49" fontId="4" fillId="0" borderId="0" xfId="5" applyNumberFormat="1"/>
    <xf numFmtId="0" fontId="4" fillId="8" borderId="0" xfId="5" applyFill="1"/>
    <xf numFmtId="49" fontId="5" fillId="3" borderId="0" xfId="5" quotePrefix="1" applyNumberFormat="1" applyFont="1" applyFill="1"/>
    <xf numFmtId="49" fontId="4" fillId="9" borderId="0" xfId="5" quotePrefix="1" applyNumberFormat="1" applyFill="1"/>
    <xf numFmtId="49" fontId="3" fillId="9" borderId="0" xfId="5" quotePrefix="1" applyNumberFormat="1" applyFont="1" applyFill="1" applyAlignment="1">
      <alignment horizontal="left"/>
    </xf>
    <xf numFmtId="49" fontId="4" fillId="0" borderId="0" xfId="5" applyNumberFormat="1" applyAlignment="1">
      <alignment wrapText="1"/>
    </xf>
    <xf numFmtId="49" fontId="5" fillId="10" borderId="0" xfId="5" applyNumberFormat="1" applyFont="1" applyFill="1" applyAlignment="1">
      <alignment horizontal="center"/>
    </xf>
    <xf numFmtId="0" fontId="5" fillId="11" borderId="2" xfId="5" applyFont="1" applyFill="1" applyBorder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/>
    <xf numFmtId="10" fontId="5" fillId="0" borderId="0" xfId="3" applyNumberFormat="1" applyFont="1" applyFill="1" applyBorder="1" applyAlignment="1">
      <alignment horizontal="center"/>
    </xf>
    <xf numFmtId="0" fontId="5" fillId="3" borderId="0" xfId="5" applyFont="1" applyFill="1"/>
    <xf numFmtId="49" fontId="4" fillId="12" borderId="0" xfId="5" applyNumberFormat="1" applyFill="1"/>
    <xf numFmtId="0" fontId="4" fillId="12" borderId="0" xfId="5" applyFill="1"/>
    <xf numFmtId="43" fontId="0" fillId="12" borderId="0" xfId="4" applyFont="1" applyFill="1"/>
    <xf numFmtId="43" fontId="4" fillId="3" borderId="0" xfId="5" applyNumberFormat="1" applyFill="1"/>
    <xf numFmtId="43" fontId="4" fillId="0" borderId="0" xfId="5" applyNumberFormat="1"/>
    <xf numFmtId="43" fontId="4" fillId="12" borderId="0" xfId="5" applyNumberFormat="1" applyFill="1"/>
    <xf numFmtId="43" fontId="0" fillId="0" borderId="0" xfId="4" applyFont="1" applyFill="1"/>
    <xf numFmtId="43" fontId="5" fillId="12" borderId="0" xfId="5" applyNumberFormat="1" applyFont="1" applyFill="1"/>
    <xf numFmtId="43" fontId="5" fillId="3" borderId="0" xfId="5" applyNumberFormat="1" applyFont="1" applyFill="1"/>
    <xf numFmtId="43" fontId="5" fillId="0" borderId="0" xfId="5" applyNumberFormat="1" applyFont="1"/>
    <xf numFmtId="49" fontId="4" fillId="10" borderId="0" xfId="5" applyNumberFormat="1" applyFill="1"/>
    <xf numFmtId="0" fontId="4" fillId="10" borderId="0" xfId="5" applyFill="1"/>
    <xf numFmtId="43" fontId="0" fillId="10" borderId="0" xfId="4" applyFont="1" applyFill="1"/>
    <xf numFmtId="43" fontId="4" fillId="10" borderId="0" xfId="5" applyNumberFormat="1" applyFill="1"/>
    <xf numFmtId="43" fontId="5" fillId="10" borderId="0" xfId="5" applyNumberFormat="1" applyFont="1" applyFill="1"/>
    <xf numFmtId="0" fontId="4" fillId="3" borderId="0" xfId="5" applyFill="1"/>
    <xf numFmtId="49" fontId="4" fillId="13" borderId="0" xfId="5" applyNumberFormat="1" applyFill="1"/>
    <xf numFmtId="0" fontId="4" fillId="13" borderId="0" xfId="5" applyFill="1"/>
    <xf numFmtId="43" fontId="0" fillId="13" borderId="0" xfId="4" applyFont="1" applyFill="1"/>
    <xf numFmtId="43" fontId="5" fillId="13" borderId="0" xfId="5" applyNumberFormat="1" applyFont="1" applyFill="1"/>
    <xf numFmtId="49" fontId="4" fillId="5" borderId="0" xfId="5" applyNumberFormat="1" applyFill="1"/>
    <xf numFmtId="0" fontId="4" fillId="5" borderId="0" xfId="5" applyFill="1"/>
    <xf numFmtId="43" fontId="0" fillId="5" borderId="0" xfId="4" applyFont="1" applyFill="1"/>
    <xf numFmtId="43" fontId="0" fillId="14" borderId="0" xfId="4" applyFont="1" applyFill="1"/>
    <xf numFmtId="43" fontId="4" fillId="14" borderId="0" xfId="5" applyNumberFormat="1" applyFill="1"/>
    <xf numFmtId="0" fontId="4" fillId="14" borderId="0" xfId="5" applyFill="1"/>
    <xf numFmtId="43" fontId="5" fillId="5" borderId="0" xfId="5" applyNumberFormat="1" applyFont="1" applyFill="1"/>
    <xf numFmtId="49" fontId="4" fillId="15" borderId="0" xfId="5" applyNumberFormat="1" applyFill="1"/>
    <xf numFmtId="0" fontId="4" fillId="15" borderId="0" xfId="5" applyFill="1"/>
    <xf numFmtId="43" fontId="0" fillId="15" borderId="0" xfId="4" applyFont="1" applyFill="1"/>
    <xf numFmtId="43" fontId="5" fillId="15" borderId="0" xfId="5" applyNumberFormat="1" applyFont="1" applyFill="1"/>
    <xf numFmtId="43" fontId="5" fillId="0" borderId="0" xfId="4" applyFont="1"/>
    <xf numFmtId="43" fontId="5" fillId="9" borderId="0" xfId="5" applyNumberFormat="1" applyFont="1" applyFill="1"/>
    <xf numFmtId="49" fontId="5" fillId="0" borderId="0" xfId="5" quotePrefix="1" applyNumberFormat="1" applyFont="1"/>
    <xf numFmtId="49" fontId="5" fillId="2" borderId="0" xfId="5" quotePrefix="1" applyNumberFormat="1" applyFont="1" applyFill="1"/>
    <xf numFmtId="49" fontId="4" fillId="0" borderId="0" xfId="5" quotePrefix="1" applyNumberFormat="1"/>
    <xf numFmtId="49" fontId="5" fillId="0" borderId="0" xfId="5" applyNumberFormat="1" applyFont="1" applyAlignment="1">
      <alignment horizontal="center"/>
    </xf>
    <xf numFmtId="49" fontId="5" fillId="0" borderId="0" xfId="5" applyNumberFormat="1" applyFont="1" applyAlignment="1">
      <alignment horizontal="left"/>
    </xf>
    <xf numFmtId="0" fontId="5" fillId="2" borderId="0" xfId="5" applyFont="1" applyFill="1"/>
    <xf numFmtId="43" fontId="0" fillId="2" borderId="0" xfId="4" applyFont="1" applyFill="1"/>
    <xf numFmtId="43" fontId="5" fillId="2" borderId="0" xfId="5" applyNumberFormat="1" applyFont="1" applyFill="1"/>
    <xf numFmtId="43" fontId="5" fillId="14" borderId="0" xfId="5" applyNumberFormat="1" applyFont="1" applyFill="1"/>
    <xf numFmtId="0" fontId="4" fillId="0" borderId="0" xfId="5" applyAlignment="1">
      <alignment horizontal="left" indent="2"/>
    </xf>
    <xf numFmtId="49" fontId="4" fillId="0" borderId="0" xfId="5" applyNumberFormat="1" applyAlignment="1">
      <alignment horizontal="center"/>
    </xf>
    <xf numFmtId="49" fontId="4" fillId="0" borderId="0" xfId="5" applyNumberFormat="1" applyAlignment="1">
      <alignment horizontal="left"/>
    </xf>
    <xf numFmtId="10" fontId="4" fillId="0" borderId="0" xfId="3" applyNumberFormat="1" applyFont="1" applyFill="1" applyBorder="1" applyAlignment="1">
      <alignment horizontal="center"/>
    </xf>
    <xf numFmtId="0" fontId="5" fillId="3" borderId="0" xfId="5" applyFont="1" applyFill="1" applyAlignment="1">
      <alignment horizontal="center"/>
    </xf>
    <xf numFmtId="49" fontId="4" fillId="0" borderId="0" xfId="5" applyNumberFormat="1" applyAlignment="1">
      <alignment horizontal="left" indent="2"/>
    </xf>
    <xf numFmtId="0" fontId="4" fillId="8" borderId="1" xfId="5" applyFill="1" applyBorder="1"/>
    <xf numFmtId="0" fontId="5" fillId="2" borderId="0" xfId="5" applyFont="1" applyFill="1" applyAlignment="1">
      <alignment horizontal="center"/>
    </xf>
    <xf numFmtId="43" fontId="5" fillId="2" borderId="0" xfId="4" applyFont="1" applyFill="1"/>
    <xf numFmtId="43" fontId="0" fillId="0" borderId="3" xfId="4" applyFont="1" applyFill="1" applyBorder="1"/>
    <xf numFmtId="43" fontId="0" fillId="0" borderId="4" xfId="1" applyFont="1" applyBorder="1"/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/>
    </xf>
    <xf numFmtId="0" fontId="2" fillId="0" borderId="0" xfId="5" applyFont="1"/>
    <xf numFmtId="0" fontId="2" fillId="12" borderId="0" xfId="5" applyFont="1" applyFill="1"/>
    <xf numFmtId="43" fontId="2" fillId="12" borderId="0" xfId="4" applyFont="1" applyFill="1"/>
    <xf numFmtId="43" fontId="0" fillId="0" borderId="0" xfId="1" applyFont="1" applyBorder="1"/>
    <xf numFmtId="49" fontId="4" fillId="0" borderId="0" xfId="5" quotePrefix="1" applyNumberFormat="1" applyAlignment="1">
      <alignment horizontal="center"/>
    </xf>
    <xf numFmtId="39" fontId="4" fillId="0" borderId="0" xfId="5" applyNumberFormat="1"/>
    <xf numFmtId="0" fontId="4" fillId="2" borderId="0" xfId="5" applyFill="1"/>
    <xf numFmtId="39" fontId="4" fillId="2" borderId="0" xfId="5" applyNumberFormat="1" applyFill="1"/>
    <xf numFmtId="39" fontId="4" fillId="3" borderId="0" xfId="5" applyNumberFormat="1" applyFill="1"/>
    <xf numFmtId="43" fontId="0" fillId="0" borderId="0" xfId="1" applyFont="1" applyFill="1"/>
    <xf numFmtId="43" fontId="0" fillId="0" borderId="4" xfId="1" applyFont="1" applyFill="1" applyBorder="1"/>
    <xf numFmtId="0" fontId="2" fillId="2" borderId="0" xfId="5" applyFont="1" applyFill="1"/>
    <xf numFmtId="43" fontId="2" fillId="2" borderId="0" xfId="4" applyFont="1" applyFill="1"/>
    <xf numFmtId="39" fontId="2" fillId="12" borderId="0" xfId="5" applyNumberFormat="1" applyFont="1" applyFill="1"/>
    <xf numFmtId="43" fontId="2" fillId="0" borderId="0" xfId="4" applyFont="1" applyAlignment="1">
      <alignment horizontal="center"/>
    </xf>
    <xf numFmtId="17" fontId="2" fillId="0" borderId="0" xfId="5" applyNumberFormat="1" applyFont="1" applyAlignment="1">
      <alignment horizontal="center"/>
    </xf>
    <xf numFmtId="17" fontId="2" fillId="0" borderId="0" xfId="4" applyNumberFormat="1" applyFont="1" applyAlignment="1">
      <alignment horizontal="center"/>
    </xf>
    <xf numFmtId="0" fontId="2" fillId="0" borderId="0" xfId="5" applyFont="1" applyAlignment="1">
      <alignment horizontal="center"/>
    </xf>
    <xf numFmtId="39" fontId="2" fillId="0" borderId="0" xfId="5" applyNumberFormat="1" applyFont="1"/>
    <xf numFmtId="39" fontId="2" fillId="0" borderId="5" xfId="5" applyNumberFormat="1" applyFont="1" applyBorder="1"/>
    <xf numFmtId="49" fontId="4" fillId="6" borderId="0" xfId="5" quotePrefix="1" applyNumberFormat="1" applyFill="1"/>
    <xf numFmtId="43" fontId="0" fillId="0" borderId="0" xfId="4" applyFont="1" applyFill="1" applyBorder="1"/>
    <xf numFmtId="43" fontId="0" fillId="0" borderId="0" xfId="0" applyNumberFormat="1" applyFont="1"/>
    <xf numFmtId="43" fontId="0" fillId="8" borderId="8" xfId="0" applyNumberFormat="1" applyFont="1" applyFill="1" applyBorder="1"/>
    <xf numFmtId="0" fontId="0" fillId="0" borderId="0" xfId="0" applyFont="1" applyFill="1"/>
    <xf numFmtId="49" fontId="5" fillId="6" borderId="0" xfId="5" quotePrefix="1" applyNumberFormat="1" applyFont="1" applyFill="1"/>
    <xf numFmtId="0" fontId="0" fillId="0" borderId="0" xfId="0" applyAlignment="1">
      <alignment horizontal="center"/>
    </xf>
    <xf numFmtId="0" fontId="5" fillId="3" borderId="0" xfId="5" applyFont="1" applyFill="1" applyAlignment="1">
      <alignment horizontal="center"/>
    </xf>
    <xf numFmtId="164" fontId="0" fillId="0" borderId="0" xfId="0" applyNumberFormat="1"/>
    <xf numFmtId="49" fontId="0" fillId="0" borderId="0" xfId="0" applyNumberFormat="1"/>
    <xf numFmtId="49" fontId="15" fillId="0" borderId="0" xfId="0" applyNumberFormat="1" applyFont="1"/>
    <xf numFmtId="0" fontId="0" fillId="0" borderId="0" xfId="0" applyFont="1" applyBorder="1"/>
    <xf numFmtId="17" fontId="16" fillId="8" borderId="1" xfId="5" applyNumberFormat="1" applyFont="1" applyFill="1" applyBorder="1" applyAlignment="1">
      <alignment horizontal="center" vertical="center"/>
    </xf>
    <xf numFmtId="43" fontId="0" fillId="0" borderId="0" xfId="1" applyFont="1" applyFill="1" applyBorder="1"/>
    <xf numFmtId="0" fontId="0" fillId="0" borderId="0" xfId="0" applyFont="1" applyFill="1" applyBorder="1"/>
    <xf numFmtId="43" fontId="0" fillId="0" borderId="10" xfId="1" applyFont="1" applyFill="1" applyBorder="1"/>
    <xf numFmtId="43" fontId="0" fillId="9" borderId="0" xfId="1" applyFont="1" applyFill="1"/>
    <xf numFmtId="43" fontId="0" fillId="8" borderId="7" xfId="0" applyNumberFormat="1" applyFont="1" applyFill="1" applyBorder="1"/>
    <xf numFmtId="0" fontId="0" fillId="0" borderId="4" xfId="0" applyFont="1" applyFill="1" applyBorder="1"/>
    <xf numFmtId="43" fontId="10" fillId="0" borderId="0" xfId="1" applyFont="1"/>
    <xf numFmtId="49" fontId="0" fillId="0" borderId="0" xfId="0" applyNumberFormat="1" applyAlignment="1">
      <alignment horizontal="center"/>
    </xf>
    <xf numFmtId="49" fontId="15" fillId="0" borderId="0" xfId="0" applyNumberFormat="1" applyFont="1" applyAlignment="1">
      <alignment horizontal="center"/>
    </xf>
    <xf numFmtId="43" fontId="15" fillId="0" borderId="0" xfId="1" applyFont="1" applyFill="1" applyBorder="1" applyAlignment="1" applyProtection="1"/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49" fontId="0" fillId="0" borderId="4" xfId="0" applyNumberFormat="1" applyBorder="1"/>
    <xf numFmtId="43" fontId="15" fillId="0" borderId="0" xfId="1" applyFont="1"/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49" fontId="18" fillId="0" borderId="0" xfId="0" applyNumberFormat="1" applyFont="1"/>
    <xf numFmtId="17" fontId="2" fillId="0" borderId="12" xfId="4" applyNumberFormat="1" applyFont="1" applyBorder="1" applyAlignment="1">
      <alignment horizontal="center"/>
    </xf>
    <xf numFmtId="43" fontId="2" fillId="2" borderId="13" xfId="4" applyFont="1" applyFill="1" applyBorder="1"/>
    <xf numFmtId="43" fontId="2" fillId="12" borderId="13" xfId="4" applyFont="1" applyFill="1" applyBorder="1"/>
    <xf numFmtId="43" fontId="2" fillId="0" borderId="14" xfId="4" applyFont="1" applyBorder="1" applyAlignment="1">
      <alignment horizontal="center"/>
    </xf>
    <xf numFmtId="0" fontId="2" fillId="0" borderId="15" xfId="5" applyFont="1" applyBorder="1" applyAlignment="1">
      <alignment horizontal="center"/>
    </xf>
    <xf numFmtId="0" fontId="0" fillId="0" borderId="17" xfId="5" applyFont="1" applyBorder="1" applyAlignment="1">
      <alignment horizontal="center"/>
    </xf>
    <xf numFmtId="39" fontId="2" fillId="0" borderId="18" xfId="5" applyNumberFormat="1" applyFont="1" applyBorder="1"/>
    <xf numFmtId="39" fontId="2" fillId="0" borderId="19" xfId="5" applyNumberFormat="1" applyFont="1" applyBorder="1"/>
    <xf numFmtId="43" fontId="19" fillId="16" borderId="0" xfId="5" applyNumberFormat="1" applyFont="1" applyFill="1"/>
    <xf numFmtId="0" fontId="19" fillId="16" borderId="0" xfId="5" applyFont="1" applyFill="1" applyAlignment="1">
      <alignment horizontal="right"/>
    </xf>
    <xf numFmtId="49" fontId="8" fillId="3" borderId="0" xfId="5" quotePrefix="1" applyNumberFormat="1" applyFont="1" applyFill="1"/>
    <xf numFmtId="0" fontId="20" fillId="0" borderId="0" xfId="5" applyFont="1"/>
    <xf numFmtId="49" fontId="20" fillId="9" borderId="0" xfId="5" quotePrefix="1" applyNumberFormat="1" applyFont="1" applyFill="1"/>
    <xf numFmtId="43" fontId="0" fillId="13" borderId="3" xfId="4" applyFont="1" applyFill="1" applyBorder="1"/>
    <xf numFmtId="43" fontId="0" fillId="15" borderId="3" xfId="4" applyFont="1" applyFill="1" applyBorder="1"/>
    <xf numFmtId="43" fontId="0" fillId="15" borderId="0" xfId="4" applyFont="1" applyFill="1" applyBorder="1"/>
    <xf numFmtId="49" fontId="8" fillId="16" borderId="0" xfId="5" quotePrefix="1" applyNumberFormat="1" applyFont="1" applyFill="1"/>
    <xf numFmtId="0" fontId="5" fillId="3" borderId="0" xfId="0" applyFont="1" applyFill="1" applyAlignment="1">
      <alignment horizontal="center"/>
    </xf>
    <xf numFmtId="43" fontId="0" fillId="3" borderId="0" xfId="0" applyNumberFormat="1" applyFill="1"/>
    <xf numFmtId="43" fontId="5" fillId="3" borderId="0" xfId="0" applyNumberFormat="1" applyFont="1" applyFill="1"/>
    <xf numFmtId="43" fontId="5" fillId="14" borderId="0" xfId="0" applyNumberFormat="1" applyFont="1" applyFill="1"/>
    <xf numFmtId="43" fontId="5" fillId="9" borderId="0" xfId="0" applyNumberFormat="1" applyFont="1" applyFill="1"/>
    <xf numFmtId="0" fontId="19" fillId="16" borderId="0" xfId="5" applyFont="1" applyFill="1" applyAlignment="1">
      <alignment horizontal="left"/>
    </xf>
    <xf numFmtId="0" fontId="5" fillId="2" borderId="0" xfId="0" applyFont="1" applyFill="1" applyAlignment="1">
      <alignment horizontal="center"/>
    </xf>
    <xf numFmtId="43" fontId="5" fillId="2" borderId="0" xfId="0" applyNumberFormat="1" applyFont="1" applyFill="1"/>
    <xf numFmtId="0" fontId="4" fillId="0" borderId="16" xfId="5" applyBorder="1" applyAlignment="1">
      <alignment horizontal="center"/>
    </xf>
    <xf numFmtId="0" fontId="5" fillId="3" borderId="0" xfId="5" applyFont="1" applyFill="1" applyAlignment="1">
      <alignment horizontal="center"/>
    </xf>
    <xf numFmtId="43" fontId="0" fillId="8" borderId="6" xfId="0" applyNumberFormat="1" applyFont="1" applyFill="1" applyBorder="1"/>
    <xf numFmtId="43" fontId="0" fillId="8" borderId="4" xfId="0" applyNumberFormat="1" applyFont="1" applyFill="1" applyBorder="1"/>
    <xf numFmtId="10" fontId="22" fillId="0" borderId="0" xfId="3" applyNumberFormat="1" applyFont="1" applyFill="1" applyBorder="1" applyAlignment="1">
      <alignment horizont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/>
    <xf numFmtId="43" fontId="0" fillId="2" borderId="0" xfId="1" applyFont="1" applyFill="1"/>
    <xf numFmtId="43" fontId="5" fillId="14" borderId="0" xfId="1" applyFont="1" applyFill="1"/>
    <xf numFmtId="43" fontId="21" fillId="0" borderId="0" xfId="5" applyNumberFormat="1" applyFont="1"/>
    <xf numFmtId="0" fontId="21" fillId="0" borderId="0" xfId="5" applyFont="1"/>
    <xf numFmtId="17" fontId="2" fillId="0" borderId="0" xfId="4" applyNumberFormat="1" applyFont="1" applyBorder="1" applyAlignment="1">
      <alignment horizontal="center"/>
    </xf>
    <xf numFmtId="43" fontId="2" fillId="2" borderId="0" xfId="4" applyFont="1" applyFill="1" applyBorder="1"/>
    <xf numFmtId="43" fontId="2" fillId="12" borderId="0" xfId="4" applyFont="1" applyFill="1" applyBorder="1"/>
    <xf numFmtId="43" fontId="2" fillId="0" borderId="0" xfId="4" applyFont="1" applyBorder="1" applyAlignment="1">
      <alignment horizontal="center"/>
    </xf>
    <xf numFmtId="0" fontId="2" fillId="0" borderId="0" xfId="5" applyFont="1" applyBorder="1"/>
    <xf numFmtId="165" fontId="0" fillId="0" borderId="0" xfId="1" applyNumberFormat="1" applyFont="1"/>
    <xf numFmtId="165" fontId="0" fillId="0" borderId="0" xfId="1" applyNumberFormat="1" applyFont="1" applyBorder="1"/>
    <xf numFmtId="0" fontId="0" fillId="0" borderId="1" xfId="0" applyFont="1" applyBorder="1"/>
    <xf numFmtId="165" fontId="0" fillId="0" borderId="4" xfId="1" applyNumberFormat="1" applyFont="1" applyBorder="1"/>
    <xf numFmtId="0" fontId="0" fillId="0" borderId="3" xfId="0" applyFont="1" applyBorder="1"/>
    <xf numFmtId="0" fontId="0" fillId="0" borderId="5" xfId="0" applyFont="1" applyBorder="1"/>
    <xf numFmtId="43" fontId="0" fillId="0" borderId="0" xfId="0" applyNumberFormat="1" applyFont="1" applyBorder="1"/>
    <xf numFmtId="165" fontId="13" fillId="0" borderId="25" xfId="1" applyNumberFormat="1" applyFont="1" applyBorder="1" applyAlignment="1">
      <alignment horizontal="center"/>
    </xf>
    <xf numFmtId="0" fontId="13" fillId="0" borderId="7" xfId="0" applyFont="1" applyBorder="1"/>
    <xf numFmtId="0" fontId="13" fillId="0" borderId="1" xfId="0" applyFont="1" applyBorder="1"/>
    <xf numFmtId="43" fontId="14" fillId="0" borderId="0" xfId="1" applyFont="1" applyBorder="1" applyAlignment="1">
      <alignment horizontal="left" indent="1"/>
    </xf>
    <xf numFmtId="43" fontId="14" fillId="0" borderId="27" xfId="1" applyFont="1" applyBorder="1" applyAlignment="1">
      <alignment horizontal="left" indent="2"/>
    </xf>
    <xf numFmtId="43" fontId="13" fillId="0" borderId="4" xfId="1" applyFont="1" applyBorder="1"/>
    <xf numFmtId="165" fontId="13" fillId="0" borderId="21" xfId="1" applyNumberFormat="1" applyFont="1" applyBorder="1"/>
    <xf numFmtId="0" fontId="13" fillId="0" borderId="10" xfId="0" applyFont="1" applyBorder="1"/>
    <xf numFmtId="0" fontId="13" fillId="0" borderId="0" xfId="0" applyFont="1"/>
    <xf numFmtId="0" fontId="13" fillId="0" borderId="5" xfId="0" applyFont="1" applyBorder="1"/>
    <xf numFmtId="43" fontId="13" fillId="0" borderId="7" xfId="1" applyFont="1" applyBorder="1"/>
    <xf numFmtId="43" fontId="13" fillId="0" borderId="11" xfId="1" applyFont="1" applyBorder="1"/>
    <xf numFmtId="0" fontId="13" fillId="0" borderId="22" xfId="0" applyFont="1" applyBorder="1"/>
    <xf numFmtId="0" fontId="13" fillId="0" borderId="9" xfId="0" applyFont="1" applyBorder="1"/>
    <xf numFmtId="0" fontId="13" fillId="0" borderId="0" xfId="0" applyFont="1" applyAlignment="1">
      <alignment horizontal="center" vertical="center"/>
    </xf>
    <xf numFmtId="43" fontId="2" fillId="0" borderId="0" xfId="1" applyFont="1" applyFill="1"/>
    <xf numFmtId="43" fontId="2" fillId="0" borderId="0" xfId="1" applyFont="1" applyFill="1" applyBorder="1"/>
    <xf numFmtId="43" fontId="0" fillId="0" borderId="0" xfId="0" applyNumberFormat="1" applyFont="1" applyFill="1" applyBorder="1"/>
    <xf numFmtId="165" fontId="13" fillId="0" borderId="1" xfId="1" applyNumberFormat="1" applyFont="1" applyFill="1" applyBorder="1"/>
    <xf numFmtId="0" fontId="0" fillId="0" borderId="11" xfId="0" applyFont="1" applyBorder="1"/>
    <xf numFmtId="0" fontId="0" fillId="4" borderId="0" xfId="0" applyFont="1" applyFill="1" applyAlignment="1">
      <alignment vertical="center"/>
    </xf>
    <xf numFmtId="43" fontId="10" fillId="0" borderId="3" xfId="0" applyNumberFormat="1" applyFont="1" applyBorder="1"/>
    <xf numFmtId="165" fontId="14" fillId="0" borderId="20" xfId="1" applyNumberFormat="1" applyFont="1" applyFill="1" applyBorder="1"/>
    <xf numFmtId="165" fontId="14" fillId="0" borderId="20" xfId="1" applyNumberFormat="1" applyFont="1" applyBorder="1"/>
    <xf numFmtId="0" fontId="0" fillId="0" borderId="0" xfId="0" applyFont="1" applyBorder="1" applyAlignment="1">
      <alignment vertical="center"/>
    </xf>
    <xf numFmtId="43" fontId="2" fillId="0" borderId="4" xfId="1" applyFont="1" applyFill="1" applyBorder="1"/>
    <xf numFmtId="0" fontId="0" fillId="0" borderId="3" xfId="0" applyFont="1" applyBorder="1" applyAlignment="1">
      <alignment horizontal="left" vertical="center" indent="1"/>
    </xf>
    <xf numFmtId="0" fontId="0" fillId="0" borderId="9" xfId="0" applyFont="1" applyBorder="1"/>
    <xf numFmtId="43" fontId="0" fillId="0" borderId="5" xfId="1" applyFont="1" applyFill="1" applyBorder="1"/>
    <xf numFmtId="0" fontId="0" fillId="0" borderId="0" xfId="0" applyFont="1" applyFill="1" applyBorder="1" applyAlignment="1">
      <alignment horizontal="left"/>
    </xf>
    <xf numFmtId="43" fontId="0" fillId="0" borderId="5" xfId="1" applyFont="1" applyFill="1" applyBorder="1" applyAlignment="1"/>
    <xf numFmtId="43" fontId="0" fillId="0" borderId="0" xfId="1" applyFont="1" applyFill="1" applyBorder="1" applyAlignment="1"/>
    <xf numFmtId="43" fontId="13" fillId="0" borderId="24" xfId="1" applyFont="1" applyBorder="1" applyAlignment="1">
      <alignment horizontal="left" indent="1"/>
    </xf>
    <xf numFmtId="43" fontId="0" fillId="0" borderId="5" xfId="1" applyNumberFormat="1" applyFont="1" applyFill="1" applyBorder="1"/>
    <xf numFmtId="43" fontId="0" fillId="0" borderId="3" xfId="0" applyNumberFormat="1" applyFont="1" applyFill="1" applyBorder="1"/>
    <xf numFmtId="43" fontId="0" fillId="0" borderId="3" xfId="1" applyFont="1" applyFill="1" applyBorder="1"/>
    <xf numFmtId="0" fontId="13" fillId="0" borderId="0" xfId="0" applyFont="1" applyBorder="1"/>
    <xf numFmtId="17" fontId="23" fillId="4" borderId="3" xfId="5" applyNumberFormat="1" applyFont="1" applyFill="1" applyBorder="1" applyAlignment="1">
      <alignment horizontal="center" vertical="center"/>
    </xf>
    <xf numFmtId="17" fontId="23" fillId="4" borderId="0" xfId="5" applyNumberFormat="1" applyFont="1" applyFill="1" applyAlignment="1">
      <alignment horizontal="center" vertical="center"/>
    </xf>
    <xf numFmtId="17" fontId="23" fillId="4" borderId="0" xfId="5" applyNumberFormat="1" applyFont="1" applyFill="1" applyBorder="1" applyAlignment="1">
      <alignment horizontal="center" vertical="center"/>
    </xf>
    <xf numFmtId="17" fontId="23" fillId="8" borderId="1" xfId="5" applyNumberFormat="1" applyFont="1" applyFill="1" applyBorder="1" applyAlignment="1">
      <alignment horizontal="center" vertical="center"/>
    </xf>
    <xf numFmtId="165" fontId="13" fillId="0" borderId="0" xfId="1" applyNumberFormat="1" applyFont="1" applyFill="1" applyBorder="1"/>
    <xf numFmtId="166" fontId="0" fillId="8" borderId="7" xfId="0" applyNumberFormat="1" applyFont="1" applyFill="1" applyBorder="1"/>
    <xf numFmtId="2" fontId="0" fillId="0" borderId="0" xfId="0" applyNumberFormat="1" applyFont="1"/>
    <xf numFmtId="43" fontId="0" fillId="0" borderId="0" xfId="1" applyNumberFormat="1" applyFont="1"/>
    <xf numFmtId="0" fontId="12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0" fillId="0" borderId="4" xfId="1" applyNumberFormat="1" applyFont="1" applyFill="1" applyBorder="1" applyAlignment="1">
      <alignment horizontal="left"/>
    </xf>
    <xf numFmtId="43" fontId="0" fillId="0" borderId="4" xfId="1" applyFont="1" applyFill="1" applyBorder="1" applyAlignment="1">
      <alignment horizontal="right"/>
    </xf>
    <xf numFmtId="0" fontId="0" fillId="0" borderId="3" xfId="0" applyFont="1" applyFill="1" applyBorder="1" applyAlignment="1">
      <alignment horizontal="left"/>
    </xf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3" fontId="2" fillId="0" borderId="0" xfId="1" applyNumberFormat="1" applyFont="1" applyFill="1" applyBorder="1"/>
    <xf numFmtId="49" fontId="0" fillId="0" borderId="0" xfId="0" applyNumberFormat="1" applyFont="1" applyFill="1" applyBorder="1" applyAlignment="1"/>
    <xf numFmtId="43" fontId="0" fillId="0" borderId="3" xfId="1" applyFont="1" applyFill="1" applyBorder="1" applyAlignment="1"/>
    <xf numFmtId="43" fontId="0" fillId="0" borderId="0" xfId="1" applyNumberFormat="1" applyFont="1" applyFill="1" applyBorder="1" applyAlignment="1"/>
    <xf numFmtId="43" fontId="0" fillId="0" borderId="11" xfId="1" applyFont="1" applyFill="1" applyBorder="1" applyAlignment="1"/>
    <xf numFmtId="43" fontId="0" fillId="0" borderId="4" xfId="1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 indent="1"/>
    </xf>
    <xf numFmtId="0" fontId="0" fillId="0" borderId="3" xfId="0" applyFont="1" applyFill="1" applyBorder="1"/>
    <xf numFmtId="0" fontId="10" fillId="0" borderId="0" xfId="0" applyFont="1" applyFill="1"/>
    <xf numFmtId="0" fontId="0" fillId="0" borderId="3" xfId="0" applyFont="1" applyFill="1" applyBorder="1" applyAlignment="1">
      <alignment horizontal="left" indent="1"/>
    </xf>
    <xf numFmtId="0" fontId="0" fillId="0" borderId="0" xfId="0" applyFont="1" applyFill="1" applyAlignment="1">
      <alignment horizontal="left" indent="1"/>
    </xf>
    <xf numFmtId="43" fontId="0" fillId="0" borderId="9" xfId="0" applyNumberFormat="1" applyFont="1" applyFill="1" applyBorder="1"/>
    <xf numFmtId="43" fontId="0" fillId="0" borderId="5" xfId="0" applyNumberFormat="1" applyFont="1" applyFill="1" applyBorder="1"/>
    <xf numFmtId="0" fontId="0" fillId="0" borderId="0" xfId="0" applyFont="1" applyFill="1" applyBorder="1" applyAlignment="1">
      <alignment horizontal="left" indent="3"/>
    </xf>
    <xf numFmtId="0" fontId="0" fillId="0" borderId="0" xfId="0" applyFont="1" applyFill="1" applyBorder="1" applyAlignment="1">
      <alignment horizontal="left" indent="1"/>
    </xf>
    <xf numFmtId="0" fontId="0" fillId="0" borderId="11" xfId="0" applyFont="1" applyFill="1" applyBorder="1"/>
    <xf numFmtId="43" fontId="0" fillId="0" borderId="4" xfId="0" applyNumberFormat="1" applyFont="1" applyFill="1" applyBorder="1"/>
    <xf numFmtId="0" fontId="13" fillId="0" borderId="0" xfId="0" applyFont="1" applyFill="1" applyBorder="1"/>
    <xf numFmtId="0" fontId="0" fillId="0" borderId="0" xfId="0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/>
    <xf numFmtId="165" fontId="0" fillId="0" borderId="0" xfId="1" applyNumberFormat="1" applyFont="1" applyFill="1" applyBorder="1"/>
    <xf numFmtId="43" fontId="14" fillId="0" borderId="0" xfId="1" applyFont="1" applyFill="1" applyBorder="1"/>
    <xf numFmtId="43" fontId="14" fillId="0" borderId="0" xfId="0" applyNumberFormat="1" applyFont="1" applyFill="1" applyBorder="1"/>
    <xf numFmtId="43" fontId="14" fillId="0" borderId="5" xfId="1" applyFont="1" applyFill="1" applyBorder="1" applyAlignment="1">
      <alignment horizontal="left" indent="1"/>
    </xf>
    <xf numFmtId="43" fontId="13" fillId="0" borderId="11" xfId="1" applyFont="1" applyFill="1" applyBorder="1"/>
    <xf numFmtId="43" fontId="0" fillId="0" borderId="11" xfId="1" applyFont="1" applyFill="1" applyBorder="1" applyAlignment="1">
      <alignment horizontal="center"/>
    </xf>
    <xf numFmtId="43" fontId="0" fillId="0" borderId="4" xfId="1" applyFont="1" applyFill="1" applyBorder="1" applyAlignment="1">
      <alignment horizontal="center"/>
    </xf>
    <xf numFmtId="166" fontId="0" fillId="0" borderId="0" xfId="0" applyNumberFormat="1" applyFont="1" applyFill="1" applyBorder="1"/>
    <xf numFmtId="166" fontId="0" fillId="0" borderId="9" xfId="0" applyNumberFormat="1" applyFont="1" applyFill="1" applyBorder="1"/>
    <xf numFmtId="43" fontId="10" fillId="0" borderId="11" xfId="0" applyNumberFormat="1" applyFont="1" applyBorder="1"/>
    <xf numFmtId="43" fontId="14" fillId="0" borderId="3" xfId="0" applyNumberFormat="1" applyFont="1" applyBorder="1"/>
    <xf numFmtId="43" fontId="13" fillId="0" borderId="0" xfId="0" applyNumberFormat="1" applyFont="1" applyBorder="1"/>
    <xf numFmtId="0" fontId="13" fillId="0" borderId="0" xfId="0" applyFont="1" applyBorder="1" applyAlignment="1">
      <alignment horizontal="center" vertical="center"/>
    </xf>
    <xf numFmtId="0" fontId="13" fillId="0" borderId="20" xfId="0" applyFont="1" applyBorder="1"/>
    <xf numFmtId="43" fontId="13" fillId="0" borderId="3" xfId="1" applyFont="1" applyBorder="1"/>
    <xf numFmtId="43" fontId="13" fillId="0" borderId="0" xfId="1" applyFont="1" applyFill="1" applyBorder="1"/>
    <xf numFmtId="43" fontId="0" fillId="0" borderId="0" xfId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 indent="1"/>
    </xf>
    <xf numFmtId="49" fontId="0" fillId="0" borderId="0" xfId="0" applyNumberFormat="1" applyFont="1" applyFill="1" applyBorder="1" applyAlignment="1">
      <alignment horizontal="left"/>
    </xf>
    <xf numFmtId="49" fontId="0" fillId="0" borderId="4" xfId="0" applyNumberFormat="1" applyFont="1" applyFill="1" applyBorder="1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0" fontId="0" fillId="0" borderId="1" xfId="1" applyNumberFormat="1" applyFont="1" applyFill="1" applyBorder="1" applyAlignment="1">
      <alignment horizontal="left"/>
    </xf>
    <xf numFmtId="43" fontId="14" fillId="17" borderId="23" xfId="1" applyFont="1" applyFill="1" applyBorder="1" applyAlignment="1">
      <alignment horizontal="center" vertical="center"/>
    </xf>
    <xf numFmtId="43" fontId="14" fillId="17" borderId="26" xfId="1" applyFont="1" applyFill="1" applyBorder="1" applyAlignment="1">
      <alignment horizontal="center" vertical="center"/>
    </xf>
    <xf numFmtId="0" fontId="16" fillId="4" borderId="0" xfId="5" applyFont="1" applyFill="1" applyAlignment="1">
      <alignment horizontal="left"/>
    </xf>
    <xf numFmtId="43" fontId="0" fillId="0" borderId="5" xfId="1" applyFont="1" applyFill="1" applyBorder="1" applyAlignment="1">
      <alignment horizontal="right"/>
    </xf>
    <xf numFmtId="166" fontId="23" fillId="4" borderId="3" xfId="5" applyNumberFormat="1" applyFont="1" applyFill="1" applyBorder="1" applyAlignment="1">
      <alignment horizontal="center"/>
    </xf>
    <xf numFmtId="0" fontId="12" fillId="0" borderId="0" xfId="5" applyFont="1" applyFill="1" applyAlignment="1">
      <alignment horizontal="center"/>
    </xf>
    <xf numFmtId="0" fontId="4" fillId="5" borderId="0" xfId="5" applyFill="1" applyAlignment="1">
      <alignment horizontal="center"/>
    </xf>
    <xf numFmtId="0" fontId="4" fillId="0" borderId="0" xfId="5" applyAlignment="1">
      <alignment horizontal="center" wrapText="1"/>
    </xf>
    <xf numFmtId="0" fontId="11" fillId="16" borderId="0" xfId="5" applyFont="1" applyFill="1" applyAlignment="1">
      <alignment horizontal="center"/>
    </xf>
    <xf numFmtId="0" fontId="12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5" fillId="2" borderId="0" xfId="5" quotePrefix="1" applyFont="1" applyFill="1" applyAlignment="1">
      <alignment horizontal="center" wrapText="1"/>
    </xf>
    <xf numFmtId="0" fontId="4" fillId="3" borderId="0" xfId="5" applyFill="1" applyAlignment="1">
      <alignment horizontal="center"/>
    </xf>
    <xf numFmtId="0" fontId="4" fillId="2" borderId="0" xfId="5" quotePrefix="1" applyFill="1" applyAlignment="1">
      <alignment horizontal="center" wrapText="1"/>
    </xf>
  </cellXfs>
  <cellStyles count="22">
    <cellStyle name="Comma" xfId="1" builtinId="3"/>
    <cellStyle name="Comma 2" xfId="4" xr:uid="{00000000-0005-0000-0000-000001000000}"/>
    <cellStyle name="Comma 2 2" xfId="6" xr:uid="{00000000-0005-0000-0000-000002000000}"/>
    <cellStyle name="Comma 3" xfId="14" xr:uid="{3D37DA5E-4CF5-4389-AB8C-58833F6A7F2A}"/>
    <cellStyle name="Comma 4" xfId="10" xr:uid="{00000000-0005-0000-0000-000003000000}"/>
    <cellStyle name="Comma 5" xfId="21" xr:uid="{E880BF13-C873-4F0A-A4A8-884756512ABE}"/>
    <cellStyle name="Currency 2" xfId="8" xr:uid="{00000000-0005-0000-0000-000005000000}"/>
    <cellStyle name="Currency 3" xfId="17" xr:uid="{3BABD266-31FC-4D2E-B8AA-EC0BA76CC5D5}"/>
    <cellStyle name="Normal" xfId="0" builtinId="0"/>
    <cellStyle name="Normal 14" xfId="5" xr:uid="{00000000-0005-0000-0000-000007000000}"/>
    <cellStyle name="Normal 14 2" xfId="18" xr:uid="{37B812CE-9B6E-46F9-BA84-FDF67D9CB653}"/>
    <cellStyle name="Normal 2" xfId="2" xr:uid="{00000000-0005-0000-0000-000008000000}"/>
    <cellStyle name="Normal 2 2" xfId="7" xr:uid="{00000000-0005-0000-0000-000009000000}"/>
    <cellStyle name="Normal 3" xfId="11" xr:uid="{23727E03-B171-41B0-849B-A7B364BB66E5}"/>
    <cellStyle name="Normal 3 2" xfId="16" xr:uid="{DF1C1A47-A096-4728-ADF4-3E681E8986A0}"/>
    <cellStyle name="Normal 4" xfId="13" xr:uid="{CFB10456-07E6-4CC9-BAEF-10F13C881162}"/>
    <cellStyle name="Normal 5" xfId="20" xr:uid="{BD23E050-A471-4E93-9F53-6BFB93D8679A}"/>
    <cellStyle name="Percent 2" xfId="3" xr:uid="{00000000-0005-0000-0000-00000D000000}"/>
    <cellStyle name="Percent 2 2" xfId="9" xr:uid="{00000000-0005-0000-0000-00000E000000}"/>
    <cellStyle name="Percent 3" xfId="12" xr:uid="{14671C1C-29D1-4165-A405-3A0D0FA54A9C}"/>
    <cellStyle name="Percent 3 2" xfId="19" xr:uid="{EDC6CE70-35AA-43EF-89AD-594E2081438E}"/>
    <cellStyle name="Percent 4" xfId="15" xr:uid="{E2DCBEF8-5C47-40A3-B824-DD0B23CD83FC}"/>
  </cellStyles>
  <dxfs count="0"/>
  <tableStyles count="1" defaultTableStyle="TableStyleMedium2" defaultPivotStyle="PivotStyleLight16">
    <tableStyle name="Invisible" pivot="0" table="0" count="0" xr9:uid="{2B99B930-9998-4E82-A3EE-9F0E0D1F88C8}"/>
  </tableStyles>
  <colors>
    <mruColors>
      <color rgb="FFFB7609"/>
      <color rgb="FFFFFF99"/>
      <color rgb="FFFDB66F"/>
      <color rgb="FFEB7703"/>
      <color rgb="FFEA6C04"/>
      <color rgb="FFEA6104"/>
      <color rgb="FFE472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34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959BFB-69F7-4AEB-9071-9A9CC4135F54}"/>
            </a:ext>
          </a:extLst>
        </xdr:cNvPr>
        <xdr:cNvSpPr txBox="1"/>
      </xdr:nvSpPr>
      <xdr:spPr>
        <a:xfrm>
          <a:off x="7747219" y="113340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2-2021%20Covid-19%20True-up%20Previous%20Mon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3-2021%20Covid-19%20True-up%20Previous%20Mon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3-2021%20Covid-19%20Accru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4-2021%20Covid-19%20True-up%20Previous%20Mont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5-2021%20Covid-19%20True-up%20Previous%20Mont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6-2021%20Covid-19%20True-up%20Previous%20Mont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6-2021%20Covid-19%20Accr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Estimate)"/>
      <sheetName val="WO Paste Special"/>
      <sheetName val="WO SS"/>
      <sheetName val="SS (Estimate) orginal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Actuals (2)"/>
      <sheetName val="SS Actuals"/>
      <sheetName val="WO Paste Special"/>
      <sheetName val="WO SS"/>
      <sheetName val="SS (Estimate) original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Estimate) (3)"/>
      <sheetName val="WO SS"/>
      <sheetName val="SS (Estimate)"/>
      <sheetName val="OR Paste Special Monthly"/>
      <sheetName val="SAVINGS WA &amp; OR"/>
      <sheetName val="WO Paste Special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Actuals) (2)"/>
      <sheetName val="SS (Actuals)"/>
      <sheetName val="WO Paste Special"/>
      <sheetName val="WO SS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Actuals) (3)"/>
      <sheetName val="SS (Actuals)"/>
      <sheetName val="WO Paste Special"/>
      <sheetName val="Mileage"/>
      <sheetName val="WO SS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5">
          <cell r="D15">
            <v>177138.6</v>
          </cell>
          <cell r="F15">
            <v>130140.296</v>
          </cell>
          <cell r="H15">
            <v>46998.304000000004</v>
          </cell>
        </row>
        <row r="16">
          <cell r="D16">
            <v>45351.35</v>
          </cell>
          <cell r="F16">
            <v>33568.373999999996</v>
          </cell>
          <cell r="H16">
            <v>11782.975999999999</v>
          </cell>
        </row>
        <row r="17">
          <cell r="D17">
            <v>15114.723999999998</v>
          </cell>
          <cell r="F17">
            <v>11296.248</v>
          </cell>
          <cell r="H17">
            <v>3818.4760000000001</v>
          </cell>
        </row>
        <row r="18">
          <cell r="D18">
            <v>281029.53600000002</v>
          </cell>
          <cell r="F18">
            <v>198780.08199999999</v>
          </cell>
          <cell r="H18">
            <v>82249.453999999998</v>
          </cell>
        </row>
        <row r="19">
          <cell r="D19">
            <v>305051.946</v>
          </cell>
          <cell r="F19">
            <v>218962.14199999999</v>
          </cell>
          <cell r="H19">
            <v>86089.804000000004</v>
          </cell>
        </row>
        <row r="20">
          <cell r="D20">
            <v>4023.7719999999999</v>
          </cell>
          <cell r="F20">
            <v>3071.922</v>
          </cell>
          <cell r="H20">
            <v>951.85</v>
          </cell>
        </row>
        <row r="23">
          <cell r="D23">
            <v>2827.2120000000004</v>
          </cell>
          <cell r="F23">
            <v>2139.9440000000004</v>
          </cell>
          <cell r="H23">
            <v>687.26799999999992</v>
          </cell>
        </row>
        <row r="24">
          <cell r="D24">
            <v>1183.4000000000001</v>
          </cell>
          <cell r="F24">
            <v>1175.4000000000001</v>
          </cell>
          <cell r="H24">
            <v>8</v>
          </cell>
        </row>
        <row r="25">
          <cell r="D25">
            <v>108460.19399999999</v>
          </cell>
          <cell r="F25">
            <v>81924.676000000007</v>
          </cell>
          <cell r="H25">
            <v>26535.518000000004</v>
          </cell>
        </row>
        <row r="26">
          <cell r="D26">
            <v>5748.2699999999995</v>
          </cell>
          <cell r="F26">
            <v>4351.5619999999999</v>
          </cell>
          <cell r="H26">
            <v>1396.7080000000001</v>
          </cell>
        </row>
        <row r="27">
          <cell r="D27">
            <v>148090.95199999999</v>
          </cell>
          <cell r="F27">
            <v>105349.804</v>
          </cell>
          <cell r="H27">
            <v>42741.148000000001</v>
          </cell>
        </row>
        <row r="28">
          <cell r="D28">
            <v>16041.485999999999</v>
          </cell>
          <cell r="F28">
            <v>12943.636</v>
          </cell>
          <cell r="H28">
            <v>3097.85</v>
          </cell>
        </row>
        <row r="31">
          <cell r="D31">
            <v>362827.93800000002</v>
          </cell>
          <cell r="F31">
            <v>273057.91800000001</v>
          </cell>
          <cell r="H31">
            <v>89770.02</v>
          </cell>
        </row>
        <row r="34">
          <cell r="D34">
            <v>1902544.6640000001</v>
          </cell>
          <cell r="F34">
            <v>1407055.878</v>
          </cell>
          <cell r="H34">
            <v>495488.78600000002</v>
          </cell>
        </row>
        <row r="37">
          <cell r="D37">
            <v>254935.804</v>
          </cell>
          <cell r="F37">
            <v>192011.37</v>
          </cell>
          <cell r="H37">
            <v>62924.433999999994</v>
          </cell>
        </row>
        <row r="38">
          <cell r="H38">
            <v>70195.516666666663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True-up"/>
      <sheetName val="Big Heart Grant Costs"/>
      <sheetName val="COSTS WA &amp; OR"/>
      <sheetName val="WO Paste Special"/>
      <sheetName val="WO SS"/>
      <sheetName val="SS (Actuals) (2)"/>
      <sheetName val="Mileage"/>
      <sheetName val="Interest on Past Due Balances"/>
      <sheetName val="SS (Actuals)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5">
          <cell r="D15">
            <v>177138.6</v>
          </cell>
          <cell r="F15">
            <v>130140.296</v>
          </cell>
          <cell r="H15">
            <v>46998.304000000004</v>
          </cell>
        </row>
        <row r="16">
          <cell r="D16">
            <v>45351.35</v>
          </cell>
          <cell r="F16">
            <v>33568.373999999996</v>
          </cell>
          <cell r="H16">
            <v>11782.975999999999</v>
          </cell>
        </row>
        <row r="17">
          <cell r="D17">
            <v>15114.723999999998</v>
          </cell>
          <cell r="F17">
            <v>11296.248</v>
          </cell>
          <cell r="H17">
            <v>3818.4760000000001</v>
          </cell>
        </row>
        <row r="18">
          <cell r="D18">
            <v>281029.53600000002</v>
          </cell>
          <cell r="F18">
            <v>198780.08199999999</v>
          </cell>
          <cell r="H18">
            <v>82249.453999999998</v>
          </cell>
        </row>
        <row r="19">
          <cell r="D19">
            <v>305051.946</v>
          </cell>
          <cell r="F19">
            <v>218962.14199999999</v>
          </cell>
          <cell r="H19">
            <v>86089.804000000004</v>
          </cell>
        </row>
        <row r="20">
          <cell r="D20">
            <v>4023.7719999999999</v>
          </cell>
          <cell r="F20">
            <v>3071.922</v>
          </cell>
          <cell r="H20">
            <v>951.85</v>
          </cell>
        </row>
        <row r="23">
          <cell r="D23">
            <v>2827.2120000000004</v>
          </cell>
          <cell r="F23">
            <v>2139.9440000000004</v>
          </cell>
          <cell r="H23">
            <v>687.26799999999992</v>
          </cell>
        </row>
        <row r="24">
          <cell r="D24">
            <v>1183.4000000000001</v>
          </cell>
          <cell r="F24">
            <v>1175.4000000000001</v>
          </cell>
          <cell r="H24">
            <v>8</v>
          </cell>
        </row>
        <row r="25">
          <cell r="D25">
            <v>108460.19399999999</v>
          </cell>
          <cell r="F25">
            <v>81924.676000000007</v>
          </cell>
          <cell r="H25">
            <v>26535.518000000004</v>
          </cell>
        </row>
        <row r="26">
          <cell r="D26">
            <v>5748.2699999999995</v>
          </cell>
          <cell r="F26">
            <v>4351.5619999999999</v>
          </cell>
          <cell r="H26">
            <v>1396.7080000000001</v>
          </cell>
        </row>
        <row r="27">
          <cell r="D27">
            <v>148090.95199999999</v>
          </cell>
          <cell r="F27">
            <v>105349.804</v>
          </cell>
          <cell r="H27">
            <v>42741.148000000001</v>
          </cell>
        </row>
        <row r="28">
          <cell r="D28">
            <v>16041.485999999999</v>
          </cell>
          <cell r="F28">
            <v>12943.636</v>
          </cell>
          <cell r="H28">
            <v>3097.85</v>
          </cell>
        </row>
        <row r="31">
          <cell r="D31">
            <v>362827.93800000002</v>
          </cell>
          <cell r="F31">
            <v>273057.91800000001</v>
          </cell>
          <cell r="H31">
            <v>89770.02</v>
          </cell>
        </row>
        <row r="34">
          <cell r="D34">
            <v>1902544.6640000001</v>
          </cell>
          <cell r="F34">
            <v>1407055.878</v>
          </cell>
          <cell r="H34">
            <v>495488.78600000002</v>
          </cell>
        </row>
        <row r="37">
          <cell r="D37">
            <v>254935.804</v>
          </cell>
          <cell r="F37">
            <v>192011.37</v>
          </cell>
          <cell r="H37">
            <v>62924.433999999994</v>
          </cell>
        </row>
        <row r="38">
          <cell r="H38">
            <v>70195.516666666663</v>
          </cell>
        </row>
      </sheetData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Accrual"/>
      <sheetName val="COSTS"/>
      <sheetName val="Interest Costs"/>
      <sheetName val="SS Savings"/>
      <sheetName val="Mileage"/>
      <sheetName val="WO SS"/>
      <sheetName val="SS (Estimate) old"/>
      <sheetName val="SS"/>
      <sheetName val="OR Paste Special Monthly"/>
      <sheetName val="SAVINGS WA &amp; OR"/>
      <sheetName val="WO Paste Special"/>
      <sheetName val="SS 2020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7">
          <cell r="H37">
            <v>70195.516666666663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P34"/>
  <sheetViews>
    <sheetView showGridLines="0" tabSelected="1" zoomScale="115" zoomScaleNormal="115" zoomScaleSheetLayoutView="85" workbookViewId="0"/>
  </sheetViews>
  <sheetFormatPr defaultRowHeight="14.25" x14ac:dyDescent="0.2"/>
  <cols>
    <col min="1" max="1" width="3.25" style="3" customWidth="1"/>
    <col min="2" max="2" width="1.75" style="3" customWidth="1"/>
    <col min="3" max="3" width="3.875" style="3" customWidth="1"/>
    <col min="4" max="4" width="40.5" style="3" customWidth="1"/>
    <col min="5" max="5" width="11.875" style="3" customWidth="1"/>
    <col min="6" max="6" width="12.25" style="3" customWidth="1"/>
    <col min="7" max="8" width="11.75" style="3" customWidth="1"/>
    <col min="9" max="9" width="12.25" style="3" customWidth="1"/>
    <col min="10" max="11" width="11.5" style="3" customWidth="1"/>
    <col min="12" max="23" width="12.625" style="3" customWidth="1"/>
    <col min="24" max="24" width="11.125" style="3" customWidth="1"/>
    <col min="25" max="35" width="12.625" style="3" customWidth="1"/>
    <col min="36" max="37" width="11.125" style="3" customWidth="1"/>
    <col min="38" max="39" width="11.125" style="3" bestFit="1" customWidth="1"/>
    <col min="40" max="53" width="12.625" style="3" customWidth="1"/>
    <col min="54" max="54" width="11.125" style="3" customWidth="1"/>
    <col min="55" max="55" width="1.375" style="3" customWidth="1"/>
    <col min="56" max="56" width="14.5" style="3" bestFit="1" customWidth="1"/>
    <col min="57" max="57" width="6.625" style="170" customWidth="1"/>
    <col min="58" max="58" width="5.5" style="105" customWidth="1"/>
    <col min="59" max="59" width="3.5" style="1" customWidth="1"/>
    <col min="60" max="60" width="44.5" style="1" customWidth="1"/>
    <col min="61" max="61" width="15.25" style="166" bestFit="1" customWidth="1"/>
    <col min="62" max="62" width="2.125" style="3" customWidth="1"/>
    <col min="63" max="63" width="1.625" style="3" customWidth="1"/>
    <col min="64" max="16384" width="9" style="3"/>
  </cols>
  <sheetData>
    <row r="1" spans="1:67" ht="15.75" customHeight="1" x14ac:dyDescent="0.25">
      <c r="A1" s="105"/>
      <c r="BE1" s="194"/>
      <c r="BF1" s="172"/>
    </row>
    <row r="2" spans="1:67" ht="15.75" customHeight="1" x14ac:dyDescent="0.25">
      <c r="C2" s="218" t="s">
        <v>148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187"/>
      <c r="AW2" s="187"/>
      <c r="AX2" s="187"/>
      <c r="AY2" s="187"/>
      <c r="AZ2" s="187"/>
      <c r="BA2" s="187"/>
      <c r="BB2" s="187"/>
      <c r="BC2" s="218"/>
      <c r="BD2" s="218"/>
      <c r="BE2" s="194"/>
      <c r="BH2" s="71"/>
      <c r="BI2" s="169"/>
    </row>
    <row r="3" spans="1:67" ht="12" customHeight="1" thickBot="1" x14ac:dyDescent="0.3">
      <c r="B3" s="274" t="s">
        <v>146</v>
      </c>
      <c r="C3" s="274"/>
      <c r="D3" s="274"/>
      <c r="E3" s="210">
        <v>43952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06"/>
      <c r="BD3" s="276" t="s">
        <v>68</v>
      </c>
      <c r="BE3" s="194"/>
      <c r="BF3" s="197"/>
      <c r="BG3" s="186"/>
      <c r="BH3" s="182"/>
      <c r="BI3" s="182"/>
      <c r="BJ3" s="262"/>
      <c r="BK3" s="170"/>
      <c r="BL3" s="105"/>
    </row>
    <row r="4" spans="1:67" s="181" customFormat="1" ht="16.5" thickBot="1" x14ac:dyDescent="0.3">
      <c r="A4" s="175"/>
      <c r="B4" s="274"/>
      <c r="C4" s="274"/>
      <c r="D4" s="274"/>
      <c r="E4" s="210">
        <v>44156</v>
      </c>
      <c r="F4" s="211">
        <v>44186</v>
      </c>
      <c r="G4" s="211">
        <v>44197</v>
      </c>
      <c r="H4" s="211">
        <v>44228</v>
      </c>
      <c r="I4" s="212">
        <v>44256</v>
      </c>
      <c r="J4" s="212">
        <v>44287</v>
      </c>
      <c r="K4" s="211">
        <v>44317</v>
      </c>
      <c r="L4" s="212">
        <v>44348</v>
      </c>
      <c r="M4" s="212">
        <v>44378</v>
      </c>
      <c r="N4" s="212">
        <v>44409</v>
      </c>
      <c r="O4" s="212">
        <v>44440</v>
      </c>
      <c r="P4" s="212">
        <v>44490</v>
      </c>
      <c r="Q4" s="212">
        <v>44521</v>
      </c>
      <c r="R4" s="212">
        <v>44551</v>
      </c>
      <c r="S4" s="212">
        <v>44582</v>
      </c>
      <c r="T4" s="212">
        <v>44613</v>
      </c>
      <c r="U4" s="212">
        <v>44641</v>
      </c>
      <c r="V4" s="212">
        <v>44671</v>
      </c>
      <c r="W4" s="212">
        <v>44701</v>
      </c>
      <c r="X4" s="212">
        <v>44731</v>
      </c>
      <c r="Y4" s="212">
        <v>44761</v>
      </c>
      <c r="Z4" s="212">
        <v>44791</v>
      </c>
      <c r="AA4" s="212">
        <v>44821</v>
      </c>
      <c r="AB4" s="212">
        <v>44851</v>
      </c>
      <c r="AC4" s="212">
        <v>44881</v>
      </c>
      <c r="AD4" s="212">
        <v>44911</v>
      </c>
      <c r="AE4" s="212">
        <v>44941</v>
      </c>
      <c r="AF4" s="212">
        <v>44971</v>
      </c>
      <c r="AG4" s="212">
        <v>45001</v>
      </c>
      <c r="AH4" s="212">
        <v>45031</v>
      </c>
      <c r="AI4" s="212">
        <v>45061</v>
      </c>
      <c r="AJ4" s="212">
        <v>45091</v>
      </c>
      <c r="AK4" s="212">
        <v>45121</v>
      </c>
      <c r="AL4" s="212">
        <v>45151</v>
      </c>
      <c r="AM4" s="212">
        <v>45181</v>
      </c>
      <c r="AN4" s="212">
        <v>45211</v>
      </c>
      <c r="AO4" s="212">
        <v>45241</v>
      </c>
      <c r="AP4" s="212">
        <v>45271</v>
      </c>
      <c r="AQ4" s="212">
        <v>45301</v>
      </c>
      <c r="AR4" s="212">
        <v>45331</v>
      </c>
      <c r="AS4" s="212">
        <v>45361</v>
      </c>
      <c r="AT4" s="212">
        <v>45391</v>
      </c>
      <c r="AU4" s="212">
        <v>45421</v>
      </c>
      <c r="AV4" s="212">
        <v>45451</v>
      </c>
      <c r="AW4" s="212">
        <v>45481</v>
      </c>
      <c r="AX4" s="212">
        <v>45511</v>
      </c>
      <c r="AY4" s="212">
        <v>45541</v>
      </c>
      <c r="AZ4" s="212">
        <v>45571</v>
      </c>
      <c r="BA4" s="212">
        <v>45601</v>
      </c>
      <c r="BB4" s="212">
        <v>45631</v>
      </c>
      <c r="BC4" s="213"/>
      <c r="BD4" s="276"/>
      <c r="BE4" s="259"/>
      <c r="BF4" s="260"/>
      <c r="BG4" s="263"/>
      <c r="BH4" s="272" t="s">
        <v>158</v>
      </c>
      <c r="BI4" s="273"/>
      <c r="BJ4" s="185"/>
      <c r="BK4" s="209"/>
    </row>
    <row r="5" spans="1:67" ht="16.5" customHeight="1" x14ac:dyDescent="0.25">
      <c r="A5" s="168"/>
      <c r="C5" s="266" t="s">
        <v>110</v>
      </c>
      <c r="D5" s="266"/>
      <c r="E5" s="208">
        <v>95087.75</v>
      </c>
      <c r="F5" s="83">
        <v>215508.29</v>
      </c>
      <c r="G5" s="83">
        <v>-4356.18</v>
      </c>
      <c r="H5" s="83">
        <v>55165.84</v>
      </c>
      <c r="I5" s="83">
        <v>-41970.52</v>
      </c>
      <c r="J5" s="83">
        <v>-76832.52</v>
      </c>
      <c r="K5" s="83">
        <v>32913.49</v>
      </c>
      <c r="L5" s="83">
        <v>206292.17</v>
      </c>
      <c r="M5" s="83">
        <v>-89920.36</v>
      </c>
      <c r="N5" s="83">
        <v>7792.44</v>
      </c>
      <c r="O5" s="83">
        <v>-83970.18</v>
      </c>
      <c r="P5" s="83">
        <v>-86758.71</v>
      </c>
      <c r="Q5" s="83">
        <v>-171853.01</v>
      </c>
      <c r="R5" s="83">
        <v>-158238.84</v>
      </c>
      <c r="S5" s="83">
        <v>-2421.84</v>
      </c>
      <c r="T5" s="83">
        <v>-61922.69</v>
      </c>
      <c r="U5" s="83">
        <v>-420442.57</v>
      </c>
      <c r="V5" s="83">
        <v>-46712.73</v>
      </c>
      <c r="W5" s="83">
        <v>132894.85</v>
      </c>
      <c r="X5" s="188">
        <v>-50807.28</v>
      </c>
      <c r="Y5" s="83">
        <v>5709.59</v>
      </c>
      <c r="Z5" s="83">
        <v>128634.29</v>
      </c>
      <c r="AA5" s="188">
        <v>64545.88</v>
      </c>
      <c r="AB5" s="188">
        <v>67014.55</v>
      </c>
      <c r="AC5" s="188">
        <v>-61096.82</v>
      </c>
      <c r="AD5" s="188">
        <v>54711.07</v>
      </c>
      <c r="AE5" s="188">
        <v>71094.73</v>
      </c>
      <c r="AF5" s="188">
        <v>13721.07</v>
      </c>
      <c r="AG5" s="83">
        <v>11950.58</v>
      </c>
      <c r="AH5" s="83">
        <v>-34851.75</v>
      </c>
      <c r="AI5" s="83">
        <v>173034.08</v>
      </c>
      <c r="AJ5" s="83">
        <v>55326.82</v>
      </c>
      <c r="AK5" s="83">
        <v>117482.99</v>
      </c>
      <c r="AL5" s="83">
        <v>190327.14</v>
      </c>
      <c r="AM5" s="83">
        <v>52366.22</v>
      </c>
      <c r="AN5" s="83">
        <v>23465.9</v>
      </c>
      <c r="AO5" s="83">
        <v>246762.6</v>
      </c>
      <c r="AP5" s="83">
        <v>311344.13</v>
      </c>
      <c r="AQ5" s="83">
        <v>159230.39999999999</v>
      </c>
      <c r="AR5" s="83">
        <v>-60403.08</v>
      </c>
      <c r="AS5" s="83">
        <v>27771.55</v>
      </c>
      <c r="AT5" s="83">
        <v>-74152.38</v>
      </c>
      <c r="AU5" s="83">
        <v>-69.77</v>
      </c>
      <c r="AV5" s="83">
        <v>-5090.97</v>
      </c>
      <c r="AW5" s="83">
        <v>123562.09</v>
      </c>
      <c r="AX5" s="83">
        <v>84421.87</v>
      </c>
      <c r="AY5" s="83">
        <v>206589.41</v>
      </c>
      <c r="AZ5" s="83">
        <v>20117.009999999998</v>
      </c>
      <c r="BA5" s="83">
        <v>34508.22</v>
      </c>
      <c r="BB5" s="83">
        <v>52314.66</v>
      </c>
      <c r="BC5" s="97"/>
      <c r="BD5" s="190">
        <f t="shared" ref="BD5:BD14" si="0">SUM(E5:BB5)</f>
        <v>1509789.4799999995</v>
      </c>
      <c r="BE5" s="194"/>
      <c r="BF5" s="172"/>
      <c r="BG5" s="263"/>
      <c r="BH5" s="205" t="s">
        <v>149</v>
      </c>
      <c r="BI5" s="173" t="s">
        <v>19</v>
      </c>
      <c r="BJ5" s="175"/>
      <c r="BK5" s="105"/>
    </row>
    <row r="6" spans="1:67" ht="16.5" customHeight="1" x14ac:dyDescent="0.25">
      <c r="A6" s="168"/>
      <c r="C6" s="266" t="s">
        <v>102</v>
      </c>
      <c r="D6" s="266"/>
      <c r="E6" s="222"/>
      <c r="F6" s="219"/>
      <c r="G6" s="83"/>
      <c r="H6" s="83"/>
      <c r="I6" s="83">
        <v>7357.82</v>
      </c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188"/>
      <c r="Y6" s="83"/>
      <c r="Z6" s="83"/>
      <c r="AA6" s="188"/>
      <c r="AB6" s="188"/>
      <c r="AC6" s="188"/>
      <c r="AD6" s="188"/>
      <c r="AE6" s="188"/>
      <c r="AF6" s="188"/>
      <c r="AG6" s="83"/>
      <c r="AH6" s="83"/>
      <c r="AI6" s="83"/>
      <c r="AJ6" s="83"/>
      <c r="AK6" s="98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97"/>
      <c r="BD6" s="190">
        <f t="shared" si="0"/>
        <v>7357.82</v>
      </c>
      <c r="BE6" s="194"/>
      <c r="BF6" s="172"/>
      <c r="BG6" s="183"/>
      <c r="BH6" s="264" t="s">
        <v>133</v>
      </c>
      <c r="BI6" s="191">
        <f>BD5+BD6+BD7+BD8</f>
        <v>1476743.5399999996</v>
      </c>
      <c r="BJ6" s="174"/>
      <c r="BK6" s="105"/>
    </row>
    <row r="7" spans="1:67" ht="16.5" customHeight="1" x14ac:dyDescent="0.25">
      <c r="A7" s="168"/>
      <c r="C7" s="266" t="s">
        <v>103</v>
      </c>
      <c r="D7" s="266"/>
      <c r="E7" s="222"/>
      <c r="F7" s="219"/>
      <c r="G7" s="83"/>
      <c r="H7" s="83"/>
      <c r="I7" s="83"/>
      <c r="J7" s="83">
        <v>7410.97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188"/>
      <c r="Y7" s="83"/>
      <c r="Z7" s="83"/>
      <c r="AA7" s="188"/>
      <c r="AB7" s="188"/>
      <c r="AC7" s="188"/>
      <c r="AD7" s="188"/>
      <c r="AE7" s="188"/>
      <c r="AF7" s="188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97"/>
      <c r="BD7" s="190">
        <f t="shared" si="0"/>
        <v>7410.97</v>
      </c>
      <c r="BE7" s="194"/>
      <c r="BF7" s="172"/>
      <c r="BG7" s="183"/>
      <c r="BH7" s="264" t="s">
        <v>134</v>
      </c>
      <c r="BI7" s="191">
        <f>+BD12</f>
        <v>124102.42000000001</v>
      </c>
      <c r="BJ7" s="175"/>
    </row>
    <row r="8" spans="1:67" ht="16.5" customHeight="1" x14ac:dyDescent="0.25">
      <c r="A8" s="168"/>
      <c r="C8" s="266" t="s">
        <v>109</v>
      </c>
      <c r="D8" s="266"/>
      <c r="E8" s="222"/>
      <c r="F8" s="219"/>
      <c r="G8" s="83"/>
      <c r="H8" s="83"/>
      <c r="I8" s="83"/>
      <c r="J8" s="83"/>
      <c r="K8" s="83"/>
      <c r="L8" s="83">
        <v>-47814.73</v>
      </c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188"/>
      <c r="Y8" s="83"/>
      <c r="Z8" s="83"/>
      <c r="AA8" s="188"/>
      <c r="AB8" s="188"/>
      <c r="AC8" s="188"/>
      <c r="AD8" s="188"/>
      <c r="AE8" s="188"/>
      <c r="AF8" s="188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97"/>
      <c r="BD8" s="190">
        <f t="shared" si="0"/>
        <v>-47814.73</v>
      </c>
      <c r="BE8" s="194"/>
      <c r="BF8" s="172"/>
      <c r="BG8" s="183"/>
      <c r="BH8" s="264" t="s">
        <v>135</v>
      </c>
      <c r="BI8" s="191">
        <f>+BD17+BD18</f>
        <v>7083924.8200000059</v>
      </c>
      <c r="BJ8" s="175"/>
      <c r="BK8" s="105"/>
      <c r="BL8" s="181"/>
    </row>
    <row r="9" spans="1:67" ht="16.5" customHeight="1" x14ac:dyDescent="0.25">
      <c r="A9" s="168"/>
      <c r="C9" s="266" t="s">
        <v>155</v>
      </c>
      <c r="D9" s="266"/>
      <c r="E9" s="222"/>
      <c r="F9" s="219"/>
      <c r="G9" s="83"/>
      <c r="H9" s="83"/>
      <c r="I9" s="83"/>
      <c r="J9" s="83"/>
      <c r="K9" s="83"/>
      <c r="L9" s="107">
        <v>7261.85</v>
      </c>
      <c r="M9" s="107">
        <v>6846.45</v>
      </c>
      <c r="N9" s="107">
        <v>6066.44</v>
      </c>
      <c r="O9" s="107">
        <v>5547.32</v>
      </c>
      <c r="P9" s="107">
        <v>4674.8900000000003</v>
      </c>
      <c r="Q9" s="107">
        <v>4860.26</v>
      </c>
      <c r="R9" s="107">
        <v>6047.54</v>
      </c>
      <c r="S9" s="107">
        <v>8820.5400000000009</v>
      </c>
      <c r="T9" s="107">
        <v>11531.84</v>
      </c>
      <c r="U9" s="107">
        <v>8462.48</v>
      </c>
      <c r="V9" s="107">
        <v>14265.63</v>
      </c>
      <c r="W9" s="107">
        <v>13665.94</v>
      </c>
      <c r="X9" s="189">
        <v>12233.7</v>
      </c>
      <c r="Y9" s="107">
        <v>13600.64</v>
      </c>
      <c r="Z9" s="107">
        <v>10800.18</v>
      </c>
      <c r="AA9" s="107">
        <v>10061.11</v>
      </c>
      <c r="AB9" s="107">
        <v>9368.94</v>
      </c>
      <c r="AC9" s="107">
        <v>9076.7000000000007</v>
      </c>
      <c r="AD9" s="107">
        <v>10825.54</v>
      </c>
      <c r="AE9" s="107">
        <v>34412.080000000002</v>
      </c>
      <c r="AF9" s="107">
        <v>41171.660000000003</v>
      </c>
      <c r="AG9" s="107">
        <v>35431.07</v>
      </c>
      <c r="AH9" s="107">
        <v>42669.120000000003</v>
      </c>
      <c r="AI9" s="107">
        <v>40466.129999999997</v>
      </c>
      <c r="AJ9" s="107">
        <v>39627.919999999998</v>
      </c>
      <c r="AK9" s="107">
        <v>34058.07</v>
      </c>
      <c r="AL9" s="107">
        <v>25194.77</v>
      </c>
      <c r="AM9" s="223">
        <v>24412.49</v>
      </c>
      <c r="AN9" s="224">
        <v>17772.919999999998</v>
      </c>
      <c r="AO9" s="189">
        <v>17979.75</v>
      </c>
      <c r="AP9" s="189">
        <v>20201.82</v>
      </c>
      <c r="AQ9" s="189">
        <v>23330.6</v>
      </c>
      <c r="AR9" s="189">
        <v>28350.71</v>
      </c>
      <c r="AS9" s="225">
        <v>31021.72</v>
      </c>
      <c r="AT9" s="189">
        <v>39921.599999999999</v>
      </c>
      <c r="AU9" s="189">
        <v>33239.07</v>
      </c>
      <c r="AV9" s="189">
        <v>28621.64</v>
      </c>
      <c r="AW9" s="189">
        <v>24201.82</v>
      </c>
      <c r="AX9" s="189">
        <v>18017.53</v>
      </c>
      <c r="AY9" s="189">
        <v>16279.05</v>
      </c>
      <c r="AZ9" s="189">
        <v>12851.1</v>
      </c>
      <c r="BA9" s="189">
        <v>16149.11</v>
      </c>
      <c r="BB9" s="189">
        <v>21715.67</v>
      </c>
      <c r="BC9" s="97"/>
      <c r="BD9" s="190">
        <f t="shared" si="0"/>
        <v>841115.4099999998</v>
      </c>
      <c r="BE9" s="194"/>
      <c r="BF9" s="172"/>
      <c r="BG9" s="183"/>
      <c r="BH9" s="252" t="s">
        <v>136</v>
      </c>
      <c r="BI9" s="195">
        <f>SUM(BI6:BI8)</f>
        <v>8684770.7800000049</v>
      </c>
      <c r="BJ9" s="175"/>
      <c r="BK9" s="105"/>
    </row>
    <row r="10" spans="1:67" ht="16.5" customHeight="1" x14ac:dyDescent="0.25">
      <c r="A10" s="168"/>
      <c r="C10" s="266" t="s">
        <v>156</v>
      </c>
      <c r="D10" s="266"/>
      <c r="E10" s="222"/>
      <c r="F10" s="219"/>
      <c r="G10" s="83"/>
      <c r="H10" s="83"/>
      <c r="I10" s="83"/>
      <c r="J10" s="83"/>
      <c r="K10" s="83"/>
      <c r="L10" s="107"/>
      <c r="M10" s="107"/>
      <c r="N10" s="107"/>
      <c r="O10" s="107"/>
      <c r="P10" s="107"/>
      <c r="Q10" s="107"/>
      <c r="R10" s="107">
        <v>301.66000000000003</v>
      </c>
      <c r="S10" s="107"/>
      <c r="T10" s="107"/>
      <c r="U10" s="107"/>
      <c r="V10" s="107"/>
      <c r="W10" s="107"/>
      <c r="X10" s="107"/>
      <c r="Y10" s="107"/>
      <c r="Z10" s="107"/>
      <c r="AA10" s="189"/>
      <c r="AB10" s="189"/>
      <c r="AC10" s="189"/>
      <c r="AD10" s="189"/>
      <c r="AE10" s="189"/>
      <c r="AF10" s="189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97"/>
      <c r="BD10" s="190">
        <f t="shared" si="0"/>
        <v>301.66000000000003</v>
      </c>
      <c r="BE10" s="194"/>
      <c r="BF10" s="172"/>
      <c r="BG10" s="183"/>
      <c r="BH10" s="107"/>
      <c r="BI10" s="249"/>
      <c r="BJ10" s="174"/>
      <c r="BK10" s="170"/>
      <c r="BM10" s="1"/>
      <c r="BN10" s="77"/>
      <c r="BO10" s="167"/>
    </row>
    <row r="11" spans="1:67" ht="16.5" customHeight="1" x14ac:dyDescent="0.25">
      <c r="A11" s="168"/>
      <c r="C11" s="266" t="s">
        <v>124</v>
      </c>
      <c r="D11" s="266"/>
      <c r="E11" s="222"/>
      <c r="F11" s="202"/>
      <c r="G11" s="107"/>
      <c r="H11" s="107"/>
      <c r="I11" s="107"/>
      <c r="J11" s="107"/>
      <c r="K11" s="107"/>
      <c r="L11" s="224">
        <v>97531.98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89"/>
      <c r="AB11" s="189"/>
      <c r="AC11" s="189"/>
      <c r="AD11" s="189"/>
      <c r="AE11" s="189"/>
      <c r="AF11" s="189"/>
      <c r="AG11" s="107"/>
      <c r="AH11" s="107"/>
      <c r="AI11" s="107"/>
      <c r="AJ11" s="107"/>
      <c r="AK11" s="98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97"/>
      <c r="BD11" s="190">
        <f t="shared" si="0"/>
        <v>97531.98</v>
      </c>
      <c r="BE11" s="194"/>
      <c r="BF11" s="172"/>
      <c r="BG11" s="183"/>
      <c r="BH11" s="264" t="s">
        <v>137</v>
      </c>
      <c r="BI11" s="191">
        <f>SUM(BD21:BD26)</f>
        <v>-1120057.8400000001</v>
      </c>
      <c r="BJ11" s="175"/>
      <c r="BL11" s="96"/>
      <c r="BN11" s="105"/>
      <c r="BO11" s="105"/>
    </row>
    <row r="12" spans="1:67" ht="16.5" customHeight="1" x14ac:dyDescent="0.25">
      <c r="A12" s="168"/>
      <c r="B12" s="170"/>
      <c r="C12" s="226" t="s">
        <v>154</v>
      </c>
      <c r="D12" s="226"/>
      <c r="E12" s="227">
        <v>43682.06</v>
      </c>
      <c r="F12" s="204">
        <v>3023.96</v>
      </c>
      <c r="G12" s="204">
        <v>1120.47</v>
      </c>
      <c r="H12" s="204">
        <v>1596.99</v>
      </c>
      <c r="I12" s="204">
        <v>1889.89</v>
      </c>
      <c r="J12" s="204">
        <v>793.26</v>
      </c>
      <c r="K12" s="204">
        <v>732.38</v>
      </c>
      <c r="L12" s="204">
        <v>20735.18</v>
      </c>
      <c r="M12" s="204">
        <v>1611.76</v>
      </c>
      <c r="N12" s="204">
        <v>15855.71</v>
      </c>
      <c r="O12" s="204">
        <v>2330.2399999999998</v>
      </c>
      <c r="P12" s="204">
        <v>4638.7700000000004</v>
      </c>
      <c r="Q12" s="204">
        <v>1058.1099999999999</v>
      </c>
      <c r="R12" s="204">
        <v>771.89</v>
      </c>
      <c r="S12" s="204">
        <v>15519.05</v>
      </c>
      <c r="T12" s="204">
        <v>458.45</v>
      </c>
      <c r="U12" s="204">
        <v>1061.92</v>
      </c>
      <c r="V12" s="204">
        <v>545.05999999999995</v>
      </c>
      <c r="W12" s="204">
        <v>560.71</v>
      </c>
      <c r="X12" s="204">
        <v>545.05999999999995</v>
      </c>
      <c r="Y12" s="204">
        <v>557.9</v>
      </c>
      <c r="Z12" s="204">
        <v>545.05999999999995</v>
      </c>
      <c r="AA12" s="204">
        <v>539.79</v>
      </c>
      <c r="AB12" s="204">
        <v>878.1</v>
      </c>
      <c r="AC12" s="204">
        <v>539.79</v>
      </c>
      <c r="AD12" s="204">
        <v>878.1</v>
      </c>
      <c r="AE12" s="204">
        <v>707.91</v>
      </c>
      <c r="AF12" s="204">
        <v>539</v>
      </c>
      <c r="AG12" s="204">
        <v>713.16</v>
      </c>
      <c r="AH12" s="204">
        <v>-327.31</v>
      </c>
      <c r="AI12" s="204" t="s">
        <v>157</v>
      </c>
      <c r="AJ12" s="204">
        <v>0</v>
      </c>
      <c r="AK12" s="204">
        <v>0</v>
      </c>
      <c r="AL12" s="204">
        <v>0</v>
      </c>
      <c r="AM12" s="204">
        <v>0</v>
      </c>
      <c r="AN12" s="204">
        <v>0</v>
      </c>
      <c r="AO12" s="204">
        <v>0</v>
      </c>
      <c r="AP12" s="204">
        <v>0</v>
      </c>
      <c r="AQ12" s="204">
        <v>0</v>
      </c>
      <c r="AR12" s="204">
        <v>0</v>
      </c>
      <c r="AS12" s="204">
        <v>0</v>
      </c>
      <c r="AT12" s="204"/>
      <c r="AU12" s="204"/>
      <c r="AV12" s="204"/>
      <c r="AW12" s="204"/>
      <c r="AX12" s="204"/>
      <c r="AY12" s="204"/>
      <c r="AZ12" s="204"/>
      <c r="BA12" s="204"/>
      <c r="BB12" s="204"/>
      <c r="BC12" s="97"/>
      <c r="BD12" s="190">
        <f t="shared" si="0"/>
        <v>124102.42000000001</v>
      </c>
      <c r="BE12" s="194"/>
      <c r="BF12" s="172"/>
      <c r="BG12" s="183"/>
      <c r="BH12" s="253" t="s">
        <v>145</v>
      </c>
      <c r="BI12" s="191">
        <f>+BD27</f>
        <v>-158487.77000000002</v>
      </c>
      <c r="BJ12" s="175"/>
      <c r="BL12" s="96"/>
    </row>
    <row r="13" spans="1:67" ht="16.5" customHeight="1" x14ac:dyDescent="0.25">
      <c r="A13" s="168"/>
      <c r="B13" s="170"/>
      <c r="C13" s="226" t="s">
        <v>140</v>
      </c>
      <c r="D13" s="226"/>
      <c r="E13" s="227"/>
      <c r="F13" s="204"/>
      <c r="G13" s="204"/>
      <c r="H13" s="204"/>
      <c r="I13" s="204"/>
      <c r="J13" s="204"/>
      <c r="K13" s="204"/>
      <c r="L13" s="204">
        <v>25049.67</v>
      </c>
      <c r="M13" s="204">
        <v>29351.72</v>
      </c>
      <c r="N13" s="204">
        <v>25225.040000000001</v>
      </c>
      <c r="O13" s="204">
        <v>25408.93</v>
      </c>
      <c r="P13" s="204">
        <v>25999.73</v>
      </c>
      <c r="Q13" s="204">
        <v>24940.06</v>
      </c>
      <c r="R13" s="204">
        <v>25829.45</v>
      </c>
      <c r="S13" s="204">
        <v>25810.2</v>
      </c>
      <c r="T13" s="204">
        <v>23362.34</v>
      </c>
      <c r="U13" s="204">
        <v>27041.01</v>
      </c>
      <c r="V13" s="204">
        <v>22570.25</v>
      </c>
      <c r="W13" s="204">
        <v>22498.7</v>
      </c>
      <c r="X13" s="204">
        <v>20985.38</v>
      </c>
      <c r="Y13" s="204">
        <v>22922.03</v>
      </c>
      <c r="Z13" s="204">
        <v>22819.84</v>
      </c>
      <c r="AA13" s="204">
        <v>24327.41</v>
      </c>
      <c r="AB13" s="204">
        <v>19061.650000000001</v>
      </c>
      <c r="AC13" s="204">
        <v>20564.41</v>
      </c>
      <c r="AD13" s="204">
        <v>24226.79</v>
      </c>
      <c r="AE13" s="204">
        <v>23607.05</v>
      </c>
      <c r="AF13" s="204">
        <v>22024.51</v>
      </c>
      <c r="AG13" s="204">
        <v>23581.58</v>
      </c>
      <c r="AH13" s="204">
        <v>21175.51</v>
      </c>
      <c r="AI13" s="204">
        <v>24489.4</v>
      </c>
      <c r="AJ13" s="204">
        <v>22244.79</v>
      </c>
      <c r="AK13" s="204">
        <v>24297.74</v>
      </c>
      <c r="AL13" s="204">
        <v>25497.69</v>
      </c>
      <c r="AM13" s="204">
        <v>22089.66</v>
      </c>
      <c r="AN13" s="204">
        <v>24352.31</v>
      </c>
      <c r="AO13" s="204">
        <v>29791.99</v>
      </c>
      <c r="AP13" s="204">
        <v>32999.72</v>
      </c>
      <c r="AQ13" s="204">
        <v>40410.730000000003</v>
      </c>
      <c r="AR13" s="204">
        <v>47280.7</v>
      </c>
      <c r="AS13" s="228">
        <v>44630.63</v>
      </c>
      <c r="AT13" s="204">
        <v>46503.24</v>
      </c>
      <c r="AU13" s="204">
        <v>49159.56</v>
      </c>
      <c r="AV13" s="204">
        <v>43282.68</v>
      </c>
      <c r="AW13" s="204">
        <v>46455.62</v>
      </c>
      <c r="AX13" s="204">
        <v>44762.83</v>
      </c>
      <c r="AY13" s="204">
        <v>43325.26</v>
      </c>
      <c r="AZ13" s="204">
        <v>51434.57</v>
      </c>
      <c r="BA13" s="204">
        <v>49120.58</v>
      </c>
      <c r="BB13" s="204">
        <v>52058.29</v>
      </c>
      <c r="BC13" s="97"/>
      <c r="BD13" s="207">
        <f t="shared" si="0"/>
        <v>1312571.2500000002</v>
      </c>
      <c r="BE13" s="194"/>
      <c r="BF13" s="190"/>
      <c r="BG13" s="183"/>
      <c r="BH13" s="176" t="s">
        <v>138</v>
      </c>
      <c r="BI13" s="195">
        <f>+BI12+BI11</f>
        <v>-1278545.6100000001</v>
      </c>
      <c r="BJ13" s="175"/>
      <c r="BL13" s="96"/>
    </row>
    <row r="14" spans="1:67" ht="16.5" customHeight="1" thickBot="1" x14ac:dyDescent="0.3">
      <c r="A14" s="168"/>
      <c r="B14" s="192"/>
      <c r="C14" s="269" t="s">
        <v>108</v>
      </c>
      <c r="D14" s="269"/>
      <c r="E14" s="229"/>
      <c r="F14" s="230"/>
      <c r="G14" s="230"/>
      <c r="H14" s="230"/>
      <c r="I14" s="230"/>
      <c r="J14" s="230"/>
      <c r="K14" s="230"/>
      <c r="L14" s="230">
        <v>314488.43</v>
      </c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97"/>
      <c r="BD14" s="207">
        <f t="shared" si="0"/>
        <v>314488.43</v>
      </c>
      <c r="BE14" s="194"/>
      <c r="BF14" s="190"/>
      <c r="BG14" s="183"/>
      <c r="BH14" s="177" t="s">
        <v>159</v>
      </c>
      <c r="BI14" s="196">
        <f>ROUND(BI9+BI13,2)</f>
        <v>7406225.1699999999</v>
      </c>
      <c r="BJ14" s="175"/>
      <c r="BL14" s="96"/>
    </row>
    <row r="15" spans="1:67" ht="16.5" customHeight="1" thickTop="1" x14ac:dyDescent="0.25">
      <c r="A15" s="168"/>
      <c r="B15" s="171"/>
      <c r="C15" s="267" t="s">
        <v>144</v>
      </c>
      <c r="D15" s="267"/>
      <c r="E15" s="208">
        <f t="shared" ref="E15:BB15" si="1">SUM(E5:E14)</f>
        <v>138769.81</v>
      </c>
      <c r="F15" s="107">
        <f t="shared" si="1"/>
        <v>218532.25</v>
      </c>
      <c r="G15" s="107">
        <f t="shared" si="1"/>
        <v>-3235.71</v>
      </c>
      <c r="H15" s="107">
        <f t="shared" si="1"/>
        <v>56762.829999999994</v>
      </c>
      <c r="I15" s="107">
        <f t="shared" si="1"/>
        <v>-32722.809999999998</v>
      </c>
      <c r="J15" s="107">
        <f t="shared" si="1"/>
        <v>-68628.290000000008</v>
      </c>
      <c r="K15" s="107">
        <f t="shared" si="1"/>
        <v>33645.869999999995</v>
      </c>
      <c r="L15" s="107">
        <f t="shared" si="1"/>
        <v>623544.55000000005</v>
      </c>
      <c r="M15" s="107">
        <f t="shared" si="1"/>
        <v>-52110.430000000008</v>
      </c>
      <c r="N15" s="107">
        <f t="shared" si="1"/>
        <v>54939.63</v>
      </c>
      <c r="O15" s="107">
        <f t="shared" si="1"/>
        <v>-50683.689999999981</v>
      </c>
      <c r="P15" s="107">
        <f t="shared" si="1"/>
        <v>-51445.320000000007</v>
      </c>
      <c r="Q15" s="107">
        <f t="shared" si="1"/>
        <v>-140994.58000000002</v>
      </c>
      <c r="R15" s="107">
        <f t="shared" si="1"/>
        <v>-125288.29999999997</v>
      </c>
      <c r="S15" s="107">
        <f t="shared" si="1"/>
        <v>47727.95</v>
      </c>
      <c r="T15" s="107">
        <f t="shared" si="1"/>
        <v>-26570.060000000009</v>
      </c>
      <c r="U15" s="107">
        <f t="shared" si="1"/>
        <v>-383877.16000000003</v>
      </c>
      <c r="V15" s="107">
        <f t="shared" si="1"/>
        <v>-9331.7900000000045</v>
      </c>
      <c r="W15" s="107">
        <f t="shared" si="1"/>
        <v>169620.2</v>
      </c>
      <c r="X15" s="107">
        <f t="shared" si="1"/>
        <v>-17043.140000000003</v>
      </c>
      <c r="Y15" s="107">
        <f t="shared" si="1"/>
        <v>42790.16</v>
      </c>
      <c r="Z15" s="107">
        <f t="shared" si="1"/>
        <v>162799.37</v>
      </c>
      <c r="AA15" s="201">
        <f t="shared" si="1"/>
        <v>99474.189999999988</v>
      </c>
      <c r="AB15" s="201">
        <f t="shared" si="1"/>
        <v>96323.24000000002</v>
      </c>
      <c r="AC15" s="201">
        <f t="shared" si="1"/>
        <v>-30915.919999999995</v>
      </c>
      <c r="AD15" s="201">
        <f t="shared" si="1"/>
        <v>90641.5</v>
      </c>
      <c r="AE15" s="201">
        <f t="shared" si="1"/>
        <v>129821.77</v>
      </c>
      <c r="AF15" s="201">
        <f t="shared" si="1"/>
        <v>77456.240000000005</v>
      </c>
      <c r="AG15" s="206">
        <f t="shared" si="1"/>
        <v>71676.390000000014</v>
      </c>
      <c r="AH15" s="206">
        <f t="shared" si="1"/>
        <v>28665.57</v>
      </c>
      <c r="AI15" s="206">
        <f t="shared" si="1"/>
        <v>237989.61</v>
      </c>
      <c r="AJ15" s="206">
        <f t="shared" si="1"/>
        <v>117199.53</v>
      </c>
      <c r="AK15" s="206">
        <f t="shared" si="1"/>
        <v>175838.8</v>
      </c>
      <c r="AL15" s="206">
        <f t="shared" si="1"/>
        <v>241019.6</v>
      </c>
      <c r="AM15" s="206">
        <f t="shared" si="1"/>
        <v>98868.37000000001</v>
      </c>
      <c r="AN15" s="206">
        <f t="shared" si="1"/>
        <v>65591.13</v>
      </c>
      <c r="AO15" s="206">
        <f t="shared" si="1"/>
        <v>294534.33999999997</v>
      </c>
      <c r="AP15" s="206">
        <f t="shared" si="1"/>
        <v>364545.67000000004</v>
      </c>
      <c r="AQ15" s="206">
        <f t="shared" si="1"/>
        <v>222971.73</v>
      </c>
      <c r="AR15" s="206">
        <f t="shared" si="1"/>
        <v>15228.329999999994</v>
      </c>
      <c r="AS15" s="206">
        <f>SUM(AS5:AS14)</f>
        <v>103423.9</v>
      </c>
      <c r="AT15" s="206">
        <f>SUM(AT5:AT14)</f>
        <v>12272.459999999992</v>
      </c>
      <c r="AU15" s="206">
        <f t="shared" si="1"/>
        <v>82328.86</v>
      </c>
      <c r="AV15" s="206">
        <f t="shared" si="1"/>
        <v>66813.350000000006</v>
      </c>
      <c r="AW15" s="206">
        <f t="shared" si="1"/>
        <v>194219.53</v>
      </c>
      <c r="AX15" s="206">
        <f t="shared" si="1"/>
        <v>147202.22999999998</v>
      </c>
      <c r="AY15" s="206">
        <f>SUM(AY5:AY14)</f>
        <v>266193.71999999997</v>
      </c>
      <c r="AZ15" s="206">
        <f t="shared" si="1"/>
        <v>84402.68</v>
      </c>
      <c r="BA15" s="206">
        <f t="shared" si="1"/>
        <v>99777.91</v>
      </c>
      <c r="BB15" s="206">
        <f t="shared" si="1"/>
        <v>126088.62</v>
      </c>
      <c r="BC15" s="97"/>
      <c r="BD15" s="238">
        <f>SUM(BD5:BD14)</f>
        <v>4166854.69</v>
      </c>
      <c r="BE15" s="194"/>
      <c r="BF15" s="77"/>
      <c r="BG15" s="184"/>
      <c r="BH15" s="178"/>
      <c r="BI15" s="179"/>
      <c r="BJ15" s="180"/>
      <c r="BL15" s="96"/>
    </row>
    <row r="16" spans="1:67" ht="16.5" customHeight="1" x14ac:dyDescent="0.25">
      <c r="A16" s="168"/>
      <c r="B16" s="170"/>
      <c r="C16" s="231"/>
      <c r="D16" s="232"/>
      <c r="E16" s="231"/>
      <c r="F16" s="231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11"/>
      <c r="BD16" s="190"/>
      <c r="BE16" s="194"/>
      <c r="BF16" s="190"/>
      <c r="BL16" s="96"/>
    </row>
    <row r="17" spans="1:68" ht="16.5" customHeight="1" x14ac:dyDescent="0.2">
      <c r="A17" s="168"/>
      <c r="B17" s="170"/>
      <c r="C17" s="270" t="s">
        <v>150</v>
      </c>
      <c r="D17" s="271"/>
      <c r="E17" s="107">
        <v>274704.58999999997</v>
      </c>
      <c r="F17" s="107">
        <v>85717.04</v>
      </c>
      <c r="G17" s="107">
        <v>110279.5</v>
      </c>
      <c r="H17" s="107">
        <v>173644.32</v>
      </c>
      <c r="I17" s="107">
        <v>169823.35</v>
      </c>
      <c r="J17" s="107">
        <v>176527.62</v>
      </c>
      <c r="K17" s="107">
        <v>173084.35</v>
      </c>
      <c r="L17" s="107">
        <v>168228.91</v>
      </c>
      <c r="M17" s="107">
        <v>169463.26</v>
      </c>
      <c r="N17" s="107">
        <v>166165.07</v>
      </c>
      <c r="O17" s="107">
        <v>164080.9</v>
      </c>
      <c r="P17" s="107">
        <v>163118.51999999999</v>
      </c>
      <c r="Q17" s="107">
        <v>136848.84</v>
      </c>
      <c r="R17" s="107">
        <v>124345.49</v>
      </c>
      <c r="S17" s="107">
        <v>127726.62</v>
      </c>
      <c r="T17" s="107">
        <v>145980.93</v>
      </c>
      <c r="U17" s="107">
        <v>159985.37</v>
      </c>
      <c r="V17" s="107">
        <v>148690.31</v>
      </c>
      <c r="W17" s="107">
        <v>142940.93</v>
      </c>
      <c r="X17" s="107">
        <v>144126.24</v>
      </c>
      <c r="Y17" s="107">
        <v>140516.39000000001</v>
      </c>
      <c r="Z17" s="107">
        <v>146012.61000000138</v>
      </c>
      <c r="AA17" s="107">
        <v>144211.37</v>
      </c>
      <c r="AB17" s="107">
        <v>136919.07</v>
      </c>
      <c r="AC17" s="107">
        <v>117099.54</v>
      </c>
      <c r="AD17" s="107">
        <v>118928.34</v>
      </c>
      <c r="AE17" s="107">
        <v>152633.29</v>
      </c>
      <c r="AF17" s="107">
        <v>174479.52</v>
      </c>
      <c r="AG17" s="107">
        <v>179380.85</v>
      </c>
      <c r="AH17" s="107">
        <v>187179.25</v>
      </c>
      <c r="AI17" s="107">
        <v>183996.75</v>
      </c>
      <c r="AJ17" s="107">
        <v>189766.8</v>
      </c>
      <c r="AK17" s="107">
        <v>160555.79999999999</v>
      </c>
      <c r="AL17" s="107">
        <v>126898.92</v>
      </c>
      <c r="AM17" s="107">
        <v>87944.97</v>
      </c>
      <c r="AN17" s="107">
        <v>76516.23</v>
      </c>
      <c r="AO17" s="107">
        <v>76138.23</v>
      </c>
      <c r="AP17" s="107">
        <v>94088.45</v>
      </c>
      <c r="AQ17" s="107">
        <v>111607.5</v>
      </c>
      <c r="AR17" s="107">
        <v>129907.18</v>
      </c>
      <c r="AS17" s="107">
        <v>141137.09</v>
      </c>
      <c r="AT17" s="107">
        <v>147534.56</v>
      </c>
      <c r="AU17" s="107">
        <v>128101.4400000014</v>
      </c>
      <c r="AV17" s="107">
        <v>111470.24000000303</v>
      </c>
      <c r="AW17" s="107">
        <v>102264.28</v>
      </c>
      <c r="AX17" s="107">
        <v>89352.85</v>
      </c>
      <c r="AY17" s="107">
        <v>75083.899999999994</v>
      </c>
      <c r="AZ17" s="107">
        <v>72616.61</v>
      </c>
      <c r="BA17" s="107">
        <v>74559.03</v>
      </c>
      <c r="BB17" s="107">
        <v>77901.600000000006</v>
      </c>
      <c r="BC17" s="97"/>
      <c r="BD17" s="207">
        <f>SUM(E17:BB17)</f>
        <v>6880284.8200000059</v>
      </c>
      <c r="BF17" s="190"/>
      <c r="BI17" s="217"/>
    </row>
    <row r="18" spans="1:68" ht="16.5" customHeight="1" x14ac:dyDescent="0.25">
      <c r="A18" s="168"/>
      <c r="B18" s="170"/>
      <c r="C18" s="270" t="s">
        <v>151</v>
      </c>
      <c r="D18" s="270"/>
      <c r="E18" s="254">
        <v>33504</v>
      </c>
      <c r="F18" s="255">
        <v>2016</v>
      </c>
      <c r="G18" s="84">
        <v>2904</v>
      </c>
      <c r="H18" s="84">
        <v>3648</v>
      </c>
      <c r="I18" s="84">
        <v>5016</v>
      </c>
      <c r="J18" s="84">
        <v>4368</v>
      </c>
      <c r="K18" s="84">
        <v>3504</v>
      </c>
      <c r="L18" s="84">
        <v>4320</v>
      </c>
      <c r="M18" s="84">
        <v>3480</v>
      </c>
      <c r="N18" s="84">
        <v>3984</v>
      </c>
      <c r="O18" s="84">
        <v>4824</v>
      </c>
      <c r="P18" s="84">
        <v>9288</v>
      </c>
      <c r="Q18" s="84">
        <v>672</v>
      </c>
      <c r="R18" s="84">
        <v>840</v>
      </c>
      <c r="S18" s="84">
        <v>576</v>
      </c>
      <c r="T18" s="84">
        <v>264</v>
      </c>
      <c r="U18" s="84">
        <v>336</v>
      </c>
      <c r="V18" s="84">
        <v>720</v>
      </c>
      <c r="W18" s="84">
        <v>1080</v>
      </c>
      <c r="X18" s="84">
        <v>912</v>
      </c>
      <c r="Y18" s="84">
        <v>408</v>
      </c>
      <c r="Z18" s="84">
        <v>744</v>
      </c>
      <c r="AA18" s="198">
        <v>864</v>
      </c>
      <c r="AB18" s="198">
        <v>1776</v>
      </c>
      <c r="AC18" s="198">
        <v>4344</v>
      </c>
      <c r="AD18" s="84">
        <v>1536</v>
      </c>
      <c r="AE18" s="198">
        <v>2688</v>
      </c>
      <c r="AF18" s="198">
        <v>4944</v>
      </c>
      <c r="AG18" s="84">
        <v>3456</v>
      </c>
      <c r="AH18" s="84">
        <v>4200</v>
      </c>
      <c r="AI18" s="84">
        <v>3504</v>
      </c>
      <c r="AJ18" s="84">
        <v>912</v>
      </c>
      <c r="AK18" s="84">
        <v>3408</v>
      </c>
      <c r="AL18" s="84">
        <v>7176</v>
      </c>
      <c r="AM18" s="84">
        <v>7944</v>
      </c>
      <c r="AN18" s="84">
        <v>9336</v>
      </c>
      <c r="AO18" s="84">
        <v>4848</v>
      </c>
      <c r="AP18" s="84">
        <v>2856</v>
      </c>
      <c r="AQ18" s="84">
        <v>5352</v>
      </c>
      <c r="AR18" s="84">
        <v>4392</v>
      </c>
      <c r="AS18" s="84">
        <v>3576</v>
      </c>
      <c r="AT18" s="84">
        <v>5184</v>
      </c>
      <c r="AU18" s="84">
        <v>4944</v>
      </c>
      <c r="AV18" s="84">
        <v>3984</v>
      </c>
      <c r="AW18" s="84">
        <v>4608</v>
      </c>
      <c r="AX18" s="84">
        <v>3768</v>
      </c>
      <c r="AY18" s="84">
        <v>2976</v>
      </c>
      <c r="AZ18" s="84">
        <v>7416</v>
      </c>
      <c r="BA18" s="84">
        <v>3792</v>
      </c>
      <c r="BB18" s="109">
        <v>2448</v>
      </c>
      <c r="BC18" s="215"/>
      <c r="BD18" s="207">
        <f>SUM(E18:BB18)</f>
        <v>203640</v>
      </c>
      <c r="BE18" s="194"/>
      <c r="BF18" s="190"/>
      <c r="BG18" s="3"/>
      <c r="BI18" s="3"/>
      <c r="BL18" s="96"/>
    </row>
    <row r="19" spans="1:68" ht="15.75" customHeight="1" x14ac:dyDescent="0.25">
      <c r="A19" s="168"/>
      <c r="B19" s="200"/>
      <c r="C19" s="233" t="s">
        <v>147</v>
      </c>
      <c r="D19" s="233"/>
      <c r="E19" s="238">
        <f>+E18+E17+E15</f>
        <v>446978.39999999997</v>
      </c>
      <c r="F19" s="190">
        <f t="shared" ref="F19:H19" si="2">+F18+F17+F15</f>
        <v>306265.28999999998</v>
      </c>
      <c r="G19" s="190">
        <f t="shared" si="2"/>
        <v>109947.79</v>
      </c>
      <c r="H19" s="190">
        <f t="shared" si="2"/>
        <v>234055.15</v>
      </c>
      <c r="I19" s="190">
        <f t="shared" ref="I19" si="3">+I18+I17+I15</f>
        <v>142116.54</v>
      </c>
      <c r="J19" s="190">
        <f t="shared" ref="J19" si="4">+J18+J17+J15</f>
        <v>112267.32999999999</v>
      </c>
      <c r="K19" s="190">
        <f t="shared" ref="K19" si="5">+K18+K17+K15</f>
        <v>210234.22</v>
      </c>
      <c r="L19" s="190">
        <f t="shared" ref="L19" si="6">+L18+L17+L15</f>
        <v>796093.46000000008</v>
      </c>
      <c r="M19" s="190">
        <f t="shared" ref="M19" si="7">+M18+M17+M15</f>
        <v>120832.83</v>
      </c>
      <c r="N19" s="190">
        <f t="shared" ref="N19" si="8">+N18+N17+N15</f>
        <v>225088.7</v>
      </c>
      <c r="O19" s="190">
        <f t="shared" ref="O19" si="9">+O18+O17+O15</f>
        <v>118221.21000000002</v>
      </c>
      <c r="P19" s="190">
        <f t="shared" ref="P19" si="10">+P18+P17+P15</f>
        <v>120961.19999999998</v>
      </c>
      <c r="Q19" s="190">
        <f t="shared" ref="Q19" si="11">+Q18+Q17+Q15</f>
        <v>-3473.7400000000198</v>
      </c>
      <c r="R19" s="190">
        <f t="shared" ref="R19" si="12">+R18+R17+R15</f>
        <v>-102.80999999996857</v>
      </c>
      <c r="S19" s="190">
        <f t="shared" ref="S19" si="13">+S18+S17+S15</f>
        <v>176030.57</v>
      </c>
      <c r="T19" s="190">
        <f t="shared" ref="T19" si="14">+T18+T17+T15</f>
        <v>119674.86999999998</v>
      </c>
      <c r="U19" s="190">
        <f t="shared" ref="U19" si="15">+U18+U17+U15</f>
        <v>-223555.79000000004</v>
      </c>
      <c r="V19" s="190">
        <f t="shared" ref="V19" si="16">+V18+V17+V15</f>
        <v>140078.51999999999</v>
      </c>
      <c r="W19" s="190">
        <f t="shared" ref="W19" si="17">+W18+W17+W15</f>
        <v>313641.13</v>
      </c>
      <c r="X19" s="190">
        <f t="shared" ref="X19" si="18">+X18+X17+X15</f>
        <v>127995.09999999999</v>
      </c>
      <c r="Y19" s="190">
        <f t="shared" ref="Y19" si="19">+Y18+Y17+Y15</f>
        <v>183714.55000000002</v>
      </c>
      <c r="Z19" s="190">
        <f t="shared" ref="Z19" si="20">+Z18+Z17+Z15</f>
        <v>309555.98000000138</v>
      </c>
      <c r="AA19" s="190">
        <f t="shared" ref="AA19" si="21">+AA18+AA17+AA15</f>
        <v>244549.56</v>
      </c>
      <c r="AB19" s="190">
        <f t="shared" ref="AB19" si="22">+AB18+AB17+AB15</f>
        <v>235018.31000000003</v>
      </c>
      <c r="AC19" s="190">
        <f t="shared" ref="AC19" si="23">+AC18+AC17+AC15</f>
        <v>90527.62</v>
      </c>
      <c r="AD19" s="190">
        <f t="shared" ref="AD19" si="24">+AD18+AD17+AD15</f>
        <v>211105.84</v>
      </c>
      <c r="AE19" s="190">
        <f t="shared" ref="AE19" si="25">+AE18+AE17+AE15</f>
        <v>285143.06</v>
      </c>
      <c r="AF19" s="190">
        <f t="shared" ref="AF19" si="26">+AF18+AF17+AF15</f>
        <v>256879.76</v>
      </c>
      <c r="AG19" s="190">
        <f t="shared" ref="AG19" si="27">+AG18+AG17+AG15</f>
        <v>254513.24000000002</v>
      </c>
      <c r="AH19" s="190">
        <f t="shared" ref="AH19" si="28">+AH18+AH17+AH15</f>
        <v>220044.82</v>
      </c>
      <c r="AI19" s="190">
        <f t="shared" ref="AI19" si="29">+AI18+AI17+AI15</f>
        <v>425490.36</v>
      </c>
      <c r="AJ19" s="190">
        <f t="shared" ref="AJ19" si="30">+AJ18+AJ17+AJ15</f>
        <v>307878.32999999996</v>
      </c>
      <c r="AK19" s="190">
        <f t="shared" ref="AK19" si="31">+AK18+AK17+AK15</f>
        <v>339802.6</v>
      </c>
      <c r="AL19" s="190">
        <f t="shared" ref="AL19" si="32">+AL18+AL17+AL15</f>
        <v>375094.52</v>
      </c>
      <c r="AM19" s="190">
        <f t="shared" ref="AM19" si="33">+AM18+AM17+AM15</f>
        <v>194757.34000000003</v>
      </c>
      <c r="AN19" s="190">
        <f t="shared" ref="AN19" si="34">+AN18+AN17+AN15</f>
        <v>151443.35999999999</v>
      </c>
      <c r="AO19" s="190">
        <f t="shared" ref="AO19" si="35">+AO18+AO17+AO15</f>
        <v>375520.56999999995</v>
      </c>
      <c r="AP19" s="190">
        <f t="shared" ref="AP19" si="36">+AP18+AP17+AP15</f>
        <v>461490.12000000005</v>
      </c>
      <c r="AQ19" s="190">
        <f t="shared" ref="AQ19" si="37">+AQ18+AQ17+AQ15</f>
        <v>339931.23</v>
      </c>
      <c r="AR19" s="190">
        <f t="shared" ref="AR19" si="38">+AR18+AR17+AR15</f>
        <v>149527.50999999998</v>
      </c>
      <c r="AS19" s="190">
        <f t="shared" ref="AS19" si="39">+AS18+AS17+AS15</f>
        <v>248136.99</v>
      </c>
      <c r="AT19" s="190">
        <f t="shared" ref="AT19" si="40">+AT18+AT17+AT15</f>
        <v>164991.01999999999</v>
      </c>
      <c r="AU19" s="190">
        <f t="shared" ref="AU19" si="41">+AU18+AU17+AU15</f>
        <v>215374.30000000139</v>
      </c>
      <c r="AV19" s="190">
        <f t="shared" ref="AV19" si="42">+AV18+AV17+AV15</f>
        <v>182267.59000000305</v>
      </c>
      <c r="AW19" s="190">
        <f t="shared" ref="AW19" si="43">+AW18+AW17+AW15</f>
        <v>301091.81</v>
      </c>
      <c r="AX19" s="190">
        <f t="shared" ref="AX19" si="44">+AX18+AX17+AX15</f>
        <v>240323.08</v>
      </c>
      <c r="AY19" s="190">
        <f t="shared" ref="AY19" si="45">+AY18+AY17+AY15</f>
        <v>344253.62</v>
      </c>
      <c r="AZ19" s="190">
        <f t="shared" ref="AZ19" si="46">+AZ18+AZ17+AZ15</f>
        <v>164435.28999999998</v>
      </c>
      <c r="BA19" s="190">
        <f t="shared" ref="BA19" si="47">+BA18+BA17+BA15</f>
        <v>178128.94</v>
      </c>
      <c r="BB19" s="190">
        <f t="shared" ref="BB19" si="48">+BB18+BB17+BB15</f>
        <v>206438.22</v>
      </c>
      <c r="BC19" s="97"/>
      <c r="BD19" s="238">
        <f>+BD15+BD18+BD17</f>
        <v>11250779.510000005</v>
      </c>
      <c r="BE19" s="194"/>
      <c r="BF19" s="190"/>
      <c r="BG19" s="3"/>
      <c r="BH19" s="244"/>
      <c r="BI19" s="245"/>
      <c r="BL19" s="96"/>
    </row>
    <row r="20" spans="1:68" ht="15.75" customHeight="1" x14ac:dyDescent="0.25">
      <c r="A20" s="168"/>
      <c r="C20" s="98"/>
      <c r="D20" s="98"/>
      <c r="E20" s="234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235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7"/>
      <c r="BD20" s="108"/>
      <c r="BE20" s="194"/>
      <c r="BF20" s="190"/>
      <c r="BG20" s="105"/>
      <c r="BH20" s="214"/>
      <c r="BI20" s="214"/>
      <c r="BL20" s="96"/>
    </row>
    <row r="21" spans="1:68" ht="15.75" customHeight="1" x14ac:dyDescent="0.25">
      <c r="A21" s="168"/>
      <c r="C21" s="268" t="s">
        <v>63</v>
      </c>
      <c r="D21" s="268"/>
      <c r="E21" s="208">
        <v>-589798.68000000005</v>
      </c>
      <c r="F21" s="83">
        <f>-74435.35-J24</f>
        <v>-45280.94</v>
      </c>
      <c r="G21" s="83">
        <v>-54563.8</v>
      </c>
      <c r="H21" s="83">
        <v>-54213.71</v>
      </c>
      <c r="I21" s="83">
        <v>-53307.5</v>
      </c>
      <c r="J21" s="83">
        <v>-52164.36</v>
      </c>
      <c r="K21" s="83">
        <v>-55635.519999999997</v>
      </c>
      <c r="L21" s="83">
        <v>-59690.81</v>
      </c>
      <c r="M21" s="83">
        <v>-50992.19</v>
      </c>
      <c r="N21" s="83">
        <v>459.77</v>
      </c>
      <c r="O21" s="83">
        <v>-94037.94</v>
      </c>
      <c r="P21" s="83">
        <v>-48130.39</v>
      </c>
      <c r="Q21" s="83">
        <v>-18648.64</v>
      </c>
      <c r="R21" s="83">
        <v>-17212.32</v>
      </c>
      <c r="S21" s="83">
        <v>5775.18</v>
      </c>
      <c r="T21" s="83">
        <v>-14927.01</v>
      </c>
      <c r="U21" s="83">
        <v>2194.59</v>
      </c>
      <c r="V21" s="83">
        <v>45687.87</v>
      </c>
      <c r="W21" s="83">
        <v>6698.71</v>
      </c>
      <c r="X21" s="188">
        <v>-1822.94</v>
      </c>
      <c r="Y21" s="83">
        <v>9548.9</v>
      </c>
      <c r="Z21" s="83">
        <v>946.59</v>
      </c>
      <c r="AA21" s="188">
        <v>-22552.58</v>
      </c>
      <c r="AB21" s="188">
        <v>-11541.98</v>
      </c>
      <c r="AC21" s="188">
        <v>-11107.15</v>
      </c>
      <c r="AD21" s="83">
        <v>-4286.3500000000004</v>
      </c>
      <c r="AE21" s="188">
        <v>21073.99</v>
      </c>
      <c r="AF21" s="188">
        <v>12302.16</v>
      </c>
      <c r="AG21" s="83">
        <v>-12835.59</v>
      </c>
      <c r="AH21" s="83">
        <v>-1338.18</v>
      </c>
      <c r="AI21" s="83">
        <v>-7676.78</v>
      </c>
      <c r="AJ21" s="83">
        <v>-35711.5</v>
      </c>
      <c r="AK21" s="83">
        <v>10880.25</v>
      </c>
      <c r="AL21" s="83">
        <v>-27777.33</v>
      </c>
      <c r="AM21" s="83">
        <v>-28777.599999999999</v>
      </c>
      <c r="AN21" s="83">
        <v>-2706.28</v>
      </c>
      <c r="AO21" s="83">
        <v>-6389.37</v>
      </c>
      <c r="AP21" s="83">
        <v>5548.64</v>
      </c>
      <c r="AQ21" s="83">
        <v>22586.63</v>
      </c>
      <c r="AR21" s="83">
        <v>12490.27</v>
      </c>
      <c r="AS21" s="83">
        <v>24830</v>
      </c>
      <c r="AT21" s="83">
        <v>-8772.9699999999993</v>
      </c>
      <c r="AU21" s="83">
        <v>-9045.64</v>
      </c>
      <c r="AV21" s="83">
        <v>12681.59</v>
      </c>
      <c r="AW21" s="83">
        <v>-38844.67</v>
      </c>
      <c r="AX21" s="83">
        <v>-28442.86</v>
      </c>
      <c r="AY21" s="83">
        <v>-52774.720000000001</v>
      </c>
      <c r="AZ21" s="83">
        <v>-14.04</v>
      </c>
      <c r="BA21" s="83">
        <v>-4085.18</v>
      </c>
      <c r="BB21" s="83">
        <v>11683.64</v>
      </c>
      <c r="BC21" s="97"/>
      <c r="BD21" s="256">
        <f t="shared" ref="BD21:BD27" si="49">SUM(E21:BB21)</f>
        <v>-1319718.7400000002</v>
      </c>
      <c r="BE21" s="194"/>
      <c r="BG21" s="105"/>
      <c r="BH21" s="246"/>
      <c r="BI21" s="247"/>
      <c r="BL21" s="187"/>
    </row>
    <row r="22" spans="1:68" ht="15.75" customHeight="1" x14ac:dyDescent="0.25">
      <c r="A22" s="168"/>
      <c r="C22" s="268" t="s">
        <v>104</v>
      </c>
      <c r="D22" s="268"/>
      <c r="E22" s="236"/>
      <c r="F22" s="237"/>
      <c r="G22" s="107"/>
      <c r="H22" s="107"/>
      <c r="I22" s="107"/>
      <c r="J22" s="107">
        <v>5272.16</v>
      </c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11"/>
      <c r="BD22" s="256">
        <f t="shared" si="49"/>
        <v>5272.16</v>
      </c>
      <c r="BE22" s="194"/>
      <c r="BF22" s="261"/>
      <c r="BG22" s="105"/>
      <c r="BH22" s="245"/>
      <c r="BI22" s="245"/>
      <c r="BL22" s="77"/>
    </row>
    <row r="23" spans="1:68" ht="15.75" customHeight="1" x14ac:dyDescent="0.25">
      <c r="A23" s="168"/>
      <c r="C23" s="268" t="s">
        <v>105</v>
      </c>
      <c r="D23" s="268"/>
      <c r="E23" s="236"/>
      <c r="F23" s="237"/>
      <c r="G23" s="83"/>
      <c r="H23" s="83"/>
      <c r="I23" s="83">
        <v>-122.08</v>
      </c>
      <c r="J23" s="83">
        <v>62796.59</v>
      </c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97"/>
      <c r="BD23" s="256">
        <f t="shared" si="49"/>
        <v>62674.509999999995</v>
      </c>
      <c r="BE23" s="194"/>
      <c r="BF23" s="172"/>
      <c r="BG23" s="105"/>
      <c r="BH23" s="244"/>
      <c r="BI23" s="245"/>
      <c r="BL23" s="77"/>
    </row>
    <row r="24" spans="1:68" ht="15.75" customHeight="1" x14ac:dyDescent="0.25">
      <c r="A24" s="168"/>
      <c r="C24" s="268" t="s">
        <v>106</v>
      </c>
      <c r="D24" s="268"/>
      <c r="E24" s="236"/>
      <c r="F24" s="237"/>
      <c r="G24" s="83"/>
      <c r="H24" s="83"/>
      <c r="I24" s="83"/>
      <c r="J24" s="83">
        <v>-29154.41</v>
      </c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97"/>
      <c r="BD24" s="256">
        <f t="shared" si="49"/>
        <v>-29154.41</v>
      </c>
      <c r="BE24" s="194"/>
      <c r="BF24" s="77"/>
      <c r="BG24" s="105"/>
      <c r="BH24" s="214"/>
      <c r="BI24" s="214"/>
      <c r="BL24" s="96"/>
      <c r="BP24" s="105"/>
    </row>
    <row r="25" spans="1:68" ht="15.75" customHeight="1" x14ac:dyDescent="0.25">
      <c r="A25" s="168"/>
      <c r="C25" s="268" t="s">
        <v>107</v>
      </c>
      <c r="D25" s="268"/>
      <c r="E25" s="236"/>
      <c r="F25" s="237"/>
      <c r="G25" s="83"/>
      <c r="H25" s="83"/>
      <c r="I25" s="83"/>
      <c r="J25" s="83"/>
      <c r="K25" s="83"/>
      <c r="L25" s="107">
        <v>78885.58</v>
      </c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97"/>
      <c r="BD25" s="256">
        <f t="shared" si="49"/>
        <v>78885.58</v>
      </c>
      <c r="BE25" s="194"/>
      <c r="BF25" s="190"/>
      <c r="BG25" s="105"/>
      <c r="BH25" s="244"/>
      <c r="BI25" s="248"/>
      <c r="BL25" s="96"/>
      <c r="BM25" s="105"/>
      <c r="BN25" s="105"/>
      <c r="BO25" s="105"/>
      <c r="BP25" s="105"/>
    </row>
    <row r="26" spans="1:68" ht="15.75" customHeight="1" x14ac:dyDescent="0.25">
      <c r="A26" s="168"/>
      <c r="B26" s="105"/>
      <c r="C26" s="268" t="s">
        <v>152</v>
      </c>
      <c r="D26" s="268"/>
      <c r="E26" s="236"/>
      <c r="F26" s="237"/>
      <c r="G26" s="108"/>
      <c r="H26" s="108"/>
      <c r="I26" s="108"/>
      <c r="J26" s="108"/>
      <c r="K26" s="107"/>
      <c r="L26" s="107">
        <v>81983.06</v>
      </c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97"/>
      <c r="BD26" s="256">
        <f t="shared" si="49"/>
        <v>81983.06</v>
      </c>
      <c r="BE26" s="194"/>
      <c r="BF26" s="190"/>
      <c r="BG26" s="77"/>
      <c r="BH26" s="107"/>
      <c r="BI26" s="249"/>
    </row>
    <row r="27" spans="1:68" ht="15.75" customHeight="1" x14ac:dyDescent="0.25">
      <c r="A27" s="168"/>
      <c r="B27" s="199"/>
      <c r="C27" s="268" t="s">
        <v>153</v>
      </c>
      <c r="D27" s="268"/>
      <c r="E27" s="208"/>
      <c r="F27" s="83"/>
      <c r="G27" s="83"/>
      <c r="H27" s="83"/>
      <c r="I27" s="83">
        <f>+-60630.47</f>
        <v>-60630.47</v>
      </c>
      <c r="J27" s="83"/>
      <c r="K27" s="83"/>
      <c r="L27" s="83"/>
      <c r="M27" s="83">
        <v>-36075.24</v>
      </c>
      <c r="N27" s="83"/>
      <c r="O27" s="83"/>
      <c r="P27" s="83"/>
      <c r="Q27" s="83">
        <v>-51300.91</v>
      </c>
      <c r="R27" s="83">
        <v>957.71</v>
      </c>
      <c r="S27" s="83"/>
      <c r="T27" s="83"/>
      <c r="U27" s="83">
        <v>-11438.86</v>
      </c>
      <c r="V27" s="83"/>
      <c r="W27" s="83"/>
      <c r="X27" s="83"/>
      <c r="Y27" s="83"/>
      <c r="Z27" s="83"/>
      <c r="AA27" s="83"/>
      <c r="AB27" s="84"/>
      <c r="AC27" s="112"/>
      <c r="AD27" s="84"/>
      <c r="AE27" s="84"/>
      <c r="AF27" s="84"/>
      <c r="AG27" s="84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11"/>
      <c r="BD27" s="256">
        <f t="shared" si="49"/>
        <v>-158487.77000000002</v>
      </c>
      <c r="BE27" s="194"/>
      <c r="BF27" s="190"/>
      <c r="BG27" s="105"/>
      <c r="BH27" s="245"/>
      <c r="BI27" s="245"/>
    </row>
    <row r="28" spans="1:68" ht="15.75" customHeight="1" x14ac:dyDescent="0.25">
      <c r="A28" s="168"/>
      <c r="B28" s="200"/>
      <c r="C28" s="233" t="s">
        <v>143</v>
      </c>
      <c r="D28" s="233"/>
      <c r="E28" s="238">
        <f>SUM(E21:E27)</f>
        <v>-589798.68000000005</v>
      </c>
      <c r="F28" s="239">
        <f t="shared" ref="F28:AB28" si="50">SUM(F21:F27)</f>
        <v>-45280.94</v>
      </c>
      <c r="G28" s="239">
        <f t="shared" si="50"/>
        <v>-54563.8</v>
      </c>
      <c r="H28" s="239">
        <f t="shared" si="50"/>
        <v>-54213.71</v>
      </c>
      <c r="I28" s="239">
        <f t="shared" si="50"/>
        <v>-114060.05</v>
      </c>
      <c r="J28" s="239">
        <f t="shared" si="50"/>
        <v>-13250.02</v>
      </c>
      <c r="K28" s="239">
        <f t="shared" si="50"/>
        <v>-55635.519999999997</v>
      </c>
      <c r="L28" s="239">
        <f t="shared" si="50"/>
        <v>101177.83</v>
      </c>
      <c r="M28" s="239">
        <f t="shared" si="50"/>
        <v>-87067.43</v>
      </c>
      <c r="N28" s="239">
        <f t="shared" si="50"/>
        <v>459.77</v>
      </c>
      <c r="O28" s="239">
        <f t="shared" si="50"/>
        <v>-94037.94</v>
      </c>
      <c r="P28" s="239">
        <f t="shared" si="50"/>
        <v>-48130.39</v>
      </c>
      <c r="Q28" s="239">
        <f t="shared" si="50"/>
        <v>-69949.55</v>
      </c>
      <c r="R28" s="239">
        <f t="shared" si="50"/>
        <v>-16254.61</v>
      </c>
      <c r="S28" s="239">
        <f t="shared" si="50"/>
        <v>5775.18</v>
      </c>
      <c r="T28" s="239">
        <f t="shared" si="50"/>
        <v>-14927.01</v>
      </c>
      <c r="U28" s="239">
        <f t="shared" si="50"/>
        <v>-9244.27</v>
      </c>
      <c r="V28" s="239">
        <f t="shared" si="50"/>
        <v>45687.87</v>
      </c>
      <c r="W28" s="239">
        <f t="shared" si="50"/>
        <v>6698.71</v>
      </c>
      <c r="X28" s="239">
        <f t="shared" si="50"/>
        <v>-1822.94</v>
      </c>
      <c r="Y28" s="239">
        <f t="shared" si="50"/>
        <v>9548.9</v>
      </c>
      <c r="Z28" s="239">
        <f t="shared" si="50"/>
        <v>946.59</v>
      </c>
      <c r="AA28" s="239">
        <f t="shared" si="50"/>
        <v>-22552.58</v>
      </c>
      <c r="AB28" s="239">
        <f t="shared" si="50"/>
        <v>-11541.98</v>
      </c>
      <c r="AC28" s="239">
        <f>SUM(AC21:AC26)</f>
        <v>-11107.15</v>
      </c>
      <c r="AD28" s="239">
        <f t="shared" ref="AD28:AL28" si="51">SUM(AD21:AD27)</f>
        <v>-4286.3500000000004</v>
      </c>
      <c r="AE28" s="239">
        <f t="shared" si="51"/>
        <v>21073.99</v>
      </c>
      <c r="AF28" s="239">
        <f t="shared" si="51"/>
        <v>12302.16</v>
      </c>
      <c r="AG28" s="239">
        <f t="shared" si="51"/>
        <v>-12835.59</v>
      </c>
      <c r="AH28" s="239">
        <f t="shared" si="51"/>
        <v>-1338.18</v>
      </c>
      <c r="AI28" s="239">
        <f t="shared" si="51"/>
        <v>-7676.78</v>
      </c>
      <c r="AJ28" s="239">
        <f t="shared" si="51"/>
        <v>-35711.5</v>
      </c>
      <c r="AK28" s="239">
        <f t="shared" si="51"/>
        <v>10880.25</v>
      </c>
      <c r="AL28" s="239">
        <f t="shared" si="51"/>
        <v>-27777.33</v>
      </c>
      <c r="AM28" s="239">
        <f t="shared" ref="AM28:BB28" si="52">SUM(AM21:AM27)</f>
        <v>-28777.599999999999</v>
      </c>
      <c r="AN28" s="239">
        <f t="shared" si="52"/>
        <v>-2706.28</v>
      </c>
      <c r="AO28" s="239">
        <f t="shared" si="52"/>
        <v>-6389.37</v>
      </c>
      <c r="AP28" s="239">
        <f t="shared" si="52"/>
        <v>5548.64</v>
      </c>
      <c r="AQ28" s="239">
        <f t="shared" si="52"/>
        <v>22586.63</v>
      </c>
      <c r="AR28" s="239">
        <f t="shared" si="52"/>
        <v>12490.27</v>
      </c>
      <c r="AS28" s="239">
        <f t="shared" si="52"/>
        <v>24830</v>
      </c>
      <c r="AT28" s="239">
        <f>SUM(AT21:AT27)</f>
        <v>-8772.9699999999993</v>
      </c>
      <c r="AU28" s="239">
        <f t="shared" si="52"/>
        <v>-9045.64</v>
      </c>
      <c r="AV28" s="239">
        <f t="shared" si="52"/>
        <v>12681.59</v>
      </c>
      <c r="AW28" s="239">
        <f t="shared" si="52"/>
        <v>-38844.67</v>
      </c>
      <c r="AX28" s="239">
        <f t="shared" si="52"/>
        <v>-28442.86</v>
      </c>
      <c r="AY28" s="239">
        <f t="shared" si="52"/>
        <v>-52774.720000000001</v>
      </c>
      <c r="AZ28" s="239">
        <f t="shared" si="52"/>
        <v>-14.04</v>
      </c>
      <c r="BA28" s="239">
        <f t="shared" si="52"/>
        <v>-4085.18</v>
      </c>
      <c r="BB28" s="239">
        <f t="shared" si="52"/>
        <v>11683.64</v>
      </c>
      <c r="BC28" s="152"/>
      <c r="BD28" s="257">
        <f>SUM(BD21:BD27)</f>
        <v>-1278545.6100000001</v>
      </c>
      <c r="BE28" s="194"/>
      <c r="BF28" s="190"/>
      <c r="BG28" s="105"/>
      <c r="BH28" s="245"/>
      <c r="BI28" s="245"/>
    </row>
    <row r="29" spans="1:68" ht="15.75" customHeight="1" x14ac:dyDescent="0.25">
      <c r="A29" s="168"/>
      <c r="B29" s="170"/>
      <c r="C29" s="240"/>
      <c r="D29" s="240"/>
      <c r="E29" s="207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53"/>
      <c r="BD29" s="190"/>
      <c r="BE29" s="194"/>
      <c r="BF29" s="190"/>
      <c r="BG29" s="77"/>
      <c r="BH29" s="107"/>
      <c r="BI29" s="249"/>
    </row>
    <row r="30" spans="1:68" ht="15.75" customHeight="1" x14ac:dyDescent="0.25">
      <c r="A30" s="168"/>
      <c r="B30" s="192"/>
      <c r="C30" s="241" t="s">
        <v>141</v>
      </c>
      <c r="D30" s="220"/>
      <c r="E30" s="24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243"/>
      <c r="S30" s="112"/>
      <c r="T30" s="112"/>
      <c r="U30" s="112"/>
      <c r="V30" s="112"/>
      <c r="W30" s="112"/>
      <c r="X30" s="112"/>
      <c r="Y30" s="221"/>
      <c r="Z30" s="221"/>
      <c r="AA30" s="221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97"/>
      <c r="BD30" s="258">
        <f>BD17+BD18+BD28+BD15</f>
        <v>9972233.900000006</v>
      </c>
      <c r="BE30" s="194"/>
      <c r="BF30" s="190"/>
      <c r="BG30" s="77"/>
      <c r="BH30" s="250"/>
      <c r="BI30" s="251"/>
    </row>
    <row r="31" spans="1:68" ht="15.75" customHeight="1" x14ac:dyDescent="0.2">
      <c r="A31" s="105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AA31" s="203"/>
      <c r="AC31" s="275" t="s">
        <v>142</v>
      </c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275"/>
      <c r="BD31" s="172">
        <f>+BD30-BI14</f>
        <v>2566008.730000006</v>
      </c>
      <c r="BF31" s="197"/>
      <c r="BH31" s="107"/>
      <c r="BI31" s="249"/>
    </row>
    <row r="32" spans="1:68" ht="15.75" customHeight="1" x14ac:dyDescent="0.2">
      <c r="AA32" s="204"/>
      <c r="AC32" s="265" t="s">
        <v>160</v>
      </c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65"/>
      <c r="BB32" s="265"/>
      <c r="BC32" s="265"/>
      <c r="BD32" s="190">
        <f>+BD9+BD10+BD11+BD13+BD14</f>
        <v>2566008.73</v>
      </c>
      <c r="BF32" s="172"/>
    </row>
    <row r="33" spans="30:61" ht="15" x14ac:dyDescent="0.25">
      <c r="BE33" s="194"/>
      <c r="BI33" s="167"/>
    </row>
    <row r="34" spans="30:61" ht="15" x14ac:dyDescent="0.25">
      <c r="AD34" s="216"/>
      <c r="AO34" s="105"/>
      <c r="AP34" s="105"/>
      <c r="BE34" s="194"/>
    </row>
  </sheetData>
  <mergeCells count="23">
    <mergeCell ref="BH4:BI4"/>
    <mergeCell ref="B3:D4"/>
    <mergeCell ref="AC31:BC31"/>
    <mergeCell ref="BD3:BD4"/>
    <mergeCell ref="C5:D5"/>
    <mergeCell ref="C6:D6"/>
    <mergeCell ref="C14:D14"/>
    <mergeCell ref="C10:D10"/>
    <mergeCell ref="C7:D7"/>
    <mergeCell ref="C9:D9"/>
    <mergeCell ref="AC32:BC32"/>
    <mergeCell ref="C8:D8"/>
    <mergeCell ref="C15:D15"/>
    <mergeCell ref="C21:D21"/>
    <mergeCell ref="C25:D25"/>
    <mergeCell ref="C26:D26"/>
    <mergeCell ref="C11:D11"/>
    <mergeCell ref="C22:D22"/>
    <mergeCell ref="C23:D23"/>
    <mergeCell ref="C24:D24"/>
    <mergeCell ref="C27:D27"/>
    <mergeCell ref="C18:D18"/>
    <mergeCell ref="C17:D17"/>
  </mergeCells>
  <pageMargins left="0.2" right="0.2" top="0.25" bottom="0.25" header="0.3" footer="0.3"/>
  <pageSetup scale="19" fitToHeight="2" orientation="portrait" r:id="rId1"/>
  <ignoredErrors>
    <ignoredError sqref="E15 H15:O15" formulaRange="1"/>
    <ignoredError sqref="BD9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Z88"/>
  <sheetViews>
    <sheetView showGridLines="0" view="pageBreakPreview" topLeftCell="A25" zoomScale="85" zoomScaleNormal="100" zoomScaleSheetLayoutView="85" workbookViewId="0">
      <selection activeCell="G18" sqref="G18"/>
    </sheetView>
  </sheetViews>
  <sheetFormatPr defaultRowHeight="15" x14ac:dyDescent="0.25"/>
  <cols>
    <col min="1" max="1" width="8.25" style="61" customWidth="1"/>
    <col min="2" max="2" width="2.5" style="5" customWidth="1"/>
    <col min="3" max="3" width="29.875" style="5" customWidth="1"/>
    <col min="4" max="4" width="11.75" style="5" bestFit="1" customWidth="1"/>
    <col min="5" max="5" width="10.125" style="5" hidden="1" customWidth="1"/>
    <col min="6" max="6" width="11.75" style="5" bestFit="1" customWidth="1"/>
    <col min="7" max="7" width="10.125" style="5" hidden="1" customWidth="1"/>
    <col min="8" max="8" width="11.125" style="5" customWidth="1"/>
    <col min="9" max="9" width="10.125" style="5" hidden="1" customWidth="1"/>
    <col min="10" max="10" width="3.125" style="5" customWidth="1"/>
    <col min="11" max="11" width="12" style="5" customWidth="1"/>
    <col min="12" max="12" width="1.25" style="5" hidden="1" customWidth="1"/>
    <col min="13" max="13" width="11.75" style="5" bestFit="1" customWidth="1"/>
    <col min="14" max="14" width="11.5" style="5" bestFit="1" customWidth="1"/>
    <col min="15" max="15" width="11.125" style="5" customWidth="1"/>
    <col min="16" max="16" width="10.75" style="5" hidden="1" customWidth="1"/>
    <col min="17" max="17" width="8" style="5" customWidth="1"/>
    <col min="18" max="18" width="9.5" style="5" bestFit="1" customWidth="1"/>
    <col min="19" max="19" width="5.375" style="5" bestFit="1" customWidth="1"/>
    <col min="20" max="16384" width="9" style="5"/>
  </cols>
  <sheetData>
    <row r="2" spans="1:19" x14ac:dyDescent="0.25">
      <c r="C2" s="6" t="s">
        <v>0</v>
      </c>
      <c r="D2" s="7" t="s">
        <v>1</v>
      </c>
      <c r="F2" s="62" t="s">
        <v>2</v>
      </c>
      <c r="G2" s="62"/>
      <c r="H2" s="62" t="s">
        <v>3</v>
      </c>
      <c r="K2" s="7" t="s">
        <v>1</v>
      </c>
      <c r="M2" s="62" t="s">
        <v>2</v>
      </c>
      <c r="N2" s="62"/>
      <c r="O2" s="62" t="s">
        <v>3</v>
      </c>
    </row>
    <row r="3" spans="1:19" x14ac:dyDescent="0.25">
      <c r="C3" s="6" t="s">
        <v>4</v>
      </c>
      <c r="D3" s="52" t="s">
        <v>81</v>
      </c>
      <c r="K3" s="54" t="s">
        <v>22</v>
      </c>
    </row>
    <row r="4" spans="1:19" x14ac:dyDescent="0.25">
      <c r="C4" s="6" t="s">
        <v>5</v>
      </c>
      <c r="D4" s="7" t="s">
        <v>6</v>
      </c>
      <c r="K4" s="7" t="s">
        <v>6</v>
      </c>
    </row>
    <row r="5" spans="1:19" x14ac:dyDescent="0.25">
      <c r="C5" s="6" t="s">
        <v>7</v>
      </c>
      <c r="D5" s="99" t="s">
        <v>87</v>
      </c>
      <c r="K5" s="99" t="s">
        <v>87</v>
      </c>
    </row>
    <row r="6" spans="1:19" x14ac:dyDescent="0.25">
      <c r="C6" s="6" t="s">
        <v>8</v>
      </c>
      <c r="D6" s="7" t="s">
        <v>9</v>
      </c>
      <c r="K6" s="7" t="s">
        <v>9</v>
      </c>
    </row>
    <row r="7" spans="1:19" x14ac:dyDescent="0.25">
      <c r="C7" s="6" t="s">
        <v>11</v>
      </c>
      <c r="D7" s="7" t="s">
        <v>12</v>
      </c>
      <c r="K7" s="7" t="s">
        <v>12</v>
      </c>
    </row>
    <row r="8" spans="1:19" x14ac:dyDescent="0.25">
      <c r="C8" s="6" t="s">
        <v>10</v>
      </c>
      <c r="D8" s="12" t="s">
        <v>13</v>
      </c>
      <c r="K8" s="12" t="s">
        <v>13</v>
      </c>
    </row>
    <row r="9" spans="1:19" x14ac:dyDescent="0.25">
      <c r="D9" s="62" t="s">
        <v>25</v>
      </c>
      <c r="K9" s="63" t="s">
        <v>25</v>
      </c>
    </row>
    <row r="10" spans="1:19" x14ac:dyDescent="0.25">
      <c r="D10" s="62" t="str">
        <f t="shared" ref="D10" si="0">TEXT(D5&amp;"/1/"&amp;D3,"mmm yy")</f>
        <v>Jun 19</v>
      </c>
      <c r="K10" s="63" t="str">
        <f t="shared" ref="K10" si="1">TEXT(K5&amp;"/1/"&amp;K3,"mmm yy")</f>
        <v>Jun 21</v>
      </c>
    </row>
    <row r="11" spans="1:19" x14ac:dyDescent="0.25">
      <c r="D11" s="15"/>
      <c r="F11" s="15"/>
      <c r="G11" s="16"/>
      <c r="H11" s="15"/>
      <c r="K11" s="15"/>
      <c r="M11" s="15"/>
      <c r="N11" s="16"/>
      <c r="O11" s="15"/>
    </row>
    <row r="12" spans="1:19" x14ac:dyDescent="0.25">
      <c r="D12" s="15"/>
      <c r="E12" s="15"/>
      <c r="F12" s="15"/>
      <c r="G12" s="16"/>
      <c r="H12" s="15"/>
    </row>
    <row r="13" spans="1:19" x14ac:dyDescent="0.25">
      <c r="D13" s="15"/>
      <c r="F13" s="15"/>
      <c r="G13" s="16"/>
      <c r="H13" s="15"/>
      <c r="K13" s="284" t="s">
        <v>18</v>
      </c>
      <c r="L13" s="284"/>
      <c r="M13" s="284"/>
      <c r="N13" s="284"/>
      <c r="R13" s="5" t="s">
        <v>17</v>
      </c>
    </row>
    <row r="14" spans="1:19" ht="23.25" x14ac:dyDescent="0.35">
      <c r="K14" s="15">
        <v>2021</v>
      </c>
      <c r="M14" s="17">
        <v>0.74890000000000001</v>
      </c>
      <c r="N14" s="17">
        <v>0.25109999999999999</v>
      </c>
      <c r="O14" s="154" t="s">
        <v>101</v>
      </c>
    </row>
    <row r="15" spans="1:19" x14ac:dyDescent="0.25">
      <c r="A15" s="4" t="s">
        <v>66</v>
      </c>
      <c r="B15" s="5" t="s">
        <v>27</v>
      </c>
      <c r="D15" s="4">
        <v>2019</v>
      </c>
      <c r="F15" s="64" t="s">
        <v>19</v>
      </c>
      <c r="G15" s="64" t="s">
        <v>20</v>
      </c>
      <c r="H15" s="64" t="s">
        <v>20</v>
      </c>
      <c r="K15" s="4" t="s">
        <v>67</v>
      </c>
      <c r="M15" s="64" t="s">
        <v>19</v>
      </c>
      <c r="N15" s="64" t="s">
        <v>20</v>
      </c>
      <c r="O15" s="73" t="s">
        <v>16</v>
      </c>
    </row>
    <row r="16" spans="1:19" x14ac:dyDescent="0.25">
      <c r="A16" s="66" t="s">
        <v>28</v>
      </c>
      <c r="B16" s="7" t="s">
        <v>13</v>
      </c>
      <c r="C16" s="20" t="s">
        <v>29</v>
      </c>
      <c r="D16" s="21">
        <v>11464.35</v>
      </c>
      <c r="E16" s="20"/>
      <c r="F16" s="21">
        <v>8908.14</v>
      </c>
      <c r="G16" s="21"/>
      <c r="H16" s="21">
        <v>2556.21</v>
      </c>
      <c r="I16" s="20"/>
      <c r="J16" s="67"/>
      <c r="K16" s="21">
        <v>3208.92</v>
      </c>
      <c r="L16" s="20"/>
      <c r="M16" s="21">
        <f t="shared" ref="M16:M21" si="2">SUM(K16*$M$14)</f>
        <v>2403.1601880000003</v>
      </c>
      <c r="N16" s="21">
        <f t="shared" ref="N16:N21" si="3">SUM(K16*$N$14)</f>
        <v>805.75981200000001</v>
      </c>
      <c r="O16" s="22">
        <f>N16-H16</f>
        <v>-1750.450188</v>
      </c>
      <c r="R16" s="23">
        <f t="shared" ref="R16:R21" si="4">D16-F16-H16</f>
        <v>0</v>
      </c>
      <c r="S16" s="23">
        <f t="shared" ref="S16:S21" si="5">K16-M16-N16</f>
        <v>0</v>
      </c>
    </row>
    <row r="17" spans="1:19" x14ac:dyDescent="0.25">
      <c r="A17" s="66" t="s">
        <v>30</v>
      </c>
      <c r="B17" s="7" t="s">
        <v>13</v>
      </c>
      <c r="C17" s="20" t="s">
        <v>31</v>
      </c>
      <c r="D17" s="21">
        <v>1720.73</v>
      </c>
      <c r="E17" s="20"/>
      <c r="F17" s="21">
        <v>1293.47</v>
      </c>
      <c r="G17" s="21"/>
      <c r="H17" s="21">
        <v>427.26</v>
      </c>
      <c r="I17" s="20"/>
      <c r="J17" s="67"/>
      <c r="K17" s="21">
        <v>320.11</v>
      </c>
      <c r="L17" s="20"/>
      <c r="M17" s="21">
        <f t="shared" si="2"/>
        <v>239.73037900000003</v>
      </c>
      <c r="N17" s="21">
        <f t="shared" si="3"/>
        <v>80.379621</v>
      </c>
      <c r="O17" s="22">
        <f>N17-H17</f>
        <v>-346.880379</v>
      </c>
      <c r="R17" s="23">
        <f t="shared" si="4"/>
        <v>0</v>
      </c>
      <c r="S17" s="23">
        <f t="shared" si="5"/>
        <v>0</v>
      </c>
    </row>
    <row r="18" spans="1:19" x14ac:dyDescent="0.25">
      <c r="A18" s="66" t="s">
        <v>32</v>
      </c>
      <c r="B18" s="7" t="s">
        <v>13</v>
      </c>
      <c r="C18" s="20" t="s">
        <v>33</v>
      </c>
      <c r="D18" s="21">
        <v>1224.3</v>
      </c>
      <c r="E18" s="20"/>
      <c r="F18" s="21">
        <v>659.86</v>
      </c>
      <c r="G18" s="21"/>
      <c r="H18" s="21">
        <v>564.44000000000005</v>
      </c>
      <c r="I18" s="20"/>
      <c r="J18" s="67"/>
      <c r="K18" s="21">
        <v>149.82</v>
      </c>
      <c r="L18" s="20"/>
      <c r="M18" s="21">
        <f t="shared" si="2"/>
        <v>112.200198</v>
      </c>
      <c r="N18" s="21">
        <f t="shared" si="3"/>
        <v>37.619802</v>
      </c>
      <c r="O18" s="22">
        <f>N18-H18</f>
        <v>-526.820198</v>
      </c>
      <c r="R18" s="23">
        <f t="shared" si="4"/>
        <v>0</v>
      </c>
      <c r="S18" s="23">
        <f t="shared" si="5"/>
        <v>0</v>
      </c>
    </row>
    <row r="19" spans="1:19" x14ac:dyDescent="0.25">
      <c r="A19" s="66" t="s">
        <v>34</v>
      </c>
      <c r="B19" s="7" t="s">
        <v>13</v>
      </c>
      <c r="C19" s="20" t="s">
        <v>35</v>
      </c>
      <c r="D19" s="21">
        <v>20593.740000000002</v>
      </c>
      <c r="E19" s="20"/>
      <c r="F19" s="21">
        <v>13506.64</v>
      </c>
      <c r="G19" s="21"/>
      <c r="H19" s="21">
        <v>7087.1</v>
      </c>
      <c r="I19" s="20"/>
      <c r="J19" s="67"/>
      <c r="K19" s="21">
        <v>10377.5</v>
      </c>
      <c r="L19" s="20"/>
      <c r="M19" s="21">
        <f t="shared" si="2"/>
        <v>7771.70975</v>
      </c>
      <c r="N19" s="21">
        <f t="shared" si="3"/>
        <v>2605.79025</v>
      </c>
      <c r="O19" s="22">
        <f>SUM(N19-H19)/2</f>
        <v>-2240.6548750000002</v>
      </c>
      <c r="R19" s="23">
        <f t="shared" si="4"/>
        <v>0</v>
      </c>
      <c r="S19" s="23">
        <f t="shared" si="5"/>
        <v>0</v>
      </c>
    </row>
    <row r="20" spans="1:19" x14ac:dyDescent="0.25">
      <c r="A20" s="66" t="s">
        <v>36</v>
      </c>
      <c r="B20" s="7" t="s">
        <v>13</v>
      </c>
      <c r="C20" s="20" t="s">
        <v>37</v>
      </c>
      <c r="D20" s="21">
        <v>18002.150000000001</v>
      </c>
      <c r="E20" s="20"/>
      <c r="F20" s="21">
        <v>12144.63</v>
      </c>
      <c r="G20" s="21"/>
      <c r="H20" s="21">
        <v>5857.52</v>
      </c>
      <c r="I20" s="20"/>
      <c r="J20" s="67"/>
      <c r="K20" s="21">
        <v>9144.74</v>
      </c>
      <c r="L20" s="20"/>
      <c r="M20" s="21">
        <f t="shared" si="2"/>
        <v>6848.4957859999995</v>
      </c>
      <c r="N20" s="21">
        <f t="shared" si="3"/>
        <v>2296.2442139999998</v>
      </c>
      <c r="O20" s="22">
        <f>N20-H20</f>
        <v>-3561.2757860000006</v>
      </c>
      <c r="R20" s="23">
        <f t="shared" si="4"/>
        <v>0</v>
      </c>
      <c r="S20" s="23">
        <f t="shared" si="5"/>
        <v>0</v>
      </c>
    </row>
    <row r="21" spans="1:19" x14ac:dyDescent="0.25">
      <c r="A21" s="66" t="s">
        <v>38</v>
      </c>
      <c r="B21" s="7" t="s">
        <v>13</v>
      </c>
      <c r="C21" s="20" t="s">
        <v>39</v>
      </c>
      <c r="D21" s="21">
        <v>0</v>
      </c>
      <c r="E21" s="20"/>
      <c r="F21" s="21">
        <v>0</v>
      </c>
      <c r="G21" s="20"/>
      <c r="H21" s="21">
        <v>0</v>
      </c>
      <c r="I21" s="20"/>
      <c r="J21" s="67"/>
      <c r="K21" s="21">
        <v>0</v>
      </c>
      <c r="L21" s="20"/>
      <c r="M21" s="21">
        <f t="shared" si="2"/>
        <v>0</v>
      </c>
      <c r="N21" s="21">
        <f t="shared" si="3"/>
        <v>0</v>
      </c>
      <c r="O21" s="22">
        <f>N21-H21</f>
        <v>0</v>
      </c>
      <c r="R21" s="23">
        <f t="shared" si="4"/>
        <v>0</v>
      </c>
      <c r="S21" s="23">
        <f t="shared" si="5"/>
        <v>0</v>
      </c>
    </row>
    <row r="22" spans="1:19" x14ac:dyDescent="0.25">
      <c r="A22" s="66"/>
      <c r="B22" s="7"/>
      <c r="D22" s="23">
        <f>SUM(D16:D21)</f>
        <v>53005.270000000004</v>
      </c>
      <c r="F22" s="23">
        <f>SUM(F16:F21)</f>
        <v>36512.74</v>
      </c>
      <c r="G22" s="25"/>
      <c r="H22" s="23">
        <f>SUM(H16:H21)</f>
        <v>16492.53</v>
      </c>
      <c r="J22" s="8"/>
      <c r="K22" s="23">
        <f>SUM(K16:K21)</f>
        <v>23201.09</v>
      </c>
      <c r="M22" s="23">
        <f>SUM(M16:M21)</f>
        <v>17375.296301000002</v>
      </c>
      <c r="N22" s="23">
        <f>SUM(N16:N21)</f>
        <v>5825.7936989999998</v>
      </c>
      <c r="O22" s="27">
        <f>SUM(O16:O21)</f>
        <v>-8426.0814260000006</v>
      </c>
      <c r="R22" s="23"/>
      <c r="S22" s="23"/>
    </row>
    <row r="23" spans="1:19" x14ac:dyDescent="0.25">
      <c r="A23" s="66"/>
      <c r="B23" s="7"/>
      <c r="D23" s="25"/>
      <c r="F23" s="25"/>
      <c r="G23" s="25"/>
      <c r="H23" s="25"/>
      <c r="J23" s="8"/>
      <c r="K23" s="23">
        <f>K22-D22</f>
        <v>-29804.180000000004</v>
      </c>
      <c r="L23" s="23"/>
      <c r="M23" s="23">
        <f>M22-F22</f>
        <v>-19137.443698999996</v>
      </c>
      <c r="N23" s="28">
        <f>N22-H22+((H19-N19)/2)</f>
        <v>-8426.0814259999988</v>
      </c>
      <c r="O23" s="27"/>
      <c r="R23" s="23"/>
      <c r="S23" s="23"/>
    </row>
    <row r="24" spans="1:19" x14ac:dyDescent="0.25">
      <c r="A24" s="66"/>
      <c r="B24" s="7"/>
      <c r="D24" s="25"/>
      <c r="F24" s="25"/>
      <c r="G24" s="25"/>
      <c r="H24" s="25"/>
      <c r="J24" s="8"/>
      <c r="K24" s="28"/>
      <c r="L24" s="28"/>
      <c r="M24" s="28"/>
      <c r="N24" s="28"/>
      <c r="O24" s="27"/>
      <c r="R24" s="23"/>
      <c r="S24" s="23"/>
    </row>
    <row r="25" spans="1:19" x14ac:dyDescent="0.25">
      <c r="A25" s="66" t="s">
        <v>40</v>
      </c>
      <c r="B25" s="7" t="s">
        <v>13</v>
      </c>
      <c r="C25" s="30" t="s">
        <v>41</v>
      </c>
      <c r="D25" s="31">
        <v>0</v>
      </c>
      <c r="E25" s="30"/>
      <c r="F25" s="31">
        <v>0</v>
      </c>
      <c r="G25" s="30"/>
      <c r="H25" s="31">
        <v>0</v>
      </c>
      <c r="I25" s="30"/>
      <c r="J25" s="67"/>
      <c r="K25" s="31">
        <v>0</v>
      </c>
      <c r="L25" s="30"/>
      <c r="M25" s="31">
        <f t="shared" ref="M25:M30" si="6">SUM(K25*$M$14)</f>
        <v>0</v>
      </c>
      <c r="N25" s="31">
        <f t="shared" ref="N25:N30" si="7">SUM(K25*$N$14)</f>
        <v>0</v>
      </c>
      <c r="O25" s="22">
        <f t="shared" ref="O25:O30" si="8">N25-H25</f>
        <v>0</v>
      </c>
      <c r="R25" s="23">
        <f t="shared" ref="R25:R30" si="9">D25-F25-H25</f>
        <v>0</v>
      </c>
      <c r="S25" s="23">
        <f t="shared" ref="S25:S30" si="10">K25-M25-N25</f>
        <v>0</v>
      </c>
    </row>
    <row r="26" spans="1:19" x14ac:dyDescent="0.25">
      <c r="A26" s="66" t="s">
        <v>42</v>
      </c>
      <c r="B26" s="7" t="s">
        <v>13</v>
      </c>
      <c r="C26" s="30" t="s">
        <v>43</v>
      </c>
      <c r="D26" s="31">
        <v>0</v>
      </c>
      <c r="E26" s="30"/>
      <c r="F26" s="31">
        <v>0</v>
      </c>
      <c r="G26" s="30"/>
      <c r="H26" s="31">
        <v>0</v>
      </c>
      <c r="I26" s="30"/>
      <c r="J26" s="67"/>
      <c r="K26" s="31">
        <v>0</v>
      </c>
      <c r="L26" s="30"/>
      <c r="M26" s="31">
        <f t="shared" si="6"/>
        <v>0</v>
      </c>
      <c r="N26" s="31">
        <f t="shared" si="7"/>
        <v>0</v>
      </c>
      <c r="O26" s="22">
        <f t="shared" si="8"/>
        <v>0</v>
      </c>
      <c r="R26" s="23">
        <f t="shared" si="9"/>
        <v>0</v>
      </c>
      <c r="S26" s="23">
        <f t="shared" si="10"/>
        <v>0</v>
      </c>
    </row>
    <row r="27" spans="1:19" x14ac:dyDescent="0.25">
      <c r="A27" s="66" t="s">
        <v>44</v>
      </c>
      <c r="B27" s="7" t="s">
        <v>13</v>
      </c>
      <c r="C27" s="30" t="s">
        <v>45</v>
      </c>
      <c r="D27" s="31">
        <v>21285.58</v>
      </c>
      <c r="E27" s="30"/>
      <c r="F27" s="31">
        <v>15955.26</v>
      </c>
      <c r="G27" s="30"/>
      <c r="H27" s="31">
        <v>5330.32</v>
      </c>
      <c r="I27" s="30"/>
      <c r="J27" s="67"/>
      <c r="K27" s="31">
        <v>6674.97</v>
      </c>
      <c r="L27" s="30"/>
      <c r="M27" s="31">
        <f t="shared" si="6"/>
        <v>4998.8850330000005</v>
      </c>
      <c r="N27" s="31">
        <f t="shared" si="7"/>
        <v>1676.084967</v>
      </c>
      <c r="O27" s="22">
        <f t="shared" si="8"/>
        <v>-3654.2350329999999</v>
      </c>
      <c r="R27" s="23">
        <f t="shared" si="9"/>
        <v>0</v>
      </c>
      <c r="S27" s="23">
        <f t="shared" si="10"/>
        <v>0</v>
      </c>
    </row>
    <row r="28" spans="1:19" x14ac:dyDescent="0.25">
      <c r="A28" s="66" t="s">
        <v>46</v>
      </c>
      <c r="B28" s="7" t="s">
        <v>13</v>
      </c>
      <c r="C28" s="30" t="s">
        <v>47</v>
      </c>
      <c r="D28" s="31">
        <v>0</v>
      </c>
      <c r="E28" s="30"/>
      <c r="F28" s="31">
        <v>0</v>
      </c>
      <c r="G28" s="30"/>
      <c r="H28" s="31">
        <v>0</v>
      </c>
      <c r="I28" s="30"/>
      <c r="J28" s="67"/>
      <c r="K28" s="31">
        <v>0</v>
      </c>
      <c r="L28" s="30"/>
      <c r="M28" s="31">
        <f t="shared" si="6"/>
        <v>0</v>
      </c>
      <c r="N28" s="31">
        <f t="shared" si="7"/>
        <v>0</v>
      </c>
      <c r="O28" s="22">
        <f t="shared" si="8"/>
        <v>0</v>
      </c>
      <c r="R28" s="23">
        <f t="shared" si="9"/>
        <v>0</v>
      </c>
      <c r="S28" s="23">
        <f t="shared" si="10"/>
        <v>0</v>
      </c>
    </row>
    <row r="29" spans="1:19" x14ac:dyDescent="0.25">
      <c r="A29" s="66" t="s">
        <v>48</v>
      </c>
      <c r="B29" s="7" t="s">
        <v>13</v>
      </c>
      <c r="C29" s="30" t="s">
        <v>49</v>
      </c>
      <c r="D29" s="31">
        <v>23994.67</v>
      </c>
      <c r="E29" s="30"/>
      <c r="F29" s="31">
        <v>19474.3</v>
      </c>
      <c r="G29" s="30"/>
      <c r="H29" s="31">
        <v>4520.37</v>
      </c>
      <c r="I29" s="30"/>
      <c r="J29" s="67"/>
      <c r="K29" s="31">
        <v>13109.54</v>
      </c>
      <c r="L29" s="30"/>
      <c r="M29" s="31">
        <f t="shared" si="6"/>
        <v>9817.7345060000007</v>
      </c>
      <c r="N29" s="31">
        <f t="shared" si="7"/>
        <v>3291.8054940000002</v>
      </c>
      <c r="O29" s="22">
        <f t="shared" si="8"/>
        <v>-1228.5645059999997</v>
      </c>
      <c r="R29" s="23">
        <f t="shared" si="9"/>
        <v>0</v>
      </c>
      <c r="S29" s="23">
        <f t="shared" si="10"/>
        <v>0</v>
      </c>
    </row>
    <row r="30" spans="1:19" x14ac:dyDescent="0.25">
      <c r="A30" s="66" t="s">
        <v>50</v>
      </c>
      <c r="B30" s="7" t="s">
        <v>13</v>
      </c>
      <c r="C30" s="30" t="s">
        <v>51</v>
      </c>
      <c r="D30" s="31">
        <v>0</v>
      </c>
      <c r="E30" s="30"/>
      <c r="F30" s="31">
        <v>0</v>
      </c>
      <c r="G30" s="30"/>
      <c r="H30" s="31">
        <v>0</v>
      </c>
      <c r="I30" s="32"/>
      <c r="J30" s="67"/>
      <c r="K30" s="31">
        <v>0</v>
      </c>
      <c r="L30" s="30"/>
      <c r="M30" s="31">
        <f t="shared" si="6"/>
        <v>0</v>
      </c>
      <c r="N30" s="31">
        <f t="shared" si="7"/>
        <v>0</v>
      </c>
      <c r="O30" s="22">
        <f t="shared" si="8"/>
        <v>0</v>
      </c>
      <c r="R30" s="23">
        <f t="shared" si="9"/>
        <v>0</v>
      </c>
      <c r="S30" s="23">
        <f t="shared" si="10"/>
        <v>0</v>
      </c>
    </row>
    <row r="31" spans="1:19" x14ac:dyDescent="0.25">
      <c r="A31" s="66"/>
      <c r="B31" s="7"/>
      <c r="D31" s="23">
        <f>SUM(D25:D30)</f>
        <v>45280.25</v>
      </c>
      <c r="E31" s="23"/>
      <c r="F31" s="23">
        <f>SUM(F25:F30)</f>
        <v>35429.56</v>
      </c>
      <c r="G31" s="25"/>
      <c r="H31" s="23">
        <f>SUM(H25:H30)</f>
        <v>9850.6899999999987</v>
      </c>
      <c r="J31" s="8"/>
      <c r="K31" s="23">
        <f>SUM(K25:K30)</f>
        <v>19784.510000000002</v>
      </c>
      <c r="M31" s="23">
        <f>SUM(M25:M30)</f>
        <v>14816.619539000001</v>
      </c>
      <c r="N31" s="23">
        <f>SUM(N25:N30)</f>
        <v>4967.890461</v>
      </c>
      <c r="O31" s="27">
        <f>SUM(O25:O30)</f>
        <v>-4882.7995389999996</v>
      </c>
      <c r="R31" s="23"/>
      <c r="S31" s="23"/>
    </row>
    <row r="32" spans="1:19" x14ac:dyDescent="0.25">
      <c r="A32" s="66"/>
      <c r="B32" s="7"/>
      <c r="D32" s="25"/>
      <c r="E32" s="23"/>
      <c r="F32" s="25"/>
      <c r="G32" s="25"/>
      <c r="H32" s="25"/>
      <c r="J32" s="8"/>
      <c r="K32" s="23">
        <f>K31-D31</f>
        <v>-25495.739999999998</v>
      </c>
      <c r="L32" s="23"/>
      <c r="M32" s="23">
        <f>M31-F31</f>
        <v>-20612.940460999998</v>
      </c>
      <c r="N32" s="28">
        <f>N31-H31</f>
        <v>-4882.7995389999987</v>
      </c>
      <c r="O32" s="27"/>
      <c r="R32" s="23"/>
      <c r="S32" s="23"/>
    </row>
    <row r="33" spans="1:26" x14ac:dyDescent="0.25">
      <c r="A33" s="66"/>
      <c r="B33" s="7"/>
      <c r="D33" s="25"/>
      <c r="E33" s="23"/>
      <c r="F33" s="25"/>
      <c r="G33" s="25"/>
      <c r="H33" s="25"/>
      <c r="J33" s="8"/>
      <c r="K33" s="28"/>
      <c r="L33" s="28"/>
      <c r="M33" s="28"/>
      <c r="N33" s="28"/>
      <c r="O33" s="27"/>
      <c r="R33" s="23"/>
      <c r="S33" s="23"/>
    </row>
    <row r="34" spans="1:26" x14ac:dyDescent="0.25">
      <c r="A34" s="66" t="s">
        <v>52</v>
      </c>
      <c r="B34" s="7" t="s">
        <v>13</v>
      </c>
      <c r="C34" s="36" t="s">
        <v>53</v>
      </c>
      <c r="D34" s="37">
        <v>27524.55</v>
      </c>
      <c r="E34" s="36"/>
      <c r="F34" s="37">
        <v>20690.21</v>
      </c>
      <c r="G34" s="37"/>
      <c r="H34" s="37">
        <v>6834.34</v>
      </c>
      <c r="I34" s="36"/>
      <c r="J34" s="8"/>
      <c r="K34" s="37">
        <v>23192.959999999999</v>
      </c>
      <c r="L34" s="36"/>
      <c r="M34" s="37">
        <f>SUM(K34*$M$14)</f>
        <v>17369.207743999999</v>
      </c>
      <c r="N34" s="37">
        <f>SUM(K34*$N$14)</f>
        <v>5823.7522559999998</v>
      </c>
      <c r="O34" s="22">
        <f>N34-H34</f>
        <v>-1010.5877440000004</v>
      </c>
      <c r="R34" s="23">
        <f>D34-F34-H34</f>
        <v>0</v>
      </c>
      <c r="S34" s="23">
        <f>K34-M34-N34</f>
        <v>0</v>
      </c>
    </row>
    <row r="35" spans="1:26" x14ac:dyDescent="0.25">
      <c r="A35" s="66"/>
      <c r="B35" s="7"/>
      <c r="D35" s="25"/>
      <c r="F35" s="25"/>
      <c r="G35" s="25"/>
      <c r="H35" s="25"/>
      <c r="J35" s="8"/>
      <c r="K35" s="23">
        <f>K34-D34</f>
        <v>-4331.59</v>
      </c>
      <c r="M35" s="23">
        <f>M34-F34</f>
        <v>-3321.0022559999998</v>
      </c>
      <c r="N35" s="28">
        <f>N34-H34</f>
        <v>-1010.5877440000004</v>
      </c>
      <c r="O35" s="27"/>
      <c r="R35" s="23"/>
      <c r="S35" s="23"/>
    </row>
    <row r="36" spans="1:26" x14ac:dyDescent="0.25">
      <c r="A36" s="66"/>
      <c r="B36" s="7"/>
      <c r="D36" s="25"/>
      <c r="F36" s="25"/>
      <c r="G36" s="25"/>
      <c r="H36" s="25"/>
      <c r="J36" s="8"/>
      <c r="K36" s="25"/>
      <c r="L36" s="28"/>
      <c r="M36" s="2"/>
      <c r="N36" s="2"/>
      <c r="O36" s="27"/>
      <c r="R36" s="23"/>
      <c r="S36" s="23"/>
    </row>
    <row r="37" spans="1:26" x14ac:dyDescent="0.25">
      <c r="A37" s="66" t="s">
        <v>54</v>
      </c>
      <c r="B37" s="7" t="s">
        <v>13</v>
      </c>
      <c r="C37" s="40" t="s">
        <v>55</v>
      </c>
      <c r="D37" s="41">
        <v>107370.07</v>
      </c>
      <c r="E37" s="40"/>
      <c r="F37" s="41">
        <v>58916.88</v>
      </c>
      <c r="G37" s="41"/>
      <c r="H37" s="41">
        <v>48453.19</v>
      </c>
      <c r="I37" s="40"/>
      <c r="J37" s="67"/>
      <c r="K37" s="41">
        <v>180874.36</v>
      </c>
      <c r="L37" s="40"/>
      <c r="M37" s="41">
        <f>SUM(K37*$M$14)</f>
        <v>135456.808204</v>
      </c>
      <c r="N37" s="41">
        <f>SUM(K37*$N$14)</f>
        <v>45417.551795999992</v>
      </c>
      <c r="O37" s="60">
        <v>-161.72999999999999</v>
      </c>
      <c r="R37" s="23">
        <f>D37-F37-H37</f>
        <v>0</v>
      </c>
      <c r="S37" s="23">
        <f>K37-M37-N37</f>
        <v>0</v>
      </c>
      <c r="T37" s="43" t="s">
        <v>56</v>
      </c>
      <c r="U37" s="43"/>
      <c r="V37" s="44"/>
      <c r="W37" s="44"/>
      <c r="X37" s="44"/>
      <c r="Y37" s="44"/>
      <c r="Z37" s="44"/>
    </row>
    <row r="38" spans="1:26" x14ac:dyDescent="0.25">
      <c r="A38" s="66"/>
      <c r="B38" s="7"/>
      <c r="D38" s="25"/>
      <c r="E38" s="23"/>
      <c r="F38" s="25"/>
      <c r="G38" s="25"/>
      <c r="H38" s="25"/>
      <c r="J38" s="8"/>
      <c r="K38" s="23">
        <f>K37-D37</f>
        <v>73504.289999999979</v>
      </c>
      <c r="M38" s="23">
        <f>M37-F37</f>
        <v>76539.928203999996</v>
      </c>
      <c r="N38" s="23">
        <f>N37-H37</f>
        <v>-3035.6382040000099</v>
      </c>
      <c r="O38" s="27"/>
      <c r="R38" s="23"/>
      <c r="S38" s="23"/>
      <c r="T38" s="44" t="s">
        <v>57</v>
      </c>
      <c r="U38" s="44"/>
      <c r="V38" s="44"/>
    </row>
    <row r="39" spans="1:26" x14ac:dyDescent="0.25">
      <c r="A39" s="66"/>
      <c r="B39" s="7"/>
      <c r="D39" s="25"/>
      <c r="E39" s="23"/>
      <c r="F39" s="25"/>
      <c r="G39" s="25"/>
      <c r="H39" s="25"/>
      <c r="J39" s="8"/>
      <c r="K39" s="25"/>
      <c r="L39" s="28"/>
      <c r="M39" s="2"/>
      <c r="N39" s="2"/>
      <c r="O39" s="27"/>
      <c r="R39" s="23"/>
      <c r="S39" s="23"/>
    </row>
    <row r="40" spans="1:26" x14ac:dyDescent="0.25">
      <c r="A40" s="66" t="s">
        <v>58</v>
      </c>
      <c r="B40" s="7" t="s">
        <v>13</v>
      </c>
      <c r="C40" s="47" t="s">
        <v>59</v>
      </c>
      <c r="D40" s="48"/>
      <c r="E40" s="47"/>
      <c r="F40" s="48"/>
      <c r="G40" s="48"/>
      <c r="H40" s="48">
        <f>+'[7]Paste Special WA 5yr'!H37/12</f>
        <v>5849.6263888888889</v>
      </c>
      <c r="I40" s="47"/>
      <c r="J40" s="8"/>
      <c r="K40" s="48">
        <v>15294.94</v>
      </c>
      <c r="L40" s="47"/>
      <c r="M40" s="48">
        <f>SUM(K40*$M$14)</f>
        <v>11454.380566</v>
      </c>
      <c r="N40" s="48">
        <f>SUM(K40*$N$14)</f>
        <v>3840.5594339999998</v>
      </c>
      <c r="O40" s="27">
        <f>N40-H40</f>
        <v>-2009.0669548888891</v>
      </c>
      <c r="R40" s="23">
        <v>0</v>
      </c>
      <c r="S40" s="23">
        <f>K40-M40-N40</f>
        <v>0</v>
      </c>
    </row>
    <row r="41" spans="1:26" x14ac:dyDescent="0.25">
      <c r="A41" s="66"/>
      <c r="B41" s="7"/>
      <c r="C41" s="5" t="s">
        <v>88</v>
      </c>
      <c r="D41" s="2"/>
      <c r="F41" s="2"/>
      <c r="G41" s="25"/>
      <c r="H41" s="2"/>
      <c r="K41" s="23">
        <f>K40-D40</f>
        <v>15294.94</v>
      </c>
      <c r="M41" s="23">
        <f>M40-F40</f>
        <v>11454.380566</v>
      </c>
      <c r="N41" s="28">
        <f>N40-H40</f>
        <v>-2009.0669548888891</v>
      </c>
      <c r="O41" s="27"/>
      <c r="R41" s="23"/>
      <c r="S41" s="23"/>
    </row>
    <row r="42" spans="1:26" x14ac:dyDescent="0.25">
      <c r="A42" s="66"/>
      <c r="B42" s="7"/>
      <c r="D42" s="2"/>
      <c r="F42" s="2"/>
      <c r="G42" s="25"/>
      <c r="H42" s="5" t="s">
        <v>60</v>
      </c>
      <c r="K42" s="50"/>
      <c r="M42" s="2"/>
      <c r="N42" s="25"/>
      <c r="O42" s="27">
        <f>-K42*N14</f>
        <v>0</v>
      </c>
      <c r="R42" s="23"/>
      <c r="S42" s="23"/>
    </row>
    <row r="43" spans="1:26" ht="18.75" x14ac:dyDescent="0.3">
      <c r="A43" s="66"/>
      <c r="B43" s="7"/>
      <c r="D43" s="2"/>
      <c r="F43" s="2"/>
      <c r="G43" s="25"/>
      <c r="H43" s="160" t="s">
        <v>132</v>
      </c>
      <c r="M43" s="2"/>
      <c r="N43" s="25"/>
      <c r="O43" s="51">
        <f>O22+O31+O34+O37+O40+O42</f>
        <v>-16490.265663888888</v>
      </c>
      <c r="R43" s="23"/>
      <c r="S43" s="23"/>
    </row>
    <row r="44" spans="1:26" x14ac:dyDescent="0.25">
      <c r="P44" s="2"/>
    </row>
    <row r="47" spans="1:26" x14ac:dyDescent="0.25">
      <c r="C47" s="6" t="s">
        <v>0</v>
      </c>
      <c r="D47" s="7" t="s">
        <v>1</v>
      </c>
      <c r="F47" s="62" t="s">
        <v>2</v>
      </c>
      <c r="G47" s="7"/>
      <c r="H47" s="62" t="s">
        <v>3</v>
      </c>
      <c r="K47" s="7" t="s">
        <v>1</v>
      </c>
      <c r="M47" s="62" t="s">
        <v>2</v>
      </c>
      <c r="N47" s="62"/>
      <c r="O47" s="62" t="s">
        <v>3</v>
      </c>
    </row>
    <row r="48" spans="1:26" x14ac:dyDescent="0.25">
      <c r="C48" s="6" t="s">
        <v>4</v>
      </c>
      <c r="D48" s="52"/>
      <c r="F48" s="62"/>
      <c r="K48" s="54" t="s">
        <v>22</v>
      </c>
    </row>
    <row r="49" spans="1:19" x14ac:dyDescent="0.25">
      <c r="C49" s="6" t="s">
        <v>5</v>
      </c>
      <c r="D49" s="7"/>
      <c r="K49" s="7" t="s">
        <v>6</v>
      </c>
    </row>
    <row r="50" spans="1:19" x14ac:dyDescent="0.25">
      <c r="C50" s="6" t="s">
        <v>7</v>
      </c>
      <c r="D50" s="54"/>
      <c r="K50" s="99" t="s">
        <v>87</v>
      </c>
    </row>
    <row r="51" spans="1:19" x14ac:dyDescent="0.25">
      <c r="C51" s="6" t="s">
        <v>8</v>
      </c>
      <c r="D51" s="7"/>
      <c r="K51" s="7" t="s">
        <v>9</v>
      </c>
    </row>
    <row r="52" spans="1:19" x14ac:dyDescent="0.25">
      <c r="C52" s="6" t="s">
        <v>11</v>
      </c>
      <c r="D52" s="7"/>
      <c r="K52" s="7" t="s">
        <v>12</v>
      </c>
    </row>
    <row r="53" spans="1:19" x14ac:dyDescent="0.25">
      <c r="C53" s="6" t="s">
        <v>10</v>
      </c>
      <c r="D53" s="12"/>
      <c r="K53" s="12" t="s">
        <v>13</v>
      </c>
    </row>
    <row r="54" spans="1:19" x14ac:dyDescent="0.25">
      <c r="D54" s="55"/>
      <c r="K54" s="63" t="s">
        <v>25</v>
      </c>
    </row>
    <row r="55" spans="1:19" x14ac:dyDescent="0.25">
      <c r="D55" s="63" t="s">
        <v>61</v>
      </c>
      <c r="K55" s="63" t="str">
        <f t="shared" ref="K55" si="11">TEXT(K50&amp;"/1/"&amp;K48,"mmm yy")</f>
        <v>Jun 21</v>
      </c>
    </row>
    <row r="56" spans="1:19" x14ac:dyDescent="0.25">
      <c r="D56" s="15"/>
      <c r="F56" s="15"/>
      <c r="G56" s="16"/>
      <c r="H56" s="15"/>
      <c r="K56" s="15"/>
      <c r="M56" s="15"/>
      <c r="N56" s="16"/>
      <c r="O56" s="15"/>
    </row>
    <row r="57" spans="1:19" x14ac:dyDescent="0.25">
      <c r="D57" s="285" t="s">
        <v>62</v>
      </c>
      <c r="E57" s="285"/>
      <c r="F57" s="285"/>
      <c r="G57" s="16"/>
      <c r="H57" s="15"/>
      <c r="K57" s="282" t="s">
        <v>18</v>
      </c>
      <c r="L57" s="282"/>
      <c r="M57" s="282"/>
      <c r="N57" s="282"/>
      <c r="O57" s="282"/>
    </row>
    <row r="58" spans="1:19" ht="23.25" x14ac:dyDescent="0.35">
      <c r="D58" s="285"/>
      <c r="E58" s="285"/>
      <c r="F58" s="285"/>
      <c r="G58" s="16"/>
      <c r="H58" s="15"/>
      <c r="K58" s="15">
        <v>2021</v>
      </c>
      <c r="M58" s="17">
        <f>+M14</f>
        <v>0.74890000000000001</v>
      </c>
      <c r="N58" s="154" t="s">
        <v>101</v>
      </c>
      <c r="O58" s="17">
        <f>+N14</f>
        <v>0.25109999999999999</v>
      </c>
      <c r="R58" s="5" t="s">
        <v>17</v>
      </c>
    </row>
    <row r="59" spans="1:19" x14ac:dyDescent="0.25">
      <c r="A59" s="4" t="s">
        <v>66</v>
      </c>
      <c r="B59" s="5" t="s">
        <v>27</v>
      </c>
      <c r="D59" s="4" t="s">
        <v>68</v>
      </c>
      <c r="F59" s="4" t="s">
        <v>19</v>
      </c>
      <c r="H59" s="4" t="s">
        <v>20</v>
      </c>
      <c r="K59" s="4" t="s">
        <v>68</v>
      </c>
      <c r="M59" s="4" t="s">
        <v>19</v>
      </c>
      <c r="N59" s="68" t="s">
        <v>15</v>
      </c>
      <c r="O59" s="4" t="s">
        <v>20</v>
      </c>
    </row>
    <row r="60" spans="1:19" x14ac:dyDescent="0.25">
      <c r="A60" s="66" t="s">
        <v>28</v>
      </c>
      <c r="B60" s="7" t="s">
        <v>13</v>
      </c>
      <c r="C60" s="20" t="s">
        <v>29</v>
      </c>
      <c r="D60" s="21">
        <f>SUM('[4]Paste Special WA 5yr'!D14)/12</f>
        <v>14761.550000000001</v>
      </c>
      <c r="E60" s="20"/>
      <c r="F60" s="21">
        <f>SUM('[4]Paste Special WA 5yr'!F14)/12</f>
        <v>10845.024666666666</v>
      </c>
      <c r="G60" s="21"/>
      <c r="H60" s="21">
        <f>SUM('[4]Paste Special WA 5yr'!H14)/12</f>
        <v>3916.5253333333335</v>
      </c>
      <c r="I60" s="20"/>
      <c r="J60" s="67"/>
      <c r="K60" s="21">
        <v>3208.92</v>
      </c>
      <c r="L60" s="20"/>
      <c r="M60" s="21">
        <f>SUM(K60*$M$58)</f>
        <v>2403.1601880000003</v>
      </c>
      <c r="N60" s="58">
        <f>M60-F60</f>
        <v>-8441.8644786666664</v>
      </c>
      <c r="O60" s="21">
        <f>SUM(K60*$O$58)</f>
        <v>805.75981200000001</v>
      </c>
      <c r="P60" s="20"/>
      <c r="R60" s="23">
        <f t="shared" ref="R60:R65" si="12">D60-F60-H60</f>
        <v>0</v>
      </c>
      <c r="S60" s="23">
        <f t="shared" ref="S60:S65" si="13">K60-M60-O60</f>
        <v>0</v>
      </c>
    </row>
    <row r="61" spans="1:19" x14ac:dyDescent="0.25">
      <c r="A61" s="66" t="s">
        <v>30</v>
      </c>
      <c r="B61" s="7" t="s">
        <v>13</v>
      </c>
      <c r="C61" s="20" t="s">
        <v>31</v>
      </c>
      <c r="D61" s="21">
        <f>SUM('[4]Paste Special WA 5yr'!D15)/12</f>
        <v>3779.2791666666667</v>
      </c>
      <c r="E61" s="20"/>
      <c r="F61" s="21">
        <f>SUM('[4]Paste Special WA 5yr'!F15)/12</f>
        <v>2797.3644999999997</v>
      </c>
      <c r="G61" s="21"/>
      <c r="H61" s="21">
        <f>SUM('[4]Paste Special WA 5yr'!H15)/12</f>
        <v>981.91466666666656</v>
      </c>
      <c r="I61" s="20"/>
      <c r="J61" s="67"/>
      <c r="K61" s="21">
        <v>320.11</v>
      </c>
      <c r="L61" s="20"/>
      <c r="M61" s="21">
        <f t="shared" ref="M61:M65" si="14">SUM(K61*$M$58)</f>
        <v>239.73037900000003</v>
      </c>
      <c r="N61" s="58">
        <f t="shared" ref="N61:N65" si="15">M61-F61</f>
        <v>-2557.6341209999996</v>
      </c>
      <c r="O61" s="21">
        <f t="shared" ref="O61:O65" si="16">SUM(K61*$O$58)</f>
        <v>80.379621</v>
      </c>
      <c r="P61" s="20"/>
      <c r="R61" s="23">
        <f t="shared" si="12"/>
        <v>0</v>
      </c>
      <c r="S61" s="23">
        <f t="shared" si="13"/>
        <v>0</v>
      </c>
    </row>
    <row r="62" spans="1:19" x14ac:dyDescent="0.25">
      <c r="A62" s="66" t="s">
        <v>32</v>
      </c>
      <c r="B62" s="7" t="s">
        <v>13</v>
      </c>
      <c r="C62" s="20" t="s">
        <v>33</v>
      </c>
      <c r="D62" s="21">
        <f>SUM('[4]Paste Special WA 5yr'!D16)/12</f>
        <v>1259.5603333333331</v>
      </c>
      <c r="E62" s="20"/>
      <c r="F62" s="21">
        <f>SUM('[4]Paste Special WA 5yr'!F16)/12</f>
        <v>941.35399999999993</v>
      </c>
      <c r="G62" s="21"/>
      <c r="H62" s="21">
        <f>SUM('[4]Paste Special WA 5yr'!H16)/12</f>
        <v>318.20633333333336</v>
      </c>
      <c r="I62" s="20"/>
      <c r="J62" s="67"/>
      <c r="K62" s="21">
        <v>149.82</v>
      </c>
      <c r="L62" s="20"/>
      <c r="M62" s="21">
        <f t="shared" si="14"/>
        <v>112.200198</v>
      </c>
      <c r="N62" s="58">
        <f t="shared" si="15"/>
        <v>-829.15380199999993</v>
      </c>
      <c r="O62" s="21">
        <f t="shared" si="16"/>
        <v>37.619802</v>
      </c>
      <c r="P62" s="20"/>
      <c r="R62" s="23">
        <f t="shared" si="12"/>
        <v>0</v>
      </c>
      <c r="S62" s="23">
        <f t="shared" si="13"/>
        <v>0</v>
      </c>
    </row>
    <row r="63" spans="1:19" x14ac:dyDescent="0.25">
      <c r="A63" s="66" t="s">
        <v>34</v>
      </c>
      <c r="B63" s="7" t="s">
        <v>13</v>
      </c>
      <c r="C63" s="20" t="s">
        <v>35</v>
      </c>
      <c r="D63" s="21">
        <f>SUM('[4]Paste Special WA 5yr'!D17)/12</f>
        <v>23419.128000000001</v>
      </c>
      <c r="E63" s="20"/>
      <c r="F63" s="21">
        <f>SUM('[4]Paste Special WA 5yr'!F17)/12</f>
        <v>16565.006833333333</v>
      </c>
      <c r="G63" s="21"/>
      <c r="H63" s="21">
        <f>SUM('[4]Paste Special WA 5yr'!H17)/12</f>
        <v>6854.1211666666668</v>
      </c>
      <c r="I63" s="20"/>
      <c r="J63" s="67"/>
      <c r="K63" s="21">
        <v>10377.5</v>
      </c>
      <c r="L63" s="20"/>
      <c r="M63" s="21">
        <f t="shared" si="14"/>
        <v>7771.70975</v>
      </c>
      <c r="N63" s="58">
        <f t="shared" si="15"/>
        <v>-8793.2970833333329</v>
      </c>
      <c r="O63" s="21">
        <f t="shared" si="16"/>
        <v>2605.79025</v>
      </c>
      <c r="P63" s="20"/>
      <c r="R63" s="23">
        <f t="shared" si="12"/>
        <v>0</v>
      </c>
      <c r="S63" s="23">
        <f t="shared" si="13"/>
        <v>0</v>
      </c>
    </row>
    <row r="64" spans="1:19" x14ac:dyDescent="0.25">
      <c r="A64" s="66" t="s">
        <v>36</v>
      </c>
      <c r="B64" s="7" t="s">
        <v>13</v>
      </c>
      <c r="C64" s="20" t="s">
        <v>37</v>
      </c>
      <c r="D64" s="21">
        <f>SUM('[4]Paste Special WA 5yr'!D18)/12</f>
        <v>25420.995500000001</v>
      </c>
      <c r="E64" s="20"/>
      <c r="F64" s="21">
        <f>SUM('[4]Paste Special WA 5yr'!F18)/12</f>
        <v>18246.845166666666</v>
      </c>
      <c r="G64" s="21"/>
      <c r="H64" s="21">
        <f>SUM('[4]Paste Special WA 5yr'!H18)/12</f>
        <v>7174.1503333333339</v>
      </c>
      <c r="I64" s="20"/>
      <c r="J64" s="67"/>
      <c r="K64" s="21">
        <v>9144.74</v>
      </c>
      <c r="L64" s="20"/>
      <c r="M64" s="21">
        <f t="shared" si="14"/>
        <v>6848.4957859999995</v>
      </c>
      <c r="N64" s="58">
        <f t="shared" si="15"/>
        <v>-11398.349380666667</v>
      </c>
      <c r="O64" s="21">
        <f t="shared" si="16"/>
        <v>2296.2442139999998</v>
      </c>
      <c r="P64" s="20"/>
      <c r="R64" s="23">
        <f t="shared" si="12"/>
        <v>0</v>
      </c>
      <c r="S64" s="23">
        <f t="shared" si="13"/>
        <v>0</v>
      </c>
    </row>
    <row r="65" spans="1:19" x14ac:dyDescent="0.25">
      <c r="A65" s="66" t="s">
        <v>38</v>
      </c>
      <c r="B65" s="7" t="s">
        <v>13</v>
      </c>
      <c r="C65" s="20" t="s">
        <v>39</v>
      </c>
      <c r="D65" s="21">
        <f>SUM('[4]Paste Special WA 5yr'!D19)/12</f>
        <v>335.31433333333331</v>
      </c>
      <c r="E65" s="20"/>
      <c r="F65" s="21">
        <f>SUM('[4]Paste Special WA 5yr'!F19)/12</f>
        <v>255.99350000000001</v>
      </c>
      <c r="G65" s="21"/>
      <c r="H65" s="21">
        <f>SUM('[4]Paste Special WA 5yr'!H19)/12</f>
        <v>79.32083333333334</v>
      </c>
      <c r="I65" s="20"/>
      <c r="J65" s="67"/>
      <c r="K65" s="21">
        <v>0</v>
      </c>
      <c r="L65" s="24"/>
      <c r="M65" s="21">
        <f t="shared" si="14"/>
        <v>0</v>
      </c>
      <c r="N65" s="58">
        <f t="shared" si="15"/>
        <v>-255.99350000000001</v>
      </c>
      <c r="O65" s="21">
        <f t="shared" si="16"/>
        <v>0</v>
      </c>
      <c r="P65" s="20"/>
      <c r="R65" s="23">
        <f t="shared" si="12"/>
        <v>0</v>
      </c>
      <c r="S65" s="23">
        <f t="shared" si="13"/>
        <v>0</v>
      </c>
    </row>
    <row r="66" spans="1:19" x14ac:dyDescent="0.25">
      <c r="A66" s="66"/>
      <c r="B66" s="7"/>
      <c r="D66" s="23">
        <f>SUM(D60:D65)</f>
        <v>68975.827333333335</v>
      </c>
      <c r="F66" s="23">
        <f>SUM(F60:F65)</f>
        <v>49651.588666666663</v>
      </c>
      <c r="G66" s="25"/>
      <c r="H66" s="23">
        <f>SUM(H60:H65)</f>
        <v>19324.238666666672</v>
      </c>
      <c r="J66" s="67"/>
      <c r="K66" s="23">
        <f>SUM(K60:K65)</f>
        <v>23201.09</v>
      </c>
      <c r="L66" s="23"/>
      <c r="M66" s="23">
        <f>SUM(M60:M65)</f>
        <v>17375.296301000002</v>
      </c>
      <c r="N66" s="59">
        <f>SUM(N60:N65)</f>
        <v>-32276.292365666664</v>
      </c>
      <c r="O66" s="2">
        <f>SUM(O60:O65)</f>
        <v>5825.7936989999998</v>
      </c>
      <c r="R66" s="23"/>
      <c r="S66" s="23"/>
    </row>
    <row r="67" spans="1:19" x14ac:dyDescent="0.25">
      <c r="A67" s="66"/>
      <c r="B67" s="7"/>
      <c r="D67" s="23"/>
      <c r="F67" s="23"/>
      <c r="G67" s="25"/>
      <c r="H67" s="23"/>
      <c r="J67" s="67"/>
      <c r="K67" s="23">
        <f>K66-D66</f>
        <v>-45774.737333333338</v>
      </c>
      <c r="L67" s="23"/>
      <c r="M67" s="28">
        <f>M66-F66</f>
        <v>-32276.292365666661</v>
      </c>
      <c r="N67" s="59"/>
      <c r="O67" s="2">
        <f>O66-H66</f>
        <v>-13498.444967666672</v>
      </c>
      <c r="P67" s="2"/>
      <c r="R67" s="23"/>
      <c r="S67" s="23"/>
    </row>
    <row r="68" spans="1:19" x14ac:dyDescent="0.25">
      <c r="A68" s="66"/>
      <c r="B68" s="7"/>
      <c r="D68" s="23"/>
      <c r="F68" s="23"/>
      <c r="G68" s="25"/>
      <c r="H68" s="23"/>
      <c r="J68" s="67"/>
      <c r="K68" s="23"/>
      <c r="L68" s="23"/>
      <c r="M68" s="23"/>
      <c r="N68" s="59"/>
      <c r="O68" s="2"/>
      <c r="P68" s="2"/>
      <c r="R68" s="23"/>
      <c r="S68" s="23"/>
    </row>
    <row r="69" spans="1:19" x14ac:dyDescent="0.25">
      <c r="A69" s="66"/>
      <c r="B69" s="7"/>
      <c r="D69" s="4" t="s">
        <v>68</v>
      </c>
      <c r="F69" s="4" t="s">
        <v>19</v>
      </c>
      <c r="H69" s="4" t="s">
        <v>20</v>
      </c>
      <c r="J69" s="67"/>
      <c r="K69" s="4" t="s">
        <v>68</v>
      </c>
      <c r="M69" s="4" t="s">
        <v>19</v>
      </c>
      <c r="N69" s="59"/>
      <c r="O69" s="4" t="s">
        <v>20</v>
      </c>
      <c r="P69" s="2"/>
      <c r="R69" s="23"/>
      <c r="S69" s="23"/>
    </row>
    <row r="70" spans="1:19" x14ac:dyDescent="0.25">
      <c r="A70" s="66" t="s">
        <v>40</v>
      </c>
      <c r="B70" s="7" t="s">
        <v>13</v>
      </c>
      <c r="C70" s="30" t="s">
        <v>41</v>
      </c>
      <c r="D70" s="31">
        <f>SUM('[4]Paste Special WA 5yr'!D22)/12</f>
        <v>235.60100000000003</v>
      </c>
      <c r="E70" s="30"/>
      <c r="F70" s="31">
        <f>SUM('[4]Paste Special WA 5yr'!F22)/12</f>
        <v>178.32866666666669</v>
      </c>
      <c r="G70" s="30"/>
      <c r="H70" s="31">
        <f>SUM('[4]Paste Special WA 5yr'!H22)/12</f>
        <v>57.272333333333329</v>
      </c>
      <c r="I70" s="30"/>
      <c r="J70" s="67"/>
      <c r="K70" s="31">
        <v>0</v>
      </c>
      <c r="L70" s="30"/>
      <c r="M70" s="31">
        <f>SUM(K70*$M$58)</f>
        <v>0</v>
      </c>
      <c r="N70" s="58">
        <f>M70-F70</f>
        <v>-178.32866666666669</v>
      </c>
      <c r="O70" s="31">
        <f>SUM(K70*$O$58)</f>
        <v>0</v>
      </c>
      <c r="P70" s="30"/>
      <c r="R70" s="23">
        <f t="shared" ref="R70:R75" si="17">D70-F70-H70</f>
        <v>0</v>
      </c>
      <c r="S70" s="23">
        <f t="shared" ref="S70:S75" si="18">K70-M70-O70</f>
        <v>0</v>
      </c>
    </row>
    <row r="71" spans="1:19" x14ac:dyDescent="0.25">
      <c r="A71" s="66" t="s">
        <v>42</v>
      </c>
      <c r="B71" s="7" t="s">
        <v>13</v>
      </c>
      <c r="C71" s="30" t="s">
        <v>43</v>
      </c>
      <c r="D71" s="31">
        <f>SUM('[4]Paste Special WA 5yr'!D23)/12</f>
        <v>98.616666666666674</v>
      </c>
      <c r="E71" s="30"/>
      <c r="F71" s="31">
        <f>SUM('[4]Paste Special WA 5yr'!F23)/12</f>
        <v>97.95</v>
      </c>
      <c r="G71" s="30"/>
      <c r="H71" s="31">
        <f>SUM('[4]Paste Special WA 5yr'!H23)/12</f>
        <v>0.66666666666666663</v>
      </c>
      <c r="I71" s="30"/>
      <c r="J71" s="67"/>
      <c r="K71" s="31">
        <v>0</v>
      </c>
      <c r="L71" s="30"/>
      <c r="M71" s="31">
        <f t="shared" ref="M71:M75" si="19">SUM(K71*$M$58)</f>
        <v>0</v>
      </c>
      <c r="N71" s="58">
        <f t="shared" ref="N71:N75" si="20">M71-F71</f>
        <v>-97.95</v>
      </c>
      <c r="O71" s="31">
        <f t="shared" ref="O71:O75" si="21">SUM(K71*$O$58)</f>
        <v>0</v>
      </c>
      <c r="P71" s="30"/>
      <c r="R71" s="23">
        <f>ROUND(D71-F71-H71,2)</f>
        <v>0</v>
      </c>
      <c r="S71" s="23">
        <f t="shared" si="18"/>
        <v>0</v>
      </c>
    </row>
    <row r="72" spans="1:19" x14ac:dyDescent="0.25">
      <c r="A72" s="66" t="s">
        <v>44</v>
      </c>
      <c r="B72" s="7" t="s">
        <v>13</v>
      </c>
      <c r="C72" s="30" t="s">
        <v>45</v>
      </c>
      <c r="D72" s="31">
        <f>SUM('[4]Paste Special WA 5yr'!D24)/12</f>
        <v>9038.3494999999984</v>
      </c>
      <c r="E72" s="30"/>
      <c r="F72" s="31">
        <f>SUM('[4]Paste Special WA 5yr'!F24)/12</f>
        <v>6827.0563333333339</v>
      </c>
      <c r="G72" s="30"/>
      <c r="H72" s="31">
        <f>SUM('[4]Paste Special WA 5yr'!H24)/12</f>
        <v>2211.2931666666668</v>
      </c>
      <c r="I72" s="30"/>
      <c r="J72" s="67"/>
      <c r="K72" s="31">
        <v>6674.97</v>
      </c>
      <c r="L72" s="30"/>
      <c r="M72" s="31">
        <f t="shared" si="19"/>
        <v>4998.8850330000005</v>
      </c>
      <c r="N72" s="58">
        <f t="shared" si="20"/>
        <v>-1828.1713003333334</v>
      </c>
      <c r="O72" s="31">
        <f t="shared" si="21"/>
        <v>1676.084967</v>
      </c>
      <c r="P72" s="30"/>
      <c r="R72" s="23">
        <f t="shared" si="17"/>
        <v>0</v>
      </c>
      <c r="S72" s="23">
        <f t="shared" si="18"/>
        <v>0</v>
      </c>
    </row>
    <row r="73" spans="1:19" x14ac:dyDescent="0.25">
      <c r="A73" s="66" t="s">
        <v>46</v>
      </c>
      <c r="B73" s="7" t="s">
        <v>13</v>
      </c>
      <c r="C73" s="30" t="s">
        <v>47</v>
      </c>
      <c r="D73" s="31">
        <f>SUM('[4]Paste Special WA 5yr'!D25)/12</f>
        <v>479.02249999999998</v>
      </c>
      <c r="E73" s="30"/>
      <c r="F73" s="31">
        <f>SUM('[4]Paste Special WA 5yr'!F25)/12</f>
        <v>362.63016666666664</v>
      </c>
      <c r="G73" s="30"/>
      <c r="H73" s="31">
        <f>SUM('[4]Paste Special WA 5yr'!H25)/12</f>
        <v>116.39233333333334</v>
      </c>
      <c r="I73" s="30"/>
      <c r="J73" s="67"/>
      <c r="K73" s="31">
        <v>0</v>
      </c>
      <c r="L73" s="30"/>
      <c r="M73" s="31">
        <f t="shared" si="19"/>
        <v>0</v>
      </c>
      <c r="N73" s="58">
        <f t="shared" si="20"/>
        <v>-362.63016666666664</v>
      </c>
      <c r="O73" s="31">
        <f t="shared" si="21"/>
        <v>0</v>
      </c>
      <c r="P73" s="30"/>
      <c r="R73" s="23">
        <f>D73-F73-H73</f>
        <v>0</v>
      </c>
      <c r="S73" s="23">
        <f t="shared" si="18"/>
        <v>0</v>
      </c>
    </row>
    <row r="74" spans="1:19" x14ac:dyDescent="0.25">
      <c r="A74" s="66" t="s">
        <v>48</v>
      </c>
      <c r="B74" s="7" t="s">
        <v>13</v>
      </c>
      <c r="C74" s="30" t="s">
        <v>49</v>
      </c>
      <c r="D74" s="31">
        <f>SUM('[4]Paste Special WA 5yr'!D26)/12</f>
        <v>12340.912666666665</v>
      </c>
      <c r="E74" s="30"/>
      <c r="F74" s="31">
        <f>SUM('[4]Paste Special WA 5yr'!F26)/12</f>
        <v>8779.150333333333</v>
      </c>
      <c r="G74" s="30"/>
      <c r="H74" s="31">
        <f>SUM('[4]Paste Special WA 5yr'!H26)/12</f>
        <v>3561.7623333333336</v>
      </c>
      <c r="I74" s="30"/>
      <c r="J74" s="67"/>
      <c r="K74" s="31">
        <v>13109.54</v>
      </c>
      <c r="L74" s="30"/>
      <c r="M74" s="31">
        <f t="shared" si="19"/>
        <v>9817.7345060000007</v>
      </c>
      <c r="N74" s="58">
        <f t="shared" si="20"/>
        <v>1038.5841726666677</v>
      </c>
      <c r="O74" s="31">
        <f t="shared" si="21"/>
        <v>3291.8054940000002</v>
      </c>
      <c r="P74" s="30"/>
      <c r="R74" s="23">
        <f t="shared" si="17"/>
        <v>0</v>
      </c>
      <c r="S74" s="23">
        <f t="shared" si="18"/>
        <v>0</v>
      </c>
    </row>
    <row r="75" spans="1:19" x14ac:dyDescent="0.25">
      <c r="A75" s="66" t="s">
        <v>50</v>
      </c>
      <c r="B75" s="7" t="s">
        <v>13</v>
      </c>
      <c r="C75" s="30" t="s">
        <v>51</v>
      </c>
      <c r="D75" s="31">
        <f>SUM('[4]Paste Special WA 5yr'!D27)/12</f>
        <v>1336.7904999999998</v>
      </c>
      <c r="E75" s="30"/>
      <c r="F75" s="31">
        <f>SUM('[4]Paste Special WA 5yr'!F27)/12</f>
        <v>1078.6363333333334</v>
      </c>
      <c r="G75" s="30"/>
      <c r="H75" s="31">
        <f>SUM('[4]Paste Special WA 5yr'!H27)/12</f>
        <v>258.15416666666664</v>
      </c>
      <c r="I75" s="30"/>
      <c r="J75" s="67"/>
      <c r="K75" s="31">
        <v>0</v>
      </c>
      <c r="L75" s="30"/>
      <c r="M75" s="31">
        <f t="shared" si="19"/>
        <v>0</v>
      </c>
      <c r="N75" s="58">
        <f t="shared" si="20"/>
        <v>-1078.6363333333334</v>
      </c>
      <c r="O75" s="31">
        <f t="shared" si="21"/>
        <v>0</v>
      </c>
      <c r="P75" s="30"/>
      <c r="R75" s="23">
        <f t="shared" si="17"/>
        <v>0</v>
      </c>
      <c r="S75" s="23">
        <f t="shared" si="18"/>
        <v>0</v>
      </c>
    </row>
    <row r="76" spans="1:19" x14ac:dyDescent="0.25">
      <c r="A76" s="66"/>
      <c r="B76" s="7"/>
      <c r="D76" s="23">
        <f>SUM(D70:D75)</f>
        <v>23529.292833333329</v>
      </c>
      <c r="E76" s="23"/>
      <c r="F76" s="23">
        <f>SUM(F70:F75)</f>
        <v>17323.751833333332</v>
      </c>
      <c r="G76" s="25"/>
      <c r="H76" s="23">
        <f>SUM(H70:H75)</f>
        <v>6205.5410000000002</v>
      </c>
      <c r="J76" s="67"/>
      <c r="K76" s="23">
        <f>SUM(K70:K75)</f>
        <v>19784.510000000002</v>
      </c>
      <c r="M76" s="23">
        <f>SUM(M70:M75)</f>
        <v>14816.619539000001</v>
      </c>
      <c r="N76" s="59">
        <f>SUM(N70:N75)</f>
        <v>-2507.1322943333325</v>
      </c>
      <c r="O76" s="23">
        <f>SUM(O70:O75)</f>
        <v>4967.890461</v>
      </c>
      <c r="R76" s="23"/>
      <c r="S76" s="23"/>
    </row>
    <row r="77" spans="1:19" x14ac:dyDescent="0.25">
      <c r="A77" s="66"/>
      <c r="B77" s="7"/>
      <c r="D77" s="25"/>
      <c r="E77" s="23"/>
      <c r="F77" s="25"/>
      <c r="G77" s="25"/>
      <c r="H77" s="25"/>
      <c r="J77" s="67"/>
      <c r="K77" s="23">
        <f>K76-D76</f>
        <v>-3744.7828333333273</v>
      </c>
      <c r="L77" s="28"/>
      <c r="M77" s="28">
        <f>M76-F76</f>
        <v>-2507.1322943333307</v>
      </c>
      <c r="N77" s="58"/>
      <c r="O77" s="23">
        <f>O76-H76</f>
        <v>-1237.6505390000002</v>
      </c>
      <c r="P77" s="25"/>
      <c r="R77" s="23"/>
      <c r="S77" s="23"/>
    </row>
    <row r="78" spans="1:19" x14ac:dyDescent="0.25">
      <c r="A78" s="66"/>
      <c r="B78" s="7"/>
      <c r="D78" s="25"/>
      <c r="E78" s="23"/>
      <c r="F78" s="25"/>
      <c r="G78" s="25"/>
      <c r="H78" s="25"/>
      <c r="J78" s="67"/>
      <c r="K78" s="23"/>
      <c r="L78" s="28"/>
      <c r="M78" s="25"/>
      <c r="N78" s="58"/>
      <c r="O78" s="25"/>
      <c r="P78" s="25"/>
      <c r="R78" s="23"/>
      <c r="S78" s="23"/>
    </row>
    <row r="79" spans="1:19" x14ac:dyDescent="0.25">
      <c r="A79" s="66" t="s">
        <v>52</v>
      </c>
      <c r="B79" s="7" t="s">
        <v>13</v>
      </c>
      <c r="C79" s="36" t="s">
        <v>53</v>
      </c>
      <c r="D79" s="37">
        <f>SUM('[4]Paste Special WA 5yr'!D30)/12</f>
        <v>30235.661500000002</v>
      </c>
      <c r="E79" s="36"/>
      <c r="F79" s="37">
        <f>SUM('[4]Paste Special WA 5yr'!F30)/12</f>
        <v>22754.826499999999</v>
      </c>
      <c r="G79" s="36"/>
      <c r="H79" s="37">
        <f>SUM('[4]Paste Special WA 5yr'!H30)/12</f>
        <v>7480.835</v>
      </c>
      <c r="I79" s="36"/>
      <c r="J79" s="67"/>
      <c r="K79" s="37">
        <v>23192.959999999999</v>
      </c>
      <c r="L79" s="36"/>
      <c r="M79" s="37">
        <f t="shared" ref="M79" si="22">SUM(K79*$M$58)</f>
        <v>17369.207743999999</v>
      </c>
      <c r="N79" s="69">
        <f t="shared" ref="N79" si="23">M79-F79</f>
        <v>-5385.6187559999998</v>
      </c>
      <c r="O79" s="37">
        <f t="shared" ref="O79" si="24">SUM(K79*$O$58)</f>
        <v>5823.7522559999998</v>
      </c>
      <c r="P79" s="36"/>
      <c r="R79" s="23">
        <f>D79-F79-H79</f>
        <v>0</v>
      </c>
      <c r="S79" s="23">
        <f>K79-M79-O79</f>
        <v>0</v>
      </c>
    </row>
    <row r="80" spans="1:19" x14ac:dyDescent="0.25">
      <c r="A80" s="66"/>
      <c r="B80" s="7"/>
      <c r="D80" s="25"/>
      <c r="F80" s="25"/>
      <c r="G80" s="25"/>
      <c r="H80" s="25"/>
      <c r="J80" s="67"/>
      <c r="K80" s="23">
        <f>K79-D79</f>
        <v>-7042.7015000000029</v>
      </c>
      <c r="M80" s="28">
        <f>M79-F79</f>
        <v>-5385.6187559999998</v>
      </c>
      <c r="N80" s="59"/>
      <c r="O80" s="23">
        <f>O79-H79</f>
        <v>-1657.0827440000003</v>
      </c>
      <c r="Q80" s="28"/>
      <c r="R80" s="23"/>
      <c r="S80" s="23"/>
    </row>
    <row r="81" spans="1:26" x14ac:dyDescent="0.25">
      <c r="A81" s="66"/>
      <c r="B81" s="7"/>
      <c r="D81" s="25"/>
      <c r="F81" s="25"/>
      <c r="G81" s="25"/>
      <c r="H81" s="25"/>
      <c r="J81" s="67"/>
      <c r="K81" s="25"/>
      <c r="L81" s="28"/>
      <c r="M81" s="25"/>
      <c r="N81" s="59"/>
      <c r="O81" s="25"/>
      <c r="P81" s="2"/>
      <c r="Q81" s="28"/>
      <c r="R81" s="23"/>
      <c r="S81" s="23"/>
    </row>
    <row r="82" spans="1:26" x14ac:dyDescent="0.25">
      <c r="A82" s="66" t="s">
        <v>54</v>
      </c>
      <c r="B82" s="7" t="s">
        <v>13</v>
      </c>
      <c r="C82" s="40" t="s">
        <v>55</v>
      </c>
      <c r="D82" s="41">
        <f>SUM('[4]Paste Special WA 5yr'!D33)/12</f>
        <v>158545.38866666667</v>
      </c>
      <c r="E82" s="40"/>
      <c r="F82" s="41">
        <f>SUM('[4]Paste Special WA 5yr'!F33)/12</f>
        <v>117254.6565</v>
      </c>
      <c r="G82" s="40"/>
      <c r="H82" s="41">
        <f>SUM('[4]Paste Special WA 5yr'!H33)/12</f>
        <v>41290.732166666668</v>
      </c>
      <c r="I82" s="40"/>
      <c r="J82" s="67"/>
      <c r="K82" s="41">
        <v>180874.36</v>
      </c>
      <c r="L82" s="40"/>
      <c r="M82" s="41">
        <f t="shared" ref="M82" si="25">SUM(K82*$M$58)</f>
        <v>135456.808204</v>
      </c>
      <c r="N82" s="60">
        <v>-10676.73</v>
      </c>
      <c r="O82" s="41">
        <f t="shared" ref="O82" si="26">SUM(K82*$O$58)</f>
        <v>45417.551795999992</v>
      </c>
      <c r="P82" s="40"/>
      <c r="R82" s="23">
        <f>D82-F82-H82</f>
        <v>0</v>
      </c>
      <c r="S82" s="23">
        <f>K82-M82-O82</f>
        <v>0</v>
      </c>
      <c r="T82" s="43" t="s">
        <v>56</v>
      </c>
      <c r="U82" s="43"/>
      <c r="V82" s="44"/>
      <c r="W82" s="44"/>
      <c r="X82" s="44"/>
      <c r="Y82" s="44"/>
      <c r="Z82" s="44"/>
    </row>
    <row r="83" spans="1:26" x14ac:dyDescent="0.25">
      <c r="A83" s="66"/>
      <c r="B83" s="7"/>
      <c r="D83" s="25"/>
      <c r="E83" s="23"/>
      <c r="F83" s="25"/>
      <c r="G83" s="25"/>
      <c r="H83" s="25"/>
      <c r="J83" s="8"/>
      <c r="K83" s="23">
        <f>K82-D82</f>
        <v>22328.97133333332</v>
      </c>
      <c r="M83" s="23">
        <f>M82-F82</f>
        <v>18202.151704000004</v>
      </c>
      <c r="N83" s="59"/>
      <c r="O83" s="28">
        <f>O82-H82</f>
        <v>4126.819629333324</v>
      </c>
      <c r="Q83" s="28"/>
      <c r="R83" s="23"/>
      <c r="S83" s="23"/>
      <c r="T83" s="44" t="s">
        <v>57</v>
      </c>
      <c r="U83" s="44"/>
      <c r="V83" s="44"/>
    </row>
    <row r="84" spans="1:26" x14ac:dyDescent="0.25">
      <c r="A84" s="66"/>
      <c r="B84" s="7"/>
      <c r="D84" s="25"/>
      <c r="E84" s="23"/>
      <c r="F84" s="25"/>
      <c r="G84" s="25"/>
      <c r="H84" s="25"/>
      <c r="J84" s="8"/>
      <c r="K84" s="70"/>
      <c r="L84" s="28"/>
      <c r="M84" s="25"/>
      <c r="N84" s="59"/>
      <c r="O84" s="25"/>
      <c r="P84" s="2"/>
      <c r="Q84" s="28"/>
      <c r="R84" s="23"/>
      <c r="S84" s="23"/>
    </row>
    <row r="85" spans="1:26" x14ac:dyDescent="0.25">
      <c r="A85" s="66" t="s">
        <v>58</v>
      </c>
      <c r="B85" s="7" t="s">
        <v>13</v>
      </c>
      <c r="C85" s="47" t="s">
        <v>59</v>
      </c>
      <c r="D85" s="48">
        <f>SUM('[4]Paste Special WA 5yr'!D36)/12</f>
        <v>21244.650333333335</v>
      </c>
      <c r="E85" s="48"/>
      <c r="F85" s="48">
        <f>SUM('[4]Paste Special WA 5yr'!F36)/12</f>
        <v>16000.9475</v>
      </c>
      <c r="G85" s="48"/>
      <c r="H85" s="48">
        <f>SUM('[4]Paste Special WA 5yr'!H36)/12</f>
        <v>5243.7028333333328</v>
      </c>
      <c r="I85" s="47"/>
      <c r="J85" s="8"/>
      <c r="K85" s="48">
        <v>15294.94</v>
      </c>
      <c r="L85" s="47"/>
      <c r="M85" s="48">
        <f t="shared" ref="M85" si="27">SUM(K85*$M$58)</f>
        <v>11454.380566</v>
      </c>
      <c r="N85" s="69">
        <f t="shared" ref="N85" si="28">M85-F85</f>
        <v>-4546.5669340000004</v>
      </c>
      <c r="O85" s="48">
        <f t="shared" ref="O85" si="29">SUM(K85*$O$58)</f>
        <v>3840.5594339999998</v>
      </c>
      <c r="P85" s="47"/>
      <c r="R85" s="23">
        <f>D85-F85-H85</f>
        <v>0</v>
      </c>
      <c r="S85" s="23">
        <f t="shared" ref="S85" si="30">K85-M85-O85</f>
        <v>0</v>
      </c>
    </row>
    <row r="86" spans="1:26" x14ac:dyDescent="0.25">
      <c r="A86" s="66"/>
      <c r="B86" s="7"/>
      <c r="D86" s="2"/>
      <c r="F86" s="2"/>
      <c r="G86" s="25"/>
      <c r="H86" s="2"/>
      <c r="K86" s="23">
        <f>K85-D85</f>
        <v>-5949.7103333333343</v>
      </c>
      <c r="M86" s="28">
        <f>M85-F85</f>
        <v>-4546.5669340000004</v>
      </c>
      <c r="N86" s="59"/>
      <c r="O86" s="28">
        <f>O85-H85</f>
        <v>-1403.143399333333</v>
      </c>
      <c r="Q86" s="28"/>
      <c r="R86" s="23"/>
      <c r="S86" s="23"/>
    </row>
    <row r="87" spans="1:26" x14ac:dyDescent="0.25">
      <c r="H87" s="5" t="s">
        <v>60</v>
      </c>
      <c r="K87" s="50"/>
      <c r="N87" s="59">
        <f>-K87*M58</f>
        <v>0</v>
      </c>
    </row>
    <row r="88" spans="1:26" ht="18.75" x14ac:dyDescent="0.3">
      <c r="F88" s="160" t="s">
        <v>132</v>
      </c>
      <c r="N88" s="51">
        <f>N66+N76+N79+N82+N85+N87</f>
        <v>-55392.340349999999</v>
      </c>
    </row>
  </sheetData>
  <mergeCells count="3">
    <mergeCell ref="K13:N13"/>
    <mergeCell ref="D57:F58"/>
    <mergeCell ref="K57:O57"/>
  </mergeCells>
  <pageMargins left="0.7" right="0.7" top="0.75" bottom="0.75" header="0.3" footer="0.3"/>
  <pageSetup scale="50" orientation="portrait" r:id="rId1"/>
  <colBreaks count="1" manualBreakCount="1">
    <brk id="21" min="1" max="8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2:Y32"/>
  <sheetViews>
    <sheetView showGridLines="0" zoomScale="115" zoomScaleNormal="115" zoomScaleSheetLayoutView="145" workbookViewId="0">
      <selection activeCell="N24" sqref="N23:N24"/>
    </sheetView>
  </sheetViews>
  <sheetFormatPr defaultRowHeight="15" outlineLevelCol="1" x14ac:dyDescent="0.25"/>
  <cols>
    <col min="1" max="1" width="1.625" style="5" customWidth="1"/>
    <col min="2" max="2" width="8.125" style="5" customWidth="1" outlineLevel="1"/>
    <col min="3" max="3" width="11.375" style="5" bestFit="1" customWidth="1" outlineLevel="1"/>
    <col min="4" max="4" width="8.375" style="5" customWidth="1" outlineLevel="1"/>
    <col min="5" max="5" width="8.875" style="5" hidden="1" customWidth="1" outlineLevel="1"/>
    <col min="6" max="6" width="8.375" style="5" hidden="1" customWidth="1" outlineLevel="1"/>
    <col min="7" max="7" width="8.75" style="5" hidden="1" customWidth="1" outlineLevel="1"/>
    <col min="8" max="8" width="12.5" style="5" bestFit="1" customWidth="1"/>
    <col min="9" max="9" width="9.25" style="5" hidden="1" customWidth="1"/>
    <col min="10" max="21" width="10.375" style="5" bestFit="1" customWidth="1"/>
    <col min="22" max="22" width="1.875" style="5" hidden="1" customWidth="1"/>
    <col min="23" max="23" width="11" style="5" bestFit="1" customWidth="1"/>
    <col min="24" max="24" width="10.875" style="5" bestFit="1" customWidth="1"/>
    <col min="25" max="25" width="11.375" style="5" bestFit="1" customWidth="1"/>
    <col min="26" max="26" width="1.25" style="5" customWidth="1"/>
    <col min="27" max="16384" width="9" style="5"/>
  </cols>
  <sheetData>
    <row r="2" spans="2:25" x14ac:dyDescent="0.25">
      <c r="B2" s="278" t="s">
        <v>70</v>
      </c>
      <c r="C2" s="278"/>
      <c r="H2" s="5" t="s">
        <v>0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W2" s="4" t="s">
        <v>1</v>
      </c>
    </row>
    <row r="3" spans="2:25" x14ac:dyDescent="0.25">
      <c r="B3" s="5" t="s">
        <v>19</v>
      </c>
      <c r="C3" s="5">
        <v>0.75049999999999994</v>
      </c>
      <c r="H3" s="5" t="s">
        <v>0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2</v>
      </c>
      <c r="N3" s="4" t="s">
        <v>2</v>
      </c>
      <c r="O3" s="4" t="s">
        <v>2</v>
      </c>
      <c r="P3" s="4" t="s">
        <v>2</v>
      </c>
      <c r="Q3" s="4" t="s">
        <v>2</v>
      </c>
      <c r="R3" s="4" t="s">
        <v>2</v>
      </c>
      <c r="S3" s="4" t="s">
        <v>2</v>
      </c>
      <c r="T3" s="4" t="s">
        <v>2</v>
      </c>
      <c r="U3" s="4" t="s">
        <v>2</v>
      </c>
      <c r="W3" s="4" t="s">
        <v>2</v>
      </c>
    </row>
    <row r="4" spans="2:25" x14ac:dyDescent="0.25">
      <c r="B4" s="5" t="s">
        <v>20</v>
      </c>
      <c r="C4" s="5">
        <v>0.2495</v>
      </c>
      <c r="H4" s="5" t="s">
        <v>0</v>
      </c>
      <c r="I4" s="4" t="s">
        <v>3</v>
      </c>
      <c r="J4" s="4" t="s">
        <v>3</v>
      </c>
      <c r="K4" s="4" t="s">
        <v>3</v>
      </c>
      <c r="L4" s="4" t="s">
        <v>3</v>
      </c>
      <c r="M4" s="4" t="s">
        <v>3</v>
      </c>
      <c r="N4" s="4" t="s">
        <v>3</v>
      </c>
      <c r="O4" s="4" t="s">
        <v>3</v>
      </c>
      <c r="P4" s="4" t="s">
        <v>3</v>
      </c>
      <c r="Q4" s="4" t="s">
        <v>3</v>
      </c>
      <c r="R4" s="4" t="s">
        <v>3</v>
      </c>
      <c r="S4" s="4" t="s">
        <v>3</v>
      </c>
      <c r="T4" s="4" t="s">
        <v>3</v>
      </c>
      <c r="U4" s="4" t="s">
        <v>3</v>
      </c>
      <c r="W4" s="4" t="s">
        <v>3</v>
      </c>
    </row>
    <row r="5" spans="2:25" x14ac:dyDescent="0.25">
      <c r="B5" s="278" t="s">
        <v>71</v>
      </c>
      <c r="C5" s="278"/>
      <c r="H5" s="5" t="s">
        <v>4</v>
      </c>
      <c r="I5" s="4">
        <v>2021</v>
      </c>
      <c r="J5" s="4">
        <v>2020</v>
      </c>
      <c r="K5" s="4">
        <v>2020</v>
      </c>
      <c r="L5" s="4">
        <v>2020</v>
      </c>
      <c r="M5" s="4">
        <v>2020</v>
      </c>
      <c r="N5" s="4">
        <v>2020</v>
      </c>
      <c r="O5" s="4">
        <v>2020</v>
      </c>
      <c r="P5" s="4">
        <v>2020</v>
      </c>
      <c r="Q5" s="4">
        <v>2020</v>
      </c>
      <c r="R5" s="4">
        <v>2020</v>
      </c>
      <c r="S5" s="4">
        <v>2020</v>
      </c>
      <c r="T5" s="4">
        <v>2020</v>
      </c>
      <c r="U5" s="4">
        <v>2020</v>
      </c>
      <c r="W5" s="4">
        <v>2020</v>
      </c>
    </row>
    <row r="6" spans="2:25" x14ac:dyDescent="0.25">
      <c r="B6" s="5" t="s">
        <v>19</v>
      </c>
      <c r="C6" s="5">
        <v>0.74890000000000001</v>
      </c>
      <c r="H6" s="5" t="s">
        <v>5</v>
      </c>
      <c r="I6" s="4" t="s">
        <v>6</v>
      </c>
      <c r="J6" s="4" t="s">
        <v>6</v>
      </c>
      <c r="K6" s="4" t="s">
        <v>6</v>
      </c>
      <c r="L6" s="4" t="s">
        <v>6</v>
      </c>
      <c r="M6" s="4" t="s">
        <v>6</v>
      </c>
      <c r="N6" s="4" t="s">
        <v>6</v>
      </c>
      <c r="O6" s="4" t="s">
        <v>6</v>
      </c>
      <c r="P6" s="4" t="s">
        <v>6</v>
      </c>
      <c r="Q6" s="4" t="s">
        <v>6</v>
      </c>
      <c r="R6" s="4" t="s">
        <v>6</v>
      </c>
      <c r="S6" s="4" t="s">
        <v>6</v>
      </c>
      <c r="T6" s="4" t="s">
        <v>6</v>
      </c>
      <c r="U6" s="4" t="s">
        <v>6</v>
      </c>
      <c r="W6" s="4" t="s">
        <v>72</v>
      </c>
    </row>
    <row r="7" spans="2:25" x14ac:dyDescent="0.25">
      <c r="B7" s="5" t="s">
        <v>20</v>
      </c>
      <c r="C7" s="5">
        <v>0.25109999999999999</v>
      </c>
      <c r="H7" s="5" t="s">
        <v>7</v>
      </c>
      <c r="I7" s="4">
        <v>12</v>
      </c>
      <c r="J7" s="4">
        <v>1</v>
      </c>
      <c r="K7" s="4">
        <v>2</v>
      </c>
      <c r="L7" s="4">
        <v>3</v>
      </c>
      <c r="M7" s="4">
        <v>4</v>
      </c>
      <c r="N7" s="4">
        <v>5</v>
      </c>
      <c r="O7" s="4">
        <v>6</v>
      </c>
      <c r="P7" s="4">
        <v>7</v>
      </c>
      <c r="Q7" s="4">
        <v>8</v>
      </c>
      <c r="R7" s="4">
        <v>9</v>
      </c>
      <c r="S7" s="4">
        <v>10</v>
      </c>
      <c r="T7" s="4">
        <v>11</v>
      </c>
      <c r="U7" s="4">
        <v>12</v>
      </c>
      <c r="W7" s="4">
        <v>12</v>
      </c>
    </row>
    <row r="8" spans="2:25" x14ac:dyDescent="0.25">
      <c r="H8" s="5" t="s">
        <v>8</v>
      </c>
      <c r="I8" s="4" t="s">
        <v>9</v>
      </c>
      <c r="J8" s="4" t="s">
        <v>9</v>
      </c>
      <c r="K8" s="4" t="s">
        <v>9</v>
      </c>
      <c r="L8" s="4" t="s">
        <v>9</v>
      </c>
      <c r="M8" s="4" t="s">
        <v>9</v>
      </c>
      <c r="N8" s="4" t="s">
        <v>9</v>
      </c>
      <c r="O8" s="4" t="s">
        <v>9</v>
      </c>
      <c r="P8" s="4" t="s">
        <v>9</v>
      </c>
      <c r="Q8" s="4" t="s">
        <v>9</v>
      </c>
      <c r="R8" s="4" t="s">
        <v>9</v>
      </c>
      <c r="S8" s="4" t="s">
        <v>9</v>
      </c>
      <c r="T8" s="4" t="s">
        <v>9</v>
      </c>
      <c r="U8" s="4" t="s">
        <v>9</v>
      </c>
      <c r="W8" s="4" t="s">
        <v>9</v>
      </c>
    </row>
    <row r="10" spans="2:25" ht="15" customHeight="1" x14ac:dyDescent="0.25">
      <c r="C10" s="279" t="s">
        <v>10</v>
      </c>
      <c r="F10" s="279" t="s">
        <v>73</v>
      </c>
    </row>
    <row r="11" spans="2:25" x14ac:dyDescent="0.25">
      <c r="B11" s="5" t="s">
        <v>11</v>
      </c>
      <c r="C11" s="279"/>
      <c r="D11" s="4" t="s">
        <v>74</v>
      </c>
      <c r="E11" s="5" t="s">
        <v>75</v>
      </c>
      <c r="F11" s="279"/>
      <c r="G11" s="5" t="s">
        <v>76</v>
      </c>
    </row>
    <row r="12" spans="2:25" x14ac:dyDescent="0.25">
      <c r="B12" s="78" t="s">
        <v>12</v>
      </c>
      <c r="C12" s="62" t="s">
        <v>77</v>
      </c>
      <c r="D12" s="62" t="s">
        <v>78</v>
      </c>
      <c r="E12" s="62" t="s">
        <v>13</v>
      </c>
      <c r="F12" s="78"/>
      <c r="G12" s="7"/>
      <c r="H12" s="5" t="s">
        <v>14</v>
      </c>
      <c r="I12" s="79" t="e">
        <f ca="1">_xll.GXL(1,I$2,"Currency="&amp;I$8&amp;";"&amp;"WEEKLY=FALSE",I$5,I$6,I$7,$B12,$C12,$D12,$E12,$F12,$G12)</f>
        <v>#NAME?</v>
      </c>
      <c r="J12" s="79" t="e">
        <f ca="1">_xll.GXL(1,J$2,"Currency="&amp;J$8&amp;";"&amp;"WEEKLY=FALSE",J$5,J$6,J$7,$B12,$C12,$D12,$E12,$F12,$G12)</f>
        <v>#NAME?</v>
      </c>
      <c r="K12" s="79" t="e">
        <f ca="1">_xll.GXL(1,K$2,"Currency="&amp;K$8&amp;";"&amp;"WEEKLY=FALSE",K$5,K$6,K$7,$B12,$C12,$D12,$E12,$F12,$G12)</f>
        <v>#NAME?</v>
      </c>
      <c r="L12" s="79" t="e">
        <f ca="1">_xll.GXL(1,L$2,"Currency="&amp;L$8&amp;";"&amp;"WEEKLY=FALSE",L$5,L$6,L$7,$B12,$C12,$D12,$E12,$F12,$G12)</f>
        <v>#NAME?</v>
      </c>
      <c r="M12" s="79" t="e">
        <f ca="1">_xll.GXL(1,M$2,"Currency="&amp;M$8&amp;";"&amp;"WEEKLY=FALSE",M$5,M$6,M$7,$B12,$C12,$D12,$E12,$F12,$G12)</f>
        <v>#NAME?</v>
      </c>
      <c r="N12" s="79" t="e">
        <f ca="1">_xll.GXL(1,N$2,"Currency="&amp;N$8&amp;";"&amp;"WEEKLY=FALSE",N$5,N$6,N$7,$B12,$C12,$D12,$E12,$F12,$G12)</f>
        <v>#NAME?</v>
      </c>
      <c r="O12" s="79" t="e">
        <f ca="1">_xll.GXL(1,O$2,"Currency="&amp;O$8&amp;";"&amp;"WEEKLY=FALSE",O$5,O$6,O$7,$B12,$C12,$D12,$E12,$F12,$G12)</f>
        <v>#NAME?</v>
      </c>
      <c r="P12" s="79" t="e">
        <f ca="1">_xll.GXL(1,P$2,"Currency="&amp;P$8&amp;";"&amp;"WEEKLY=FALSE",P$5,P$6,P$7,$B12,$C12,$D12,$E12,$F12,$G12)</f>
        <v>#NAME?</v>
      </c>
      <c r="Q12" s="79" t="e">
        <f ca="1">_xll.GXL(1,Q$2,"Currency="&amp;Q$8&amp;";"&amp;"WEEKLY=FALSE",Q$5,Q$6,Q$7,$B12,$C12,$D12,$E12,$F12,$G12)</f>
        <v>#NAME?</v>
      </c>
      <c r="R12" s="79" t="e">
        <f ca="1">_xll.GXL(1,R$2,"Currency="&amp;R$8&amp;";"&amp;"WEEKLY=FALSE",R$5,R$6,R$7,$B12,$C12,$D12,$E12,$F12,$G12)</f>
        <v>#NAME?</v>
      </c>
      <c r="S12" s="79" t="e">
        <f ca="1">_xll.GXL(1,S$2,"Currency="&amp;S$8&amp;";"&amp;"WEEKLY=FALSE",S$5,S$6,S$7,$B12,$C12,$D12,$E12,$F12,$G12)</f>
        <v>#NAME?</v>
      </c>
      <c r="T12" s="79" t="e">
        <f ca="1">_xll.GXL(1,T$2,"Currency="&amp;T$8&amp;";"&amp;"WEEKLY=FALSE",T$5,T$6,T$7,$B12,$C12,$D12,$E12,$F12,$G12)</f>
        <v>#NAME?</v>
      </c>
      <c r="U12" s="79" t="e">
        <f ca="1">_xll.GXL(1,U$2,"Currency="&amp;U$8&amp;";"&amp;"WEEKLY=FALSE",U$5,U$6,U$7,$B12,$C12,$D12,$E12,$F12,$G12)</f>
        <v>#NAME?</v>
      </c>
      <c r="W12" s="79" t="e">
        <f ca="1">_xll.GXL(1,W$2,"Currency="&amp;W$8&amp;";"&amp;"WEEKLY=FALSE",W$5,W$6,W$7,$B12,$C12,$D12,$E12,$F12,$G12)</f>
        <v>#NAME?</v>
      </c>
      <c r="Y12" s="79"/>
    </row>
    <row r="13" spans="2:25" hidden="1" x14ac:dyDescent="0.25">
      <c r="B13" s="78"/>
      <c r="C13" s="62"/>
      <c r="D13" s="62"/>
      <c r="E13" s="62"/>
      <c r="F13" s="78"/>
      <c r="G13" s="7"/>
      <c r="H13" s="80" t="s">
        <v>15</v>
      </c>
      <c r="I13" s="81" t="e">
        <f ca="1">_xll.GXL(1,I$3,"Currency="&amp;I$8&amp;";"&amp;"WEEKLY=FALSE",I$5,I$6,I$7,$B13,$C13,$D13,$E13,$F13,$G13)</f>
        <v>#NAME?</v>
      </c>
      <c r="J13" s="81" t="e">
        <f ca="1">_xll.GXL(1,J$3,"Currency="&amp;J$8&amp;";"&amp;"WEEKLY=FALSE",J$5,J$6,J$7,$B13,$C13,$D13,$E13,$F13,$G13)</f>
        <v>#NAME?</v>
      </c>
      <c r="K13" s="81" t="e">
        <f ca="1">_xll.GXL(1,K$3,"Currency="&amp;K$8&amp;";"&amp;"WEEKLY=FALSE",K$5,K$6,K$7,$B13,$C13,$D13,$E13,$F13,$G13)</f>
        <v>#NAME?</v>
      </c>
      <c r="L13" s="81" t="e">
        <f ca="1">_xll.GXL(1,L$3,"Currency="&amp;L$8&amp;";"&amp;"WEEKLY=FALSE",L$5,L$6,L$7,$B13,$C13,$D13,$E13,$F13,$G13)</f>
        <v>#NAME?</v>
      </c>
      <c r="M13" s="81" t="e">
        <f ca="1">_xll.GXL(1,M$3,"Currency="&amp;M$8&amp;";"&amp;"WEEKLY=FALSE",M$5,M$6,M$7,$B13,$C13,$D13,$E13,$F13,$G13)</f>
        <v>#NAME?</v>
      </c>
      <c r="N13" s="81" t="e">
        <f ca="1">_xll.GXL(1,N$3,"Currency="&amp;N$8&amp;";"&amp;"WEEKLY=FALSE",N$5,N$6,N$7,$B13,$C13,$D13,$E13,$F13,$G13)</f>
        <v>#NAME?</v>
      </c>
      <c r="O13" s="81" t="e">
        <f ca="1">_xll.GXL(1,O$3,"Currency="&amp;O$8&amp;";"&amp;"WEEKLY=FALSE",O$5,O$6,O$7,$B13,$C13,$D13,$E13,$F13,$G13)</f>
        <v>#NAME?</v>
      </c>
      <c r="P13" s="81" t="e">
        <f ca="1">_xll.GXL(1,P$3,"Currency="&amp;P$8&amp;";"&amp;"WEEKLY=FALSE",P$5,P$6,P$7,$B13,$C13,$D13,$E13,$F13,$G13)</f>
        <v>#NAME?</v>
      </c>
      <c r="Q13" s="81" t="e">
        <f ca="1">_xll.GXL(1,Q$3,"Currency="&amp;Q$8&amp;";"&amp;"WEEKLY=FALSE",Q$5,Q$6,Q$7,$B13,$C13,$D13,$E13,$F13,$G13)</f>
        <v>#NAME?</v>
      </c>
      <c r="R13" s="81" t="e">
        <f ca="1">_xll.GXL(1,R$3,"Currency="&amp;R$8&amp;";"&amp;"WEEKLY=FALSE",R$5,R$6,R$7,$B13,$C13,$D13,$E13,$F13,$G13)</f>
        <v>#NAME?</v>
      </c>
      <c r="S13" s="81" t="e">
        <f ca="1">_xll.GXL(1,S$3,"Currency="&amp;S$8&amp;";"&amp;"WEEKLY=FALSE",S$5,S$6,S$7,$B13,$C13,$D13,$E13,$F13,$G13)</f>
        <v>#NAME?</v>
      </c>
      <c r="T13" s="81" t="e">
        <f ca="1">_xll.GXL(1,T$3,"Currency="&amp;T$8&amp;";"&amp;"WEEKLY=FALSE",T$5,T$6,T$7,$B13,$C13,$D13,$E13,$F13,$G13)</f>
        <v>#NAME?</v>
      </c>
      <c r="U13" s="81" t="e">
        <f ca="1">_xll.GXL(1,U$3,"Currency="&amp;U$8&amp;";"&amp;"WEEKLY=FALSE",U$5,U$6,U$7,$B13,$C13,$D13,$E13,$F13,$G13)</f>
        <v>#NAME?</v>
      </c>
      <c r="V13" s="80"/>
      <c r="W13" s="81" t="e">
        <f ca="1">_xll.GXL(1,W$3,"Currency="&amp;W$8&amp;";"&amp;"WEEKLY=FALSE",W$5,W$6,W$7,$B13,$C13,$D13,$E13,$F13,$G13)</f>
        <v>#NAME?</v>
      </c>
      <c r="Y13" s="79" t="e">
        <f ca="1">SUM(L13:U13)-W13</f>
        <v>#NAME?</v>
      </c>
    </row>
    <row r="14" spans="2:25" hidden="1" x14ac:dyDescent="0.25">
      <c r="B14" s="78" t="s">
        <v>12</v>
      </c>
      <c r="C14" s="62" t="s">
        <v>13</v>
      </c>
      <c r="D14" s="62" t="s">
        <v>13</v>
      </c>
      <c r="E14" s="62" t="s">
        <v>13</v>
      </c>
      <c r="F14" s="78" t="s">
        <v>79</v>
      </c>
      <c r="G14" s="7" t="s">
        <v>80</v>
      </c>
      <c r="H14" s="34" t="s">
        <v>16</v>
      </c>
      <c r="I14" s="82" t="e">
        <f ca="1">_xll.GXL(1,I$4,"Currency="&amp;I$8&amp;";"&amp;"WEEKLY=FALSE",I$5,I$6,I$7,$B14,$C14,$D14,$E14,$F14,$G14)</f>
        <v>#NAME?</v>
      </c>
      <c r="J14" s="82" t="e">
        <f ca="1">_xll.GXL(1,J$4,"Currency="&amp;J$8&amp;";"&amp;"WEEKLY=FALSE",J$5,J$6,J$7,$B14,$C14,$D14,$E14,$F14,$G14)</f>
        <v>#NAME?</v>
      </c>
      <c r="K14" s="82" t="e">
        <f ca="1">_xll.GXL(1,K$4,"Currency="&amp;K$8&amp;";"&amp;"WEEKLY=FALSE",K$5,K$6,K$7,$B14,$C14,$D14,$E14,$F14,$G14)</f>
        <v>#NAME?</v>
      </c>
      <c r="L14" s="82" t="e">
        <f ca="1">_xll.GXL(1,L$4,"Currency="&amp;L$8&amp;";"&amp;"WEEKLY=FALSE",L$5,L$6,L$7,$B14,$C14,$D14,$E14,$F14,$G14)</f>
        <v>#NAME?</v>
      </c>
      <c r="M14" s="82" t="e">
        <f ca="1">_xll.GXL(1,M$4,"Currency="&amp;M$8&amp;";"&amp;"WEEKLY=FALSE",M$5,M$6,M$7,$B14,$C14,$D14,$E14,$F14,$G14)</f>
        <v>#NAME?</v>
      </c>
      <c r="N14" s="82" t="e">
        <f ca="1">_xll.GXL(1,N$4,"Currency="&amp;N$8&amp;";"&amp;"WEEKLY=FALSE",N$5,N$6,N$7,$B14,$C14,$D14,$E14,$F14,$G14)</f>
        <v>#NAME?</v>
      </c>
      <c r="O14" s="82" t="e">
        <f ca="1">_xll.GXL(1,O$4,"Currency="&amp;O$8&amp;";"&amp;"WEEKLY=FALSE",O$5,O$6,O$7,$B14,$C14,$D14,$E14,$F14,$G14)</f>
        <v>#NAME?</v>
      </c>
      <c r="P14" s="82" t="e">
        <f ca="1">_xll.GXL(1,P$4,"Currency="&amp;P$8&amp;";"&amp;"WEEKLY=FALSE",P$5,P$6,P$7,$B14,$C14,$D14,$E14,$F14,$G14)</f>
        <v>#NAME?</v>
      </c>
      <c r="Q14" s="82" t="e">
        <f ca="1">_xll.GXL(1,Q$4,"Currency="&amp;Q$8&amp;";"&amp;"WEEKLY=FALSE",Q$5,Q$6,Q$7,$B14,$C14,$D14,$E14,$F14,$G14)</f>
        <v>#NAME?</v>
      </c>
      <c r="R14" s="82" t="e">
        <f ca="1">_xll.GXL(1,R$4,"Currency="&amp;R$8&amp;";"&amp;"WEEKLY=FALSE",R$5,R$6,R$7,$B14,$C14,$D14,$E14,$F14,$G14)</f>
        <v>#NAME?</v>
      </c>
      <c r="S14" s="82" t="e">
        <f ca="1">_xll.GXL(1,S$4,"Currency="&amp;S$8&amp;";"&amp;"WEEKLY=FALSE",S$5,S$6,S$7,$B14,$C14,$D14,$E14,$F14,$G14)</f>
        <v>#NAME?</v>
      </c>
      <c r="T14" s="82" t="e">
        <f ca="1">_xll.GXL(1,T$4,"Currency="&amp;T$8&amp;";"&amp;"WEEKLY=FALSE",T$5,T$6,T$7,$B14,$C14,$D14,$E14,$F14,$G14)</f>
        <v>#NAME?</v>
      </c>
      <c r="U14" s="82" t="e">
        <f ca="1">_xll.GXL(1,U$4,"Currency="&amp;U$8&amp;";"&amp;"WEEKLY=FALSE",U$5,U$6,U$7,$B14,$C14,$D14,$E14,$F14,$G14)</f>
        <v>#NAME?</v>
      </c>
      <c r="V14" s="34"/>
      <c r="W14" s="82" t="e">
        <f ca="1">_xll.GXL(1,W$4,"Currency="&amp;W$8&amp;";"&amp;"WEEKLY=FALSE",W$5,W$6,W$7,$B14,$C14,$D14,$E14,$F14,$G14)</f>
        <v>#NAME?</v>
      </c>
      <c r="Y14" s="79" t="e">
        <f ca="1">SUM(L14:U14)-W14</f>
        <v>#NAME?</v>
      </c>
    </row>
    <row r="15" spans="2:25" ht="15.75" x14ac:dyDescent="0.25">
      <c r="H15" s="280" t="s">
        <v>122</v>
      </c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</row>
    <row r="17" spans="8:25" ht="18" x14ac:dyDescent="0.25">
      <c r="H17" s="74"/>
      <c r="I17" s="74"/>
      <c r="J17" s="74"/>
      <c r="K17" s="74"/>
      <c r="L17" s="74"/>
      <c r="M17" s="74"/>
      <c r="N17" s="281">
        <v>4767000</v>
      </c>
      <c r="O17" s="281"/>
      <c r="P17" s="281"/>
      <c r="Q17" s="74"/>
      <c r="R17" s="74"/>
      <c r="S17" s="74"/>
      <c r="T17" s="74"/>
      <c r="U17" s="74"/>
    </row>
    <row r="18" spans="8:25" ht="18" x14ac:dyDescent="0.25">
      <c r="H18" s="277" t="s">
        <v>139</v>
      </c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</row>
    <row r="19" spans="8:25" ht="15.75" thickBot="1" x14ac:dyDescent="0.3">
      <c r="V19" s="79"/>
      <c r="W19" s="79"/>
      <c r="X19" s="4" t="s">
        <v>123</v>
      </c>
      <c r="Y19" s="150" t="s">
        <v>128</v>
      </c>
    </row>
    <row r="20" spans="8:25" x14ac:dyDescent="0.25">
      <c r="H20" s="74"/>
      <c r="I20" s="88"/>
      <c r="J20" s="89">
        <v>43831</v>
      </c>
      <c r="K20" s="89">
        <v>43862</v>
      </c>
      <c r="L20" s="89">
        <v>43891</v>
      </c>
      <c r="M20" s="89">
        <v>43922</v>
      </c>
      <c r="N20" s="90">
        <f>+M20+30</f>
        <v>43952</v>
      </c>
      <c r="O20" s="90">
        <f>+N20+31</f>
        <v>43983</v>
      </c>
      <c r="P20" s="90">
        <f>+O20+30</f>
        <v>44013</v>
      </c>
      <c r="Q20" s="90">
        <f>+P20+31</f>
        <v>44044</v>
      </c>
      <c r="R20" s="90">
        <f>+Q20+31</f>
        <v>44075</v>
      </c>
      <c r="S20" s="90">
        <f>+R20+31</f>
        <v>44106</v>
      </c>
      <c r="T20" s="90">
        <f>+S20+31</f>
        <v>44137</v>
      </c>
      <c r="U20" s="90">
        <f>+T20+31</f>
        <v>44168</v>
      </c>
      <c r="V20" s="90"/>
      <c r="W20" s="91">
        <v>2020</v>
      </c>
      <c r="X20" s="129">
        <v>2021</v>
      </c>
      <c r="Y20" s="130" t="s">
        <v>68</v>
      </c>
    </row>
    <row r="21" spans="8:25" x14ac:dyDescent="0.25">
      <c r="H21" s="85" t="s">
        <v>15</v>
      </c>
      <c r="I21" s="86"/>
      <c r="J21" s="86"/>
      <c r="K21" s="86"/>
      <c r="L21" s="86"/>
      <c r="M21" s="86"/>
      <c r="N21" s="86">
        <f>+N23*$C$3</f>
        <v>21082.730790000001</v>
      </c>
      <c r="O21" s="86">
        <f t="shared" ref="O21:U21" si="0">+O23*$C$3</f>
        <v>23751.83901</v>
      </c>
      <c r="P21" s="86">
        <f t="shared" si="0"/>
        <v>25002.074444999998</v>
      </c>
      <c r="Q21" s="86">
        <f t="shared" si="0"/>
        <v>23737.384379999996</v>
      </c>
      <c r="R21" s="86">
        <f t="shared" si="0"/>
        <v>24156.351004999997</v>
      </c>
      <c r="S21" s="86">
        <f t="shared" si="0"/>
        <v>24518.227094999998</v>
      </c>
      <c r="T21" s="86">
        <f t="shared" si="0"/>
        <v>27741.106749999999</v>
      </c>
      <c r="U21" s="86">
        <f t="shared" si="0"/>
        <v>25299.512604999996</v>
      </c>
      <c r="V21" s="74"/>
      <c r="W21" s="92">
        <f>SUM(J21:U21)</f>
        <v>195289.22608000002</v>
      </c>
      <c r="X21" s="92">
        <f>SUM(J26:N26)</f>
        <v>119199.207708</v>
      </c>
      <c r="Y21" s="126">
        <f>+W21+X21</f>
        <v>314488.43378800002</v>
      </c>
    </row>
    <row r="22" spans="8:25" x14ac:dyDescent="0.25">
      <c r="H22" s="75" t="s">
        <v>16</v>
      </c>
      <c r="I22" s="87"/>
      <c r="J22" s="87"/>
      <c r="K22" s="87"/>
      <c r="L22" s="87">
        <v>8682.7846300000001</v>
      </c>
      <c r="M22" s="87">
        <v>7789.0905999999995</v>
      </c>
      <c r="N22" s="87">
        <f t="shared" ref="N22:U22" si="1">+N23*$C$4</f>
        <v>7008.8492100000003</v>
      </c>
      <c r="O22" s="87">
        <f t="shared" si="1"/>
        <v>7896.1809899999998</v>
      </c>
      <c r="P22" s="87">
        <f t="shared" si="1"/>
        <v>8311.8155549999992</v>
      </c>
      <c r="Q22" s="87">
        <f t="shared" si="1"/>
        <v>7891.3756199999998</v>
      </c>
      <c r="R22" s="87">
        <f t="shared" si="1"/>
        <v>8030.6589949999998</v>
      </c>
      <c r="S22" s="87">
        <f t="shared" si="1"/>
        <v>8150.9629049999994</v>
      </c>
      <c r="T22" s="87">
        <f t="shared" si="1"/>
        <v>9222.3932499999992</v>
      </c>
      <c r="U22" s="87">
        <f t="shared" si="1"/>
        <v>8410.6973949999992</v>
      </c>
      <c r="V22" s="74"/>
      <c r="W22" s="92">
        <f>SUM(J22:U22)</f>
        <v>81394.809149999986</v>
      </c>
      <c r="X22" s="92">
        <f>SUM(J27:N27)</f>
        <v>39966.512291999999</v>
      </c>
      <c r="Y22" s="127">
        <f>+W22+X22</f>
        <v>121361.32144199999</v>
      </c>
    </row>
    <row r="23" spans="8:25" ht="15.75" thickBot="1" x14ac:dyDescent="0.3">
      <c r="H23" s="74" t="s">
        <v>14</v>
      </c>
      <c r="I23" s="88"/>
      <c r="J23" s="88"/>
      <c r="K23" s="88"/>
      <c r="L23" s="88">
        <f>+L22</f>
        <v>8682.7846300000001</v>
      </c>
      <c r="M23" s="88">
        <f>+M22</f>
        <v>7789.0905999999995</v>
      </c>
      <c r="N23" s="88">
        <v>28091.58</v>
      </c>
      <c r="O23" s="88">
        <v>31648.02</v>
      </c>
      <c r="P23" s="88">
        <v>33313.89</v>
      </c>
      <c r="Q23" s="88">
        <v>31628.76</v>
      </c>
      <c r="R23" s="88">
        <v>32187.01</v>
      </c>
      <c r="S23" s="88">
        <v>32669.19</v>
      </c>
      <c r="T23" s="88">
        <v>36963.5</v>
      </c>
      <c r="U23" s="88">
        <v>33710.21</v>
      </c>
      <c r="V23" s="88">
        <v>32491.29</v>
      </c>
      <c r="W23" s="93">
        <f>SUM(L23:U23)</f>
        <v>276684.03523000004</v>
      </c>
      <c r="X23" s="131">
        <f>+X21+X22</f>
        <v>159165.72</v>
      </c>
      <c r="Y23" s="132">
        <f>+Y21+Y22</f>
        <v>435849.75523000001</v>
      </c>
    </row>
    <row r="24" spans="8:25" ht="15.75" thickBot="1" x14ac:dyDescent="0.3">
      <c r="H24" s="74"/>
      <c r="I24" s="88"/>
      <c r="J24" s="74"/>
      <c r="K24" s="74"/>
      <c r="L24" s="74"/>
      <c r="M24" s="74"/>
      <c r="N24" s="74"/>
      <c r="O24" s="165"/>
      <c r="P24" s="74"/>
      <c r="Q24" s="74"/>
      <c r="R24" s="74"/>
      <c r="S24" s="74"/>
      <c r="T24" s="74"/>
      <c r="U24" s="74"/>
      <c r="V24" s="74"/>
      <c r="W24" s="74"/>
      <c r="X24" s="74"/>
      <c r="Y24" s="150" t="s">
        <v>128</v>
      </c>
    </row>
    <row r="25" spans="8:25" x14ac:dyDescent="0.25">
      <c r="H25" s="74"/>
      <c r="I25" s="74"/>
      <c r="J25" s="89">
        <v>44197</v>
      </c>
      <c r="K25" s="89">
        <v>44228</v>
      </c>
      <c r="L25" s="89">
        <v>44256</v>
      </c>
      <c r="M25" s="89">
        <v>44287</v>
      </c>
      <c r="N25" s="161">
        <f>+M25+30</f>
        <v>44317</v>
      </c>
      <c r="O25" s="161">
        <f>+N25+31</f>
        <v>44348</v>
      </c>
      <c r="P25" s="90">
        <f>+O25+30</f>
        <v>44378</v>
      </c>
      <c r="Q25" s="90">
        <f>+P25+31</f>
        <v>44409</v>
      </c>
      <c r="R25" s="90">
        <f>+Q25+31</f>
        <v>44440</v>
      </c>
      <c r="S25" s="90">
        <f>+R25+31</f>
        <v>44471</v>
      </c>
      <c r="T25" s="90">
        <f>+S25+31</f>
        <v>44502</v>
      </c>
      <c r="U25" s="90">
        <f>+T25+31</f>
        <v>44533</v>
      </c>
      <c r="V25" s="74"/>
      <c r="X25" s="92"/>
      <c r="Y25" s="125">
        <f>+N25+31</f>
        <v>44348</v>
      </c>
    </row>
    <row r="26" spans="8:25" x14ac:dyDescent="0.25">
      <c r="H26" s="85" t="s">
        <v>15</v>
      </c>
      <c r="I26" s="86"/>
      <c r="J26" s="86">
        <f>+J28*$C$6</f>
        <v>25018.187762000001</v>
      </c>
      <c r="K26" s="86">
        <f>+K28*$C$6</f>
        <v>26062.274185999999</v>
      </c>
      <c r="L26" s="86">
        <f>+L28*$C$6</f>
        <v>23379.759320000001</v>
      </c>
      <c r="M26" s="86">
        <f>+M28*$C$6</f>
        <v>21037.784262000001</v>
      </c>
      <c r="N26" s="162">
        <f>+N28*$C$6</f>
        <v>23701.202178</v>
      </c>
      <c r="O26" s="162">
        <v>25049.67</v>
      </c>
      <c r="P26" s="86">
        <v>29351.72</v>
      </c>
      <c r="Q26" s="86">
        <v>25255.040000000001</v>
      </c>
      <c r="R26" s="86">
        <v>25408.93</v>
      </c>
      <c r="S26" s="58">
        <v>25999.73</v>
      </c>
      <c r="T26" s="86">
        <v>24940.06</v>
      </c>
      <c r="U26" s="86"/>
      <c r="V26" s="74"/>
      <c r="X26" s="74"/>
      <c r="Y26" s="126">
        <v>25049.67</v>
      </c>
    </row>
    <row r="27" spans="8:25" x14ac:dyDescent="0.25">
      <c r="H27" s="75" t="s">
        <v>16</v>
      </c>
      <c r="I27" s="87"/>
      <c r="J27" s="76">
        <f>+J28*$C$7</f>
        <v>8388.3922380000004</v>
      </c>
      <c r="K27" s="76">
        <f>+K28*$C$7</f>
        <v>8738.4658139999992</v>
      </c>
      <c r="L27" s="76">
        <f>+L28*$C$7</f>
        <v>7839.0406799999992</v>
      </c>
      <c r="M27" s="76">
        <f>+M28*$C$7</f>
        <v>7053.7957379999998</v>
      </c>
      <c r="N27" s="163">
        <f>+N28*$C$7</f>
        <v>7946.817822</v>
      </c>
      <c r="O27" s="163">
        <v>8398.9484819999998</v>
      </c>
      <c r="P27" s="76">
        <v>9841.39</v>
      </c>
      <c r="Q27" s="76">
        <v>8457.75</v>
      </c>
      <c r="R27" s="76">
        <v>8519.4</v>
      </c>
      <c r="S27" s="76">
        <v>8717.49</v>
      </c>
      <c r="T27" s="76">
        <v>8362.2000000000007</v>
      </c>
      <c r="U27" s="76"/>
      <c r="V27" s="74"/>
      <c r="X27" s="74"/>
      <c r="Y27" s="127">
        <v>8398.9484819999998</v>
      </c>
    </row>
    <row r="28" spans="8:25" ht="15.75" thickBot="1" x14ac:dyDescent="0.3">
      <c r="H28" s="74" t="s">
        <v>14</v>
      </c>
      <c r="I28" s="88"/>
      <c r="J28" s="88">
        <v>33406.58</v>
      </c>
      <c r="K28" s="88">
        <v>34800.74</v>
      </c>
      <c r="L28" s="88">
        <v>31218.799999999999</v>
      </c>
      <c r="M28" s="88">
        <v>28091.58</v>
      </c>
      <c r="N28" s="164">
        <v>31648.02</v>
      </c>
      <c r="O28" s="164">
        <f>+O26+O27</f>
        <v>33448.618481999998</v>
      </c>
      <c r="P28" s="88"/>
      <c r="Q28" s="88"/>
      <c r="R28" s="88"/>
      <c r="S28" s="88"/>
      <c r="T28" s="88"/>
      <c r="U28" s="88"/>
      <c r="V28" s="74"/>
      <c r="X28" s="74"/>
      <c r="Y28" s="128">
        <f>+Y26+Y27</f>
        <v>33448.618481999998</v>
      </c>
    </row>
    <row r="29" spans="8:25" x14ac:dyDescent="0.25"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X29" s="74"/>
      <c r="Y29" s="74"/>
    </row>
    <row r="30" spans="8:25" x14ac:dyDescent="0.25"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X30" s="74"/>
      <c r="Y30" s="74"/>
    </row>
    <row r="31" spans="8:25" x14ac:dyDescent="0.25">
      <c r="H31" s="5" t="s">
        <v>129</v>
      </c>
    </row>
    <row r="32" spans="8:25" x14ac:dyDescent="0.25">
      <c r="H32" s="5" t="s">
        <v>130</v>
      </c>
    </row>
  </sheetData>
  <mergeCells count="7">
    <mergeCell ref="H18:U18"/>
    <mergeCell ref="B2:C2"/>
    <mergeCell ref="B5:C5"/>
    <mergeCell ref="C10:C11"/>
    <mergeCell ref="F10:F11"/>
    <mergeCell ref="H15:U15"/>
    <mergeCell ref="N17:P17"/>
  </mergeCells>
  <dataValidations disablePrompts="1" count="1">
    <dataValidation type="list" allowBlank="1" showInputMessage="1" showErrorMessage="1" sqref="I6:U6 W6" xr:uid="{00000000-0002-0000-0600-000000000000}">
      <formula1>"PER,QTR,DQTR,YTD,LTD,RANGE,BLTD,BLTDAPR,BLTDREQ,per,qtr,dqtr,ytd,ltd,range,bltd,bltdapr,bltdreq"</formula1>
    </dataValidation>
  </dataValidations>
  <pageMargins left="0.25" right="0.25" top="0.3" bottom="0.25" header="0.5" footer="0.2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G53"/>
  <sheetViews>
    <sheetView showGridLines="0" topLeftCell="A22" zoomScaleNormal="100" workbookViewId="0">
      <selection activeCell="G45" sqref="G45"/>
    </sheetView>
  </sheetViews>
  <sheetFormatPr defaultRowHeight="14.25" x14ac:dyDescent="0.2"/>
  <cols>
    <col min="1" max="1" width="2.125" customWidth="1"/>
    <col min="2" max="2" width="5.375" style="103" bestFit="1" customWidth="1"/>
    <col min="3" max="3" width="10.625" style="100" bestFit="1" customWidth="1"/>
    <col min="4" max="4" width="9.875" style="102" bestFit="1" customWidth="1"/>
    <col min="5" max="5" width="35" style="103" bestFit="1" customWidth="1"/>
    <col min="6" max="6" width="11.125" style="1" bestFit="1" customWidth="1"/>
    <col min="7" max="7" width="11.75" style="1" bestFit="1" customWidth="1"/>
    <col min="8" max="8" width="2.625" customWidth="1"/>
  </cols>
  <sheetData>
    <row r="2" spans="2:7" x14ac:dyDescent="0.2">
      <c r="B2" s="104" t="s">
        <v>98</v>
      </c>
      <c r="C2" s="115" t="s">
        <v>89</v>
      </c>
      <c r="D2" s="104" t="s">
        <v>90</v>
      </c>
      <c r="E2" s="104" t="s">
        <v>69</v>
      </c>
      <c r="F2" s="121" t="s">
        <v>91</v>
      </c>
      <c r="G2" s="121" t="s">
        <v>99</v>
      </c>
    </row>
    <row r="3" spans="2:7" x14ac:dyDescent="0.2">
      <c r="B3" s="103" t="s">
        <v>100</v>
      </c>
      <c r="C3" s="100">
        <v>57301</v>
      </c>
      <c r="D3" s="102">
        <v>44227</v>
      </c>
      <c r="E3" s="103" t="s">
        <v>92</v>
      </c>
      <c r="G3" s="110">
        <v>-579.61</v>
      </c>
    </row>
    <row r="4" spans="2:7" x14ac:dyDescent="0.2">
      <c r="B4" s="103" t="s">
        <v>100</v>
      </c>
      <c r="C4" s="100">
        <v>57606</v>
      </c>
      <c r="D4" s="102">
        <v>44255</v>
      </c>
      <c r="E4" s="103" t="s">
        <v>93</v>
      </c>
      <c r="G4" s="110">
        <v>-563.55999999999995</v>
      </c>
    </row>
    <row r="5" spans="2:7" x14ac:dyDescent="0.2">
      <c r="B5" s="103" t="s">
        <v>100</v>
      </c>
      <c r="C5" s="100">
        <v>57644</v>
      </c>
      <c r="D5" s="102">
        <v>44255</v>
      </c>
      <c r="E5" s="103" t="s">
        <v>111</v>
      </c>
      <c r="G5" s="110">
        <v>-15370.19</v>
      </c>
    </row>
    <row r="7" spans="2:7" x14ac:dyDescent="0.2">
      <c r="B7" s="103" t="s">
        <v>100</v>
      </c>
      <c r="C7" s="100">
        <v>57892</v>
      </c>
      <c r="D7" s="102">
        <v>44286</v>
      </c>
      <c r="E7" s="103" t="s">
        <v>112</v>
      </c>
      <c r="G7" s="110">
        <v>-15252.71</v>
      </c>
    </row>
    <row r="8" spans="2:7" x14ac:dyDescent="0.2">
      <c r="B8" s="103" t="s">
        <v>100</v>
      </c>
      <c r="C8" s="100">
        <v>57901</v>
      </c>
      <c r="D8" s="102">
        <v>44286</v>
      </c>
      <c r="E8" s="103" t="s">
        <v>113</v>
      </c>
      <c r="F8" s="110">
        <v>118.39</v>
      </c>
    </row>
    <row r="9" spans="2:7" x14ac:dyDescent="0.2">
      <c r="B9" s="103" t="s">
        <v>100</v>
      </c>
      <c r="C9" s="100">
        <v>57915</v>
      </c>
      <c r="D9" s="102">
        <v>44286</v>
      </c>
      <c r="E9" s="103" t="s">
        <v>94</v>
      </c>
      <c r="G9" s="110">
        <v>-678.43</v>
      </c>
    </row>
    <row r="10" spans="2:7" x14ac:dyDescent="0.2">
      <c r="B10" s="103" t="s">
        <v>100</v>
      </c>
      <c r="C10" s="100">
        <v>57949</v>
      </c>
      <c r="D10" s="102">
        <v>44286</v>
      </c>
      <c r="E10" s="103" t="s">
        <v>120</v>
      </c>
    </row>
    <row r="12" spans="2:7" x14ac:dyDescent="0.2">
      <c r="B12" s="103" t="s">
        <v>100</v>
      </c>
      <c r="C12" s="100">
        <v>58221</v>
      </c>
      <c r="D12" s="102">
        <v>44316</v>
      </c>
      <c r="E12" s="103" t="s">
        <v>95</v>
      </c>
      <c r="G12" s="110">
        <v>-757.91</v>
      </c>
    </row>
    <row r="13" spans="2:7" x14ac:dyDescent="0.2">
      <c r="B13" s="103" t="s">
        <v>100</v>
      </c>
      <c r="C13" s="100">
        <v>58248</v>
      </c>
      <c r="D13" s="102">
        <v>44316</v>
      </c>
      <c r="E13" s="103" t="s">
        <v>114</v>
      </c>
      <c r="G13" s="110">
        <v>-53434.239999999998</v>
      </c>
    </row>
    <row r="14" spans="2:7" x14ac:dyDescent="0.2">
      <c r="B14" s="103" t="s">
        <v>100</v>
      </c>
      <c r="C14" s="100">
        <v>58248</v>
      </c>
      <c r="D14" s="102">
        <v>44316</v>
      </c>
      <c r="E14" s="103" t="s">
        <v>114</v>
      </c>
      <c r="F14" s="110">
        <v>3560.73</v>
      </c>
    </row>
    <row r="15" spans="2:7" x14ac:dyDescent="0.2">
      <c r="B15" s="103" t="s">
        <v>100</v>
      </c>
      <c r="C15" s="100">
        <v>58248</v>
      </c>
      <c r="D15" s="102">
        <v>44316</v>
      </c>
      <c r="E15" s="103" t="s">
        <v>114</v>
      </c>
      <c r="F15" s="110">
        <v>26539.919999999998</v>
      </c>
    </row>
    <row r="16" spans="2:7" x14ac:dyDescent="0.2">
      <c r="B16" s="103" t="s">
        <v>100</v>
      </c>
      <c r="C16" s="100">
        <v>58248</v>
      </c>
      <c r="D16" s="102">
        <v>44316</v>
      </c>
      <c r="E16" s="103" t="s">
        <v>114</v>
      </c>
      <c r="G16" s="110">
        <v>-9803.01</v>
      </c>
    </row>
    <row r="18" spans="2:7" x14ac:dyDescent="0.2">
      <c r="B18" s="103" t="s">
        <v>100</v>
      </c>
      <c r="C18" s="100">
        <v>58515</v>
      </c>
      <c r="D18" s="102">
        <v>44347</v>
      </c>
      <c r="E18" s="103" t="s">
        <v>96</v>
      </c>
      <c r="G18" s="110">
        <v>-837.81</v>
      </c>
    </row>
    <row r="19" spans="2:7" x14ac:dyDescent="0.2">
      <c r="B19" s="103" t="s">
        <v>100</v>
      </c>
      <c r="C19" s="100">
        <v>58527</v>
      </c>
      <c r="D19" s="102">
        <v>44347</v>
      </c>
      <c r="E19" s="103" t="s">
        <v>115</v>
      </c>
      <c r="G19" s="110">
        <v>-18022.2</v>
      </c>
    </row>
    <row r="21" spans="2:7" x14ac:dyDescent="0.2">
      <c r="B21" s="103" t="s">
        <v>100</v>
      </c>
      <c r="C21" s="100">
        <v>58830</v>
      </c>
      <c r="D21" s="102">
        <v>44377</v>
      </c>
      <c r="E21" s="103" t="s">
        <v>116</v>
      </c>
      <c r="G21" s="110">
        <v>-24314.17</v>
      </c>
    </row>
    <row r="22" spans="2:7" x14ac:dyDescent="0.2">
      <c r="B22" s="103" t="s">
        <v>100</v>
      </c>
      <c r="C22" s="100">
        <v>58833</v>
      </c>
      <c r="D22" s="102">
        <v>44377</v>
      </c>
      <c r="E22" s="103" t="s">
        <v>97</v>
      </c>
      <c r="G22" s="110">
        <v>-893.21</v>
      </c>
    </row>
    <row r="23" spans="2:7" x14ac:dyDescent="0.2">
      <c r="B23" s="103" t="s">
        <v>100</v>
      </c>
      <c r="C23" s="100">
        <v>58853</v>
      </c>
      <c r="D23" s="102">
        <v>44377</v>
      </c>
      <c r="E23" s="103" t="s">
        <v>117</v>
      </c>
      <c r="G23" s="110">
        <v>-16490.27</v>
      </c>
    </row>
    <row r="24" spans="2:7" x14ac:dyDescent="0.2">
      <c r="B24" s="120"/>
      <c r="C24" s="118"/>
      <c r="D24" s="119"/>
      <c r="E24" s="120" t="s">
        <v>118</v>
      </c>
      <c r="F24" s="71">
        <f>SUM(F3:F23)</f>
        <v>30219.039999999997</v>
      </c>
      <c r="G24" s="71">
        <f>SUM(G3:G23)</f>
        <v>-156997.31999999995</v>
      </c>
    </row>
    <row r="25" spans="2:7" ht="15" x14ac:dyDescent="0.25">
      <c r="E25" s="103" t="s">
        <v>119</v>
      </c>
      <c r="G25" s="113">
        <f>+F24+G24</f>
        <v>-126778.27999999996</v>
      </c>
    </row>
    <row r="27" spans="2:7" x14ac:dyDescent="0.2">
      <c r="B27" s="115" t="s">
        <v>98</v>
      </c>
      <c r="C27" s="115" t="s">
        <v>89</v>
      </c>
      <c r="D27" s="115" t="s">
        <v>90</v>
      </c>
      <c r="E27" s="104" t="s">
        <v>69</v>
      </c>
      <c r="F27" s="116" t="s">
        <v>91</v>
      </c>
      <c r="G27" s="116" t="s">
        <v>99</v>
      </c>
    </row>
    <row r="28" spans="2:7" x14ac:dyDescent="0.2">
      <c r="B28" s="114" t="s">
        <v>100</v>
      </c>
      <c r="C28" s="100">
        <v>57301</v>
      </c>
      <c r="D28" s="122">
        <v>44227</v>
      </c>
      <c r="E28" s="103" t="s">
        <v>92</v>
      </c>
      <c r="F28" s="110">
        <v>496.33</v>
      </c>
    </row>
    <row r="29" spans="2:7" x14ac:dyDescent="0.2">
      <c r="B29" s="114"/>
      <c r="D29" s="122"/>
    </row>
    <row r="30" spans="2:7" x14ac:dyDescent="0.2">
      <c r="B30" s="114" t="s">
        <v>100</v>
      </c>
      <c r="C30" s="100">
        <v>57606</v>
      </c>
      <c r="D30" s="122">
        <v>44255</v>
      </c>
      <c r="E30" s="103" t="s">
        <v>93</v>
      </c>
      <c r="F30" s="110">
        <v>391.34</v>
      </c>
    </row>
    <row r="31" spans="2:7" x14ac:dyDescent="0.2">
      <c r="B31" s="114" t="s">
        <v>100</v>
      </c>
      <c r="C31" s="100">
        <v>57644</v>
      </c>
      <c r="D31" s="122">
        <v>44255</v>
      </c>
      <c r="E31" s="103" t="s">
        <v>111</v>
      </c>
      <c r="G31" s="110">
        <v>-15415.06</v>
      </c>
    </row>
    <row r="32" spans="2:7" x14ac:dyDescent="0.2">
      <c r="B32" s="114"/>
      <c r="D32" s="122"/>
      <c r="G32"/>
    </row>
    <row r="33" spans="2:7" x14ac:dyDescent="0.2">
      <c r="B33" s="114" t="s">
        <v>100</v>
      </c>
      <c r="C33" s="100">
        <v>57892</v>
      </c>
      <c r="D33" s="122">
        <v>44286</v>
      </c>
      <c r="E33" s="103" t="s">
        <v>112</v>
      </c>
      <c r="G33" s="110">
        <v>-10945.09</v>
      </c>
    </row>
    <row r="34" spans="2:7" x14ac:dyDescent="0.2">
      <c r="B34" s="114" t="s">
        <v>100</v>
      </c>
      <c r="C34" s="100">
        <v>57901</v>
      </c>
      <c r="D34" s="122">
        <v>44286</v>
      </c>
      <c r="E34" s="103" t="s">
        <v>113</v>
      </c>
      <c r="F34" s="110">
        <v>1402.03</v>
      </c>
    </row>
    <row r="35" spans="2:7" x14ac:dyDescent="0.2">
      <c r="B35" s="114" t="s">
        <v>100</v>
      </c>
      <c r="C35" s="100">
        <v>57915</v>
      </c>
      <c r="D35" s="122">
        <v>44286</v>
      </c>
      <c r="E35" s="103" t="s">
        <v>94</v>
      </c>
      <c r="F35" s="110">
        <v>395.33</v>
      </c>
    </row>
    <row r="36" spans="2:7" x14ac:dyDescent="0.2">
      <c r="B36" s="114"/>
      <c r="D36" s="122"/>
    </row>
    <row r="37" spans="2:7" x14ac:dyDescent="0.2">
      <c r="B37" s="114" t="s">
        <v>100</v>
      </c>
      <c r="C37" s="100">
        <v>58221</v>
      </c>
      <c r="D37" s="122">
        <v>44316</v>
      </c>
      <c r="E37" s="103" t="s">
        <v>95</v>
      </c>
      <c r="F37" s="110">
        <v>327.94</v>
      </c>
    </row>
    <row r="38" spans="2:7" x14ac:dyDescent="0.2">
      <c r="B38" s="114" t="s">
        <v>100</v>
      </c>
      <c r="C38" s="100">
        <v>58248</v>
      </c>
      <c r="D38" s="122">
        <v>44316</v>
      </c>
      <c r="E38" s="103" t="s">
        <v>114</v>
      </c>
      <c r="F38" s="110"/>
      <c r="G38" s="110">
        <v>-18046.41</v>
      </c>
    </row>
    <row r="39" spans="2:7" x14ac:dyDescent="0.2">
      <c r="B39" s="114" t="s">
        <v>100</v>
      </c>
      <c r="C39" s="100">
        <v>58248</v>
      </c>
      <c r="D39" s="122">
        <v>44316</v>
      </c>
      <c r="E39" s="103" t="s">
        <v>114</v>
      </c>
      <c r="G39" s="110">
        <v>-1624.21</v>
      </c>
    </row>
    <row r="40" spans="2:7" x14ac:dyDescent="0.2">
      <c r="B40" s="114" t="s">
        <v>100</v>
      </c>
      <c r="C40" s="100">
        <v>58248</v>
      </c>
      <c r="D40" s="122">
        <v>44316</v>
      </c>
      <c r="E40" s="103" t="s">
        <v>114</v>
      </c>
      <c r="F40" s="110">
        <v>1351.05</v>
      </c>
      <c r="G40" s="110"/>
    </row>
    <row r="41" spans="2:7" x14ac:dyDescent="0.2">
      <c r="B41" s="114"/>
      <c r="D41" s="122"/>
      <c r="F41" s="110"/>
    </row>
    <row r="42" spans="2:7" x14ac:dyDescent="0.2">
      <c r="B42" s="114" t="s">
        <v>100</v>
      </c>
      <c r="C42" s="100">
        <v>58515</v>
      </c>
      <c r="D42" s="122">
        <v>44347</v>
      </c>
      <c r="E42" s="103" t="s">
        <v>96</v>
      </c>
      <c r="F42" s="110">
        <v>274.3</v>
      </c>
    </row>
    <row r="43" spans="2:7" x14ac:dyDescent="0.2">
      <c r="B43" s="114" t="s">
        <v>100</v>
      </c>
      <c r="C43" s="100">
        <v>58527</v>
      </c>
      <c r="D43" s="122">
        <v>44347</v>
      </c>
      <c r="E43" s="103" t="s">
        <v>115</v>
      </c>
      <c r="F43" s="110"/>
      <c r="G43" s="110">
        <v>-23445.97</v>
      </c>
    </row>
    <row r="44" spans="2:7" x14ac:dyDescent="0.2">
      <c r="B44" s="114"/>
      <c r="D44" s="122"/>
    </row>
    <row r="45" spans="2:7" x14ac:dyDescent="0.2">
      <c r="B45" s="114" t="s">
        <v>100</v>
      </c>
      <c r="C45" s="100">
        <v>58752</v>
      </c>
      <c r="D45" s="122">
        <v>44377</v>
      </c>
      <c r="E45" s="103" t="s">
        <v>116</v>
      </c>
      <c r="F45" s="110">
        <v>121361.32</v>
      </c>
    </row>
    <row r="46" spans="2:7" x14ac:dyDescent="0.2">
      <c r="B46" s="114" t="s">
        <v>100</v>
      </c>
      <c r="C46" s="100">
        <v>58830</v>
      </c>
      <c r="D46" s="122">
        <v>44377</v>
      </c>
      <c r="E46" s="103" t="s">
        <v>116</v>
      </c>
      <c r="F46" s="110">
        <v>15851.49</v>
      </c>
    </row>
    <row r="47" spans="2:7" x14ac:dyDescent="0.2">
      <c r="B47" s="114" t="s">
        <v>100</v>
      </c>
      <c r="C47" s="100">
        <v>58830</v>
      </c>
      <c r="D47" s="122">
        <v>44377</v>
      </c>
      <c r="E47" s="103" t="s">
        <v>116</v>
      </c>
      <c r="F47" s="110">
        <v>26188.67</v>
      </c>
    </row>
    <row r="48" spans="2:7" x14ac:dyDescent="0.2">
      <c r="B48" s="114" t="s">
        <v>100</v>
      </c>
      <c r="C48" s="100">
        <v>58833</v>
      </c>
      <c r="D48" s="122">
        <v>44377</v>
      </c>
      <c r="E48" s="103" t="s">
        <v>97</v>
      </c>
      <c r="F48" s="110">
        <v>314.57</v>
      </c>
    </row>
    <row r="49" spans="2:7" x14ac:dyDescent="0.2">
      <c r="B49" s="114" t="s">
        <v>100</v>
      </c>
      <c r="C49" s="100">
        <v>58853</v>
      </c>
      <c r="D49" s="122">
        <v>44377</v>
      </c>
      <c r="E49" s="103" t="s">
        <v>117</v>
      </c>
      <c r="F49" s="110">
        <v>14578.34</v>
      </c>
    </row>
    <row r="50" spans="2:7" x14ac:dyDescent="0.2">
      <c r="B50" s="117"/>
      <c r="C50" s="118"/>
      <c r="D50" s="123"/>
      <c r="E50" s="120" t="s">
        <v>118</v>
      </c>
      <c r="F50" s="71">
        <f>SUM(F28:F49)</f>
        <v>182932.71</v>
      </c>
      <c r="G50" s="71">
        <f>SUM(G28:G49)</f>
        <v>-69476.739999999991</v>
      </c>
    </row>
    <row r="51" spans="2:7" ht="15" x14ac:dyDescent="0.25">
      <c r="B51" s="114"/>
      <c r="D51" s="122"/>
      <c r="E51" s="103" t="s">
        <v>119</v>
      </c>
      <c r="F51" s="113">
        <f>+F50+G50</f>
        <v>113455.97</v>
      </c>
    </row>
    <row r="53" spans="2:7" ht="15" x14ac:dyDescent="0.25">
      <c r="B53" s="124" t="s">
        <v>121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82"/>
  <sheetViews>
    <sheetView showGridLines="0" view="pageBreakPreview" zoomScale="70" zoomScaleNormal="100" zoomScaleSheetLayoutView="70" workbookViewId="0">
      <selection activeCell="G18" sqref="G18"/>
    </sheetView>
  </sheetViews>
  <sheetFormatPr defaultRowHeight="15" x14ac:dyDescent="0.25"/>
  <cols>
    <col min="1" max="1" width="12.75" style="4" bestFit="1" customWidth="1"/>
    <col min="2" max="2" width="10.375" style="5" bestFit="1" customWidth="1"/>
    <col min="3" max="3" width="32.125" style="5" bestFit="1" customWidth="1"/>
    <col min="4" max="4" width="11.75" style="5" bestFit="1" customWidth="1"/>
    <col min="5" max="5" width="10.75" style="5" bestFit="1" customWidth="1"/>
    <col min="6" max="6" width="11.75" style="5" bestFit="1" customWidth="1"/>
    <col min="7" max="7" width="10.375" style="5" bestFit="1" customWidth="1"/>
    <col min="8" max="8" width="11.125" style="5" customWidth="1"/>
    <col min="9" max="9" width="10.75" style="5" bestFit="1" customWidth="1"/>
    <col min="10" max="10" width="3.125" style="5" customWidth="1"/>
    <col min="11" max="11" width="11.75" style="5" bestFit="1" customWidth="1"/>
    <col min="12" max="12" width="14.5" style="5" bestFit="1" customWidth="1"/>
    <col min="13" max="13" width="11.75" style="5" bestFit="1" customWidth="1"/>
    <col min="14" max="14" width="19.375" style="5" bestFit="1" customWidth="1"/>
    <col min="15" max="15" width="13.25" style="5" customWidth="1"/>
    <col min="16" max="16" width="19.375" style="5" bestFit="1" customWidth="1"/>
    <col min="17" max="17" width="11.75" style="5" customWidth="1"/>
    <col min="18" max="18" width="2.25" style="5" customWidth="1"/>
    <col min="19" max="19" width="6.125" style="5" bestFit="1" customWidth="1"/>
    <col min="20" max="20" width="5.375" style="5" bestFit="1" customWidth="1"/>
    <col min="21" max="16384" width="9" style="5"/>
  </cols>
  <sheetData>
    <row r="1" spans="1:20" x14ac:dyDescent="0.25">
      <c r="C1" s="6" t="s">
        <v>0</v>
      </c>
      <c r="D1" s="7" t="s">
        <v>1</v>
      </c>
      <c r="F1" s="7" t="s">
        <v>2</v>
      </c>
      <c r="G1" s="7"/>
      <c r="H1" s="7" t="s">
        <v>3</v>
      </c>
      <c r="J1" s="8"/>
      <c r="K1" s="7" t="s">
        <v>1</v>
      </c>
      <c r="M1" s="7" t="s">
        <v>2</v>
      </c>
      <c r="N1" s="7"/>
      <c r="O1" s="7" t="s">
        <v>3</v>
      </c>
    </row>
    <row r="2" spans="1:20" ht="18.75" x14ac:dyDescent="0.3">
      <c r="C2" s="6" t="s">
        <v>4</v>
      </c>
      <c r="D2" s="9" t="s">
        <v>21</v>
      </c>
      <c r="E2" s="135">
        <v>2019</v>
      </c>
      <c r="J2" s="8"/>
      <c r="K2" s="9" t="s">
        <v>22</v>
      </c>
    </row>
    <row r="3" spans="1:20" ht="18.75" x14ac:dyDescent="0.3">
      <c r="C3" s="6" t="s">
        <v>5</v>
      </c>
      <c r="D3" s="7" t="s">
        <v>6</v>
      </c>
      <c r="E3" s="136"/>
      <c r="J3" s="8"/>
      <c r="K3" s="7" t="s">
        <v>6</v>
      </c>
    </row>
    <row r="4" spans="1:20" ht="18.75" x14ac:dyDescent="0.3">
      <c r="C4" s="6" t="s">
        <v>7</v>
      </c>
      <c r="D4" s="10" t="s">
        <v>23</v>
      </c>
      <c r="E4" s="137">
        <v>2</v>
      </c>
      <c r="J4" s="8"/>
      <c r="K4" s="10" t="s">
        <v>64</v>
      </c>
    </row>
    <row r="5" spans="1:20" x14ac:dyDescent="0.25">
      <c r="C5" s="6" t="s">
        <v>8</v>
      </c>
      <c r="D5" s="7" t="s">
        <v>9</v>
      </c>
      <c r="J5" s="8"/>
      <c r="K5" s="7" t="s">
        <v>9</v>
      </c>
    </row>
    <row r="6" spans="1:20" x14ac:dyDescent="0.25">
      <c r="C6" s="6" t="s">
        <v>11</v>
      </c>
      <c r="D6" s="7" t="s">
        <v>12</v>
      </c>
      <c r="J6" s="8"/>
      <c r="K6" s="7" t="s">
        <v>12</v>
      </c>
    </row>
    <row r="7" spans="1:20" x14ac:dyDescent="0.25">
      <c r="C7" s="6" t="s">
        <v>10</v>
      </c>
      <c r="D7" s="12" t="s">
        <v>13</v>
      </c>
      <c r="J7" s="8"/>
      <c r="K7" s="12" t="s">
        <v>13</v>
      </c>
    </row>
    <row r="8" spans="1:20" x14ac:dyDescent="0.25">
      <c r="D8" s="13" t="s">
        <v>25</v>
      </c>
      <c r="J8" s="8"/>
      <c r="K8" s="13" t="s">
        <v>25</v>
      </c>
    </row>
    <row r="9" spans="1:20" x14ac:dyDescent="0.25">
      <c r="A9" s="4" t="s">
        <v>26</v>
      </c>
      <c r="B9" s="5" t="s">
        <v>27</v>
      </c>
      <c r="D9" s="14" t="str">
        <f t="shared" ref="D9" si="0">TEXT(D4&amp;"/1/"&amp;D2,"mmm yy")</f>
        <v>Dec 17</v>
      </c>
      <c r="J9" s="8"/>
      <c r="K9" s="14" t="str">
        <f t="shared" ref="K9" si="1">TEXT(K4&amp;"/1/"&amp;K2,"mmm yy")</f>
        <v>Jan 21</v>
      </c>
    </row>
    <row r="10" spans="1:20" x14ac:dyDescent="0.25">
      <c r="D10" s="15"/>
      <c r="F10" s="15"/>
      <c r="G10" s="16"/>
      <c r="H10" s="15"/>
      <c r="J10" s="8"/>
      <c r="K10" s="15"/>
      <c r="M10" s="15">
        <v>0.74890000000000001</v>
      </c>
      <c r="N10" s="16"/>
      <c r="O10" s="15">
        <v>0.25109999999999999</v>
      </c>
    </row>
    <row r="11" spans="1:20" x14ac:dyDescent="0.25">
      <c r="D11" s="282"/>
      <c r="E11" s="282"/>
      <c r="F11" s="282"/>
      <c r="G11" s="16"/>
      <c r="H11" s="15"/>
      <c r="J11" s="8"/>
      <c r="K11" s="282" t="s">
        <v>18</v>
      </c>
      <c r="L11" s="282"/>
      <c r="M11" s="282"/>
      <c r="N11" s="16"/>
      <c r="O11" s="15"/>
      <c r="Q11" s="4" t="s">
        <v>125</v>
      </c>
      <c r="R11" s="4"/>
    </row>
    <row r="12" spans="1:20" x14ac:dyDescent="0.25">
      <c r="D12" s="15"/>
      <c r="F12" s="15"/>
      <c r="G12" s="16"/>
      <c r="H12" s="15"/>
      <c r="J12" s="8"/>
      <c r="K12" s="15">
        <v>2021</v>
      </c>
      <c r="M12" s="17">
        <v>0.74890000000000001</v>
      </c>
      <c r="N12" s="16"/>
      <c r="O12" s="17">
        <v>0.25109999999999999</v>
      </c>
      <c r="Q12" s="4" t="s">
        <v>85</v>
      </c>
      <c r="R12" s="4"/>
      <c r="S12" s="5" t="s">
        <v>17</v>
      </c>
    </row>
    <row r="13" spans="1:20" x14ac:dyDescent="0.25">
      <c r="D13" s="15">
        <v>2017</v>
      </c>
      <c r="J13" s="8"/>
      <c r="K13" s="15">
        <v>2020</v>
      </c>
      <c r="M13" s="17">
        <v>0.75049999999999994</v>
      </c>
      <c r="O13" s="17">
        <v>0.2495</v>
      </c>
      <c r="P13" s="101" t="s">
        <v>16</v>
      </c>
      <c r="Q13" s="101" t="s">
        <v>16</v>
      </c>
      <c r="R13" s="4"/>
    </row>
    <row r="14" spans="1:20" x14ac:dyDescent="0.25">
      <c r="A14" s="62" t="s">
        <v>28</v>
      </c>
      <c r="B14" s="19" t="s">
        <v>13</v>
      </c>
      <c r="C14" s="20" t="s">
        <v>29</v>
      </c>
      <c r="D14" s="21">
        <v>20296.75</v>
      </c>
      <c r="E14" s="20"/>
      <c r="F14" s="21">
        <v>14330.43</v>
      </c>
      <c r="G14" s="21"/>
      <c r="H14" s="21">
        <v>5966.32</v>
      </c>
      <c r="I14" s="20"/>
      <c r="J14" s="8"/>
      <c r="K14" s="21">
        <v>110.6</v>
      </c>
      <c r="L14" s="20"/>
      <c r="M14" s="21">
        <f t="shared" ref="M14:M19" si="2">SUM(K14*$M$13)</f>
        <v>83.005299999999991</v>
      </c>
      <c r="N14" s="21"/>
      <c r="O14" s="21">
        <f t="shared" ref="O14:O19" si="3">SUM(K14*$O$13)</f>
        <v>27.5947</v>
      </c>
      <c r="P14" s="22">
        <f>O14-H14</f>
        <v>-5938.7253000000001</v>
      </c>
      <c r="Q14" s="22">
        <v>-5938.5483399999994</v>
      </c>
      <c r="R14" s="4"/>
      <c r="S14" s="23">
        <f t="shared" ref="S14:S19" si="4">D14-F14-H14</f>
        <v>0</v>
      </c>
      <c r="T14" s="23">
        <f t="shared" ref="T14:T36" si="5">K14-M14-O14</f>
        <v>0</v>
      </c>
    </row>
    <row r="15" spans="1:20" x14ac:dyDescent="0.25">
      <c r="A15" s="62" t="s">
        <v>30</v>
      </c>
      <c r="B15" s="19" t="s">
        <v>13</v>
      </c>
      <c r="C15" s="20" t="s">
        <v>31</v>
      </c>
      <c r="D15" s="21">
        <v>2117.64</v>
      </c>
      <c r="E15" s="20"/>
      <c r="F15" s="21">
        <v>1589.08</v>
      </c>
      <c r="G15" s="21"/>
      <c r="H15" s="21">
        <v>528.55999999999995</v>
      </c>
      <c r="I15" s="20"/>
      <c r="J15" s="8"/>
      <c r="K15" s="21">
        <v>0</v>
      </c>
      <c r="L15" s="20"/>
      <c r="M15" s="21">
        <f t="shared" si="2"/>
        <v>0</v>
      </c>
      <c r="N15" s="21"/>
      <c r="O15" s="21">
        <f t="shared" si="3"/>
        <v>0</v>
      </c>
      <c r="P15" s="22">
        <f t="shared" ref="P15:P19" si="6">O15-H15</f>
        <v>-528.55999999999995</v>
      </c>
      <c r="Q15" s="22">
        <v>-528.55999999999995</v>
      </c>
      <c r="R15" s="4"/>
      <c r="S15" s="23">
        <f t="shared" si="4"/>
        <v>0</v>
      </c>
      <c r="T15" s="23">
        <f t="shared" si="5"/>
        <v>0</v>
      </c>
    </row>
    <row r="16" spans="1:20" x14ac:dyDescent="0.25">
      <c r="A16" s="62" t="s">
        <v>32</v>
      </c>
      <c r="B16" s="19" t="s">
        <v>13</v>
      </c>
      <c r="C16" s="20" t="s">
        <v>33</v>
      </c>
      <c r="D16" s="21">
        <v>815.66</v>
      </c>
      <c r="E16" s="20"/>
      <c r="F16" s="21">
        <v>657.82</v>
      </c>
      <c r="G16" s="21"/>
      <c r="H16" s="21">
        <v>157.84</v>
      </c>
      <c r="I16" s="20"/>
      <c r="J16" s="8"/>
      <c r="K16" s="21">
        <v>0</v>
      </c>
      <c r="L16" s="20"/>
      <c r="M16" s="21">
        <f t="shared" si="2"/>
        <v>0</v>
      </c>
      <c r="N16" s="21"/>
      <c r="O16" s="21">
        <f t="shared" si="3"/>
        <v>0</v>
      </c>
      <c r="P16" s="22">
        <f t="shared" si="6"/>
        <v>-157.84</v>
      </c>
      <c r="Q16" s="22">
        <v>-157.84</v>
      </c>
      <c r="R16" s="4"/>
      <c r="S16" s="23">
        <f t="shared" si="4"/>
        <v>0</v>
      </c>
      <c r="T16" s="23">
        <f t="shared" si="5"/>
        <v>0</v>
      </c>
    </row>
    <row r="17" spans="1:20" x14ac:dyDescent="0.25">
      <c r="A17" s="62" t="s">
        <v>34</v>
      </c>
      <c r="B17" s="19" t="s">
        <v>13</v>
      </c>
      <c r="C17" s="20" t="s">
        <v>35</v>
      </c>
      <c r="D17" s="21">
        <v>21933.759999999998</v>
      </c>
      <c r="E17" s="20"/>
      <c r="F17" s="21">
        <v>13313.07</v>
      </c>
      <c r="G17" s="21"/>
      <c r="H17" s="21">
        <v>8620.69</v>
      </c>
      <c r="I17" s="20"/>
      <c r="J17" s="8"/>
      <c r="K17" s="21">
        <v>4605.17</v>
      </c>
      <c r="L17" s="20"/>
      <c r="M17" s="21">
        <f t="shared" si="2"/>
        <v>3456.180085</v>
      </c>
      <c r="N17" s="21"/>
      <c r="O17" s="21">
        <f t="shared" si="3"/>
        <v>1148.9899150000001</v>
      </c>
      <c r="P17" s="22">
        <f>SUM(O17-H17)/2</f>
        <v>-3735.8500425000002</v>
      </c>
      <c r="Q17" s="22">
        <v>-3732.1659065000003</v>
      </c>
      <c r="R17" s="4"/>
      <c r="S17" s="23">
        <f t="shared" si="4"/>
        <v>0</v>
      </c>
      <c r="T17" s="23">
        <f t="shared" si="5"/>
        <v>0</v>
      </c>
    </row>
    <row r="18" spans="1:20" x14ac:dyDescent="0.25">
      <c r="A18" s="62" t="s">
        <v>36</v>
      </c>
      <c r="B18" s="19" t="s">
        <v>13</v>
      </c>
      <c r="C18" s="20" t="s">
        <v>37</v>
      </c>
      <c r="D18" s="21">
        <v>16375.43</v>
      </c>
      <c r="E18" s="20"/>
      <c r="F18" s="21">
        <v>10951.77</v>
      </c>
      <c r="G18" s="21"/>
      <c r="H18" s="21">
        <v>5423.66</v>
      </c>
      <c r="I18" s="20"/>
      <c r="J18" s="8"/>
      <c r="K18" s="21">
        <v>4151.2299999999996</v>
      </c>
      <c r="L18" s="20"/>
      <c r="M18" s="21">
        <f t="shared" si="2"/>
        <v>3115.4981149999994</v>
      </c>
      <c r="N18" s="21"/>
      <c r="O18" s="21">
        <f t="shared" si="3"/>
        <v>1035.7318849999999</v>
      </c>
      <c r="P18" s="22">
        <f t="shared" si="6"/>
        <v>-4387.9281149999997</v>
      </c>
      <c r="Q18" s="22">
        <v>-4381.2861469999998</v>
      </c>
      <c r="R18" s="4"/>
      <c r="S18" s="23">
        <f t="shared" si="4"/>
        <v>0</v>
      </c>
      <c r="T18" s="23">
        <f t="shared" si="5"/>
        <v>0</v>
      </c>
    </row>
    <row r="19" spans="1:20" x14ac:dyDescent="0.25">
      <c r="A19" s="62" t="s">
        <v>38</v>
      </c>
      <c r="B19" s="19" t="s">
        <v>13</v>
      </c>
      <c r="C19" s="20" t="s">
        <v>39</v>
      </c>
      <c r="D19" s="21">
        <v>0</v>
      </c>
      <c r="E19" s="24">
        <f>SUM(D14:D19)</f>
        <v>61539.24</v>
      </c>
      <c r="F19" s="21">
        <v>0</v>
      </c>
      <c r="G19" s="24">
        <f>SUM(F14:F19)</f>
        <v>40842.17</v>
      </c>
      <c r="H19" s="21">
        <v>0</v>
      </c>
      <c r="I19" s="24">
        <f>SUM(H14:H19)</f>
        <v>20697.07</v>
      </c>
      <c r="J19" s="8"/>
      <c r="K19" s="21">
        <v>0</v>
      </c>
      <c r="L19" s="24">
        <f>SUM(K14:K19)</f>
        <v>8867</v>
      </c>
      <c r="M19" s="21">
        <f t="shared" si="2"/>
        <v>0</v>
      </c>
      <c r="N19" s="21"/>
      <c r="O19" s="21">
        <f t="shared" si="3"/>
        <v>0</v>
      </c>
      <c r="P19" s="22">
        <f t="shared" si="6"/>
        <v>0</v>
      </c>
      <c r="Q19" s="22">
        <v>0</v>
      </c>
      <c r="R19" s="4"/>
      <c r="S19" s="23">
        <f t="shared" si="4"/>
        <v>0</v>
      </c>
      <c r="T19" s="23">
        <f t="shared" si="5"/>
        <v>0</v>
      </c>
    </row>
    <row r="20" spans="1:20" x14ac:dyDescent="0.25">
      <c r="A20" s="62"/>
      <c r="B20" s="7"/>
      <c r="D20" s="2"/>
      <c r="F20" s="2"/>
      <c r="G20" s="25"/>
      <c r="H20" s="2"/>
      <c r="J20" s="8"/>
      <c r="K20" s="2"/>
      <c r="L20" s="26">
        <f>L19-E19</f>
        <v>-52672.24</v>
      </c>
      <c r="M20" s="2"/>
      <c r="N20" s="26">
        <f>N19-G19</f>
        <v>-40842.17</v>
      </c>
      <c r="O20" s="2"/>
      <c r="P20" s="27">
        <f>SUM(P14:P19)</f>
        <v>-14748.903457500001</v>
      </c>
      <c r="Q20" s="27">
        <v>-14738.4003935</v>
      </c>
      <c r="R20" s="4"/>
      <c r="S20" s="23"/>
      <c r="T20" s="23"/>
    </row>
    <row r="21" spans="1:20" x14ac:dyDescent="0.25">
      <c r="A21" s="62"/>
      <c r="B21" s="7"/>
      <c r="D21" s="2"/>
      <c r="F21" s="2"/>
      <c r="G21" s="25"/>
      <c r="H21" s="2"/>
      <c r="J21" s="8"/>
      <c r="K21" s="2"/>
      <c r="L21" s="28"/>
      <c r="M21" s="25"/>
      <c r="N21" s="28"/>
      <c r="O21" s="2"/>
      <c r="P21" s="27"/>
      <c r="Q21" s="27"/>
      <c r="R21" s="4"/>
      <c r="S21" s="23"/>
      <c r="T21" s="23"/>
    </row>
    <row r="22" spans="1:20" x14ac:dyDescent="0.25">
      <c r="A22" s="62" t="s">
        <v>40</v>
      </c>
      <c r="B22" s="29" t="s">
        <v>13</v>
      </c>
      <c r="C22" s="30" t="s">
        <v>41</v>
      </c>
      <c r="D22" s="31">
        <v>0</v>
      </c>
      <c r="E22" s="30"/>
      <c r="F22" s="31">
        <v>0</v>
      </c>
      <c r="G22" s="30"/>
      <c r="H22" s="31">
        <v>0</v>
      </c>
      <c r="I22" s="30"/>
      <c r="J22" s="8"/>
      <c r="K22" s="31">
        <v>0</v>
      </c>
      <c r="L22" s="30"/>
      <c r="M22" s="31">
        <f t="shared" ref="M22:M27" si="7">SUM(K22*$M$13)</f>
        <v>0</v>
      </c>
      <c r="N22" s="31"/>
      <c r="O22" s="31">
        <f t="shared" ref="O22:O27" si="8">SUM(K22*$O$13)</f>
        <v>0</v>
      </c>
      <c r="P22" s="22">
        <f>O22-H22</f>
        <v>0</v>
      </c>
      <c r="Q22" s="22">
        <v>0</v>
      </c>
      <c r="R22" s="4"/>
      <c r="S22" s="23">
        <f t="shared" ref="S22:S27" si="9">D22-F22-H22</f>
        <v>0</v>
      </c>
      <c r="T22" s="23">
        <f t="shared" si="5"/>
        <v>0</v>
      </c>
    </row>
    <row r="23" spans="1:20" x14ac:dyDescent="0.25">
      <c r="A23" s="62" t="s">
        <v>42</v>
      </c>
      <c r="B23" s="29" t="s">
        <v>13</v>
      </c>
      <c r="C23" s="30" t="s">
        <v>43</v>
      </c>
      <c r="D23" s="31">
        <v>0</v>
      </c>
      <c r="E23" s="30"/>
      <c r="F23" s="31">
        <v>0</v>
      </c>
      <c r="G23" s="30"/>
      <c r="H23" s="31">
        <v>0</v>
      </c>
      <c r="I23" s="30"/>
      <c r="J23" s="8"/>
      <c r="K23" s="31">
        <v>0</v>
      </c>
      <c r="L23" s="30"/>
      <c r="M23" s="31">
        <f t="shared" si="7"/>
        <v>0</v>
      </c>
      <c r="N23" s="31"/>
      <c r="O23" s="31">
        <f t="shared" si="8"/>
        <v>0</v>
      </c>
      <c r="P23" s="22">
        <f t="shared" ref="P23:P27" si="10">O23-H23</f>
        <v>0</v>
      </c>
      <c r="Q23" s="22">
        <v>0</v>
      </c>
      <c r="R23" s="4"/>
      <c r="S23" s="23">
        <f t="shared" si="9"/>
        <v>0</v>
      </c>
      <c r="T23" s="23">
        <f t="shared" si="5"/>
        <v>0</v>
      </c>
    </row>
    <row r="24" spans="1:20" x14ac:dyDescent="0.25">
      <c r="A24" s="62" t="s">
        <v>44</v>
      </c>
      <c r="B24" s="29" t="s">
        <v>13</v>
      </c>
      <c r="C24" s="30" t="s">
        <v>45</v>
      </c>
      <c r="D24" s="31">
        <v>8244.5300000000007</v>
      </c>
      <c r="E24" s="30"/>
      <c r="F24" s="31">
        <v>5694.03</v>
      </c>
      <c r="G24" s="30"/>
      <c r="H24" s="31">
        <v>2550.5</v>
      </c>
      <c r="I24" s="30"/>
      <c r="J24" s="8"/>
      <c r="K24" s="31">
        <v>6649.22</v>
      </c>
      <c r="L24" s="30"/>
      <c r="M24" s="31">
        <f t="shared" si="7"/>
        <v>4990.2396099999996</v>
      </c>
      <c r="N24" s="31"/>
      <c r="O24" s="31">
        <f t="shared" si="8"/>
        <v>1658.9803900000002</v>
      </c>
      <c r="P24" s="22">
        <f t="shared" si="10"/>
        <v>-891.51960999999983</v>
      </c>
      <c r="Q24" s="22">
        <v>-880.88085799999999</v>
      </c>
      <c r="R24" s="4"/>
      <c r="S24" s="23">
        <f t="shared" si="9"/>
        <v>0</v>
      </c>
      <c r="T24" s="23">
        <f t="shared" si="5"/>
        <v>0</v>
      </c>
    </row>
    <row r="25" spans="1:20" x14ac:dyDescent="0.25">
      <c r="A25" s="62" t="s">
        <v>46</v>
      </c>
      <c r="B25" s="29" t="s">
        <v>13</v>
      </c>
      <c r="C25" s="30" t="s">
        <v>47</v>
      </c>
      <c r="D25" s="31">
        <v>0</v>
      </c>
      <c r="E25" s="30"/>
      <c r="F25" s="31">
        <v>0</v>
      </c>
      <c r="G25" s="30"/>
      <c r="H25" s="31">
        <v>0</v>
      </c>
      <c r="I25" s="30"/>
      <c r="J25" s="8"/>
      <c r="K25" s="31">
        <v>0</v>
      </c>
      <c r="L25" s="30"/>
      <c r="M25" s="31">
        <f t="shared" si="7"/>
        <v>0</v>
      </c>
      <c r="N25" s="31"/>
      <c r="O25" s="31">
        <f t="shared" si="8"/>
        <v>0</v>
      </c>
      <c r="P25" s="22">
        <f t="shared" si="10"/>
        <v>0</v>
      </c>
      <c r="Q25" s="22">
        <v>0</v>
      </c>
      <c r="R25" s="4"/>
      <c r="S25" s="23">
        <f t="shared" si="9"/>
        <v>0</v>
      </c>
      <c r="T25" s="23">
        <f t="shared" si="5"/>
        <v>0</v>
      </c>
    </row>
    <row r="26" spans="1:20" x14ac:dyDescent="0.25">
      <c r="A26" s="62" t="s">
        <v>48</v>
      </c>
      <c r="B26" s="29" t="s">
        <v>13</v>
      </c>
      <c r="C26" s="30" t="s">
        <v>49</v>
      </c>
      <c r="D26" s="31">
        <v>8700.1200000000008</v>
      </c>
      <c r="E26" s="30"/>
      <c r="F26" s="31">
        <v>5989.28</v>
      </c>
      <c r="G26" s="30"/>
      <c r="H26" s="31">
        <v>2710.84</v>
      </c>
      <c r="I26" s="30"/>
      <c r="J26" s="8"/>
      <c r="K26" s="31">
        <v>13058.68</v>
      </c>
      <c r="L26" s="30"/>
      <c r="M26" s="31">
        <f t="shared" si="7"/>
        <v>9800.5393399999994</v>
      </c>
      <c r="N26" s="31"/>
      <c r="O26" s="31">
        <f t="shared" si="8"/>
        <v>3258.14066</v>
      </c>
      <c r="P26" s="22">
        <f t="shared" si="10"/>
        <v>547.30065999999988</v>
      </c>
      <c r="Q26" s="22">
        <v>568.19454799999994</v>
      </c>
      <c r="R26" s="4"/>
      <c r="S26" s="23">
        <f t="shared" si="9"/>
        <v>0</v>
      </c>
      <c r="T26" s="23">
        <f t="shared" si="5"/>
        <v>0</v>
      </c>
    </row>
    <row r="27" spans="1:20" x14ac:dyDescent="0.25">
      <c r="A27" s="62" t="s">
        <v>50</v>
      </c>
      <c r="B27" s="29" t="s">
        <v>13</v>
      </c>
      <c r="C27" s="30" t="s">
        <v>51</v>
      </c>
      <c r="D27" s="31">
        <v>7099.07</v>
      </c>
      <c r="E27" s="32">
        <f>SUM(D22:D27)</f>
        <v>24043.72</v>
      </c>
      <c r="F27" s="31">
        <v>6475.3</v>
      </c>
      <c r="G27" s="32">
        <f>SUM(F22:F27)</f>
        <v>18158.61</v>
      </c>
      <c r="H27" s="31">
        <v>623.77</v>
      </c>
      <c r="I27" s="32">
        <f>SUM(H22:H27)</f>
        <v>5885.1100000000006</v>
      </c>
      <c r="J27" s="8"/>
      <c r="K27" s="31">
        <v>0</v>
      </c>
      <c r="L27" s="32">
        <f>SUM(K22:K27)</f>
        <v>19707.900000000001</v>
      </c>
      <c r="M27" s="31">
        <f t="shared" si="7"/>
        <v>0</v>
      </c>
      <c r="N27" s="31"/>
      <c r="O27" s="31">
        <f t="shared" si="8"/>
        <v>0</v>
      </c>
      <c r="P27" s="22">
        <f t="shared" si="10"/>
        <v>-623.77</v>
      </c>
      <c r="Q27" s="22">
        <v>-623.77</v>
      </c>
      <c r="R27" s="4"/>
      <c r="S27" s="23">
        <f t="shared" si="9"/>
        <v>0</v>
      </c>
      <c r="T27" s="23">
        <f t="shared" si="5"/>
        <v>0</v>
      </c>
    </row>
    <row r="28" spans="1:20" x14ac:dyDescent="0.25">
      <c r="A28" s="62"/>
      <c r="B28" s="7"/>
      <c r="D28" s="25"/>
      <c r="E28" s="23"/>
      <c r="F28" s="25"/>
      <c r="G28" s="25"/>
      <c r="H28" s="25"/>
      <c r="J28" s="8"/>
      <c r="K28" s="25"/>
      <c r="L28" s="33">
        <f>L27-E27</f>
        <v>-4335.82</v>
      </c>
      <c r="M28" s="25"/>
      <c r="N28" s="33">
        <f>N27-G27</f>
        <v>-18158.61</v>
      </c>
      <c r="O28" s="25"/>
      <c r="P28" s="27">
        <f>SUM(P22:P27)</f>
        <v>-967.98894999999993</v>
      </c>
      <c r="Q28" s="27">
        <v>-936.45631000000003</v>
      </c>
      <c r="R28" s="4"/>
      <c r="S28" s="23"/>
      <c r="T28" s="23"/>
    </row>
    <row r="29" spans="1:20" x14ac:dyDescent="0.25">
      <c r="A29" s="62"/>
      <c r="B29" s="7"/>
      <c r="D29" s="25"/>
      <c r="E29" s="23"/>
      <c r="F29" s="25"/>
      <c r="G29" s="25"/>
      <c r="H29" s="25"/>
      <c r="J29" s="8"/>
      <c r="K29" s="25"/>
      <c r="L29" s="28"/>
      <c r="M29" s="25"/>
      <c r="N29" s="25"/>
      <c r="O29" s="25"/>
      <c r="P29" s="34"/>
      <c r="Q29" s="34"/>
      <c r="R29" s="4"/>
      <c r="S29" s="23"/>
      <c r="T29" s="23"/>
    </row>
    <row r="30" spans="1:20" x14ac:dyDescent="0.25">
      <c r="A30" s="62" t="s">
        <v>52</v>
      </c>
      <c r="B30" s="35" t="s">
        <v>13</v>
      </c>
      <c r="C30" s="36" t="s">
        <v>53</v>
      </c>
      <c r="D30" s="37">
        <v>22557.41</v>
      </c>
      <c r="E30" s="36"/>
      <c r="F30" s="37">
        <v>16927.080000000002</v>
      </c>
      <c r="G30" s="37"/>
      <c r="H30" s="37">
        <v>5630.33</v>
      </c>
      <c r="I30" s="36"/>
      <c r="J30" s="8"/>
      <c r="K30" s="37">
        <v>25141.759999999998</v>
      </c>
      <c r="L30" s="36"/>
      <c r="M30" s="37">
        <f>SUM(K30*$M$13)</f>
        <v>18868.890879999999</v>
      </c>
      <c r="N30" s="37"/>
      <c r="O30" s="37">
        <f>SUM(K30*$O$13)</f>
        <v>6272.8691199999994</v>
      </c>
      <c r="P30" s="22">
        <f t="shared" ref="P30" si="11">O30-H30</f>
        <v>642.53911999999946</v>
      </c>
      <c r="Q30" s="22">
        <v>682.76593599999978</v>
      </c>
      <c r="R30" s="4"/>
      <c r="S30" s="23">
        <f>D30-F30-H30</f>
        <v>0</v>
      </c>
      <c r="T30" s="23">
        <f>K30-M30-O30</f>
        <v>0</v>
      </c>
    </row>
    <row r="31" spans="1:20" x14ac:dyDescent="0.25">
      <c r="A31" s="62"/>
      <c r="B31" s="7"/>
      <c r="D31" s="25"/>
      <c r="F31" s="25"/>
      <c r="G31" s="25"/>
      <c r="H31" s="25"/>
      <c r="J31" s="8"/>
      <c r="K31" s="25"/>
      <c r="L31" s="38">
        <f>K30-D30</f>
        <v>2584.3499999999985</v>
      </c>
      <c r="M31" s="2"/>
      <c r="N31" s="38">
        <f>M30-F30</f>
        <v>1941.8108799999973</v>
      </c>
      <c r="O31" s="2"/>
      <c r="P31" s="27">
        <f>SUM(P30)</f>
        <v>642.53911999999946</v>
      </c>
      <c r="Q31" s="27">
        <v>682.76593599999978</v>
      </c>
      <c r="R31" s="4"/>
      <c r="S31" s="23"/>
      <c r="T31" s="23"/>
    </row>
    <row r="32" spans="1:20" x14ac:dyDescent="0.25">
      <c r="A32" s="62"/>
      <c r="B32" s="7"/>
      <c r="D32" s="25"/>
      <c r="F32" s="25"/>
      <c r="G32" s="25"/>
      <c r="H32" s="25"/>
      <c r="J32" s="8"/>
      <c r="K32" s="25"/>
      <c r="L32" s="28"/>
      <c r="M32" s="2"/>
      <c r="N32" s="28"/>
      <c r="O32" s="2"/>
      <c r="P32" s="27"/>
      <c r="Q32" s="27"/>
      <c r="R32" s="4"/>
      <c r="S32" s="23"/>
      <c r="T32" s="23"/>
    </row>
    <row r="33" spans="1:27" x14ac:dyDescent="0.25">
      <c r="A33" s="62" t="s">
        <v>54</v>
      </c>
      <c r="B33" s="39" t="s">
        <v>13</v>
      </c>
      <c r="C33" s="40" t="s">
        <v>55</v>
      </c>
      <c r="D33" s="41">
        <v>226939.45</v>
      </c>
      <c r="E33" s="40"/>
      <c r="F33" s="41">
        <v>167967.75</v>
      </c>
      <c r="G33" s="41"/>
      <c r="H33" s="41">
        <v>58971.7</v>
      </c>
      <c r="I33" s="40"/>
      <c r="J33" s="8"/>
      <c r="K33" s="41">
        <v>297134.28000000003</v>
      </c>
      <c r="L33" s="40"/>
      <c r="M33" s="41">
        <f>SUM(K33*$M$13)</f>
        <v>222999.27713999999</v>
      </c>
      <c r="N33" s="41"/>
      <c r="O33" s="41">
        <f>SUM(K33*$O$13)</f>
        <v>74135.002860000008</v>
      </c>
      <c r="P33" s="60">
        <v>-1715.7</v>
      </c>
      <c r="Q33" s="60">
        <v>-1715.7</v>
      </c>
      <c r="R33" s="4"/>
      <c r="S33" s="23">
        <f>D33-F33-H33</f>
        <v>0</v>
      </c>
      <c r="T33" s="23">
        <f>K33-M33-O33</f>
        <v>0</v>
      </c>
      <c r="U33" s="43" t="s">
        <v>56</v>
      </c>
      <c r="V33" s="43"/>
      <c r="W33" s="44"/>
      <c r="X33" s="44"/>
      <c r="Y33" s="44"/>
      <c r="Z33" s="44"/>
      <c r="AA33" s="44"/>
    </row>
    <row r="34" spans="1:27" x14ac:dyDescent="0.25">
      <c r="A34" s="62"/>
      <c r="B34" s="7"/>
      <c r="D34" s="25"/>
      <c r="E34" s="23"/>
      <c r="F34" s="25"/>
      <c r="G34" s="25"/>
      <c r="H34" s="25"/>
      <c r="J34" s="8"/>
      <c r="K34" s="25"/>
      <c r="L34" s="45">
        <f>K33-D33</f>
        <v>70194.830000000016</v>
      </c>
      <c r="M34" s="2"/>
      <c r="N34" s="45">
        <f>M33-F33</f>
        <v>55031.527139999991</v>
      </c>
      <c r="O34" s="2"/>
      <c r="P34" s="27">
        <f>SUM(P33)</f>
        <v>-1715.7</v>
      </c>
      <c r="Q34" s="27">
        <v>-1715.7</v>
      </c>
      <c r="R34" s="4"/>
      <c r="S34" s="23"/>
      <c r="T34" s="23"/>
      <c r="U34" s="44" t="s">
        <v>57</v>
      </c>
      <c r="V34" s="44"/>
      <c r="W34" s="44"/>
    </row>
    <row r="35" spans="1:27" x14ac:dyDescent="0.25">
      <c r="A35" s="62"/>
      <c r="B35" s="7"/>
      <c r="D35" s="25"/>
      <c r="E35" s="23"/>
      <c r="F35" s="25"/>
      <c r="G35" s="25"/>
      <c r="H35" s="25"/>
      <c r="J35" s="8"/>
      <c r="K35" s="25"/>
      <c r="L35" s="28"/>
      <c r="M35" s="2"/>
      <c r="N35" s="28"/>
      <c r="O35" s="2"/>
      <c r="P35" s="27"/>
      <c r="Q35" s="27"/>
      <c r="R35" s="4"/>
      <c r="S35" s="23"/>
      <c r="T35" s="23"/>
    </row>
    <row r="36" spans="1:27" x14ac:dyDescent="0.25">
      <c r="A36" s="62" t="s">
        <v>58</v>
      </c>
      <c r="B36" s="46" t="s">
        <v>13</v>
      </c>
      <c r="C36" s="47" t="s">
        <v>59</v>
      </c>
      <c r="D36" s="48">
        <v>11714.45</v>
      </c>
      <c r="E36" s="47"/>
      <c r="F36" s="48">
        <v>7500.92</v>
      </c>
      <c r="G36" s="48"/>
      <c r="H36" s="48">
        <v>4213.53</v>
      </c>
      <c r="I36" s="47"/>
      <c r="J36" s="8"/>
      <c r="K36" s="48">
        <v>22578.720000000001</v>
      </c>
      <c r="L36" s="47"/>
      <c r="M36" s="48">
        <f>SUM(K36*$M$13)</f>
        <v>16945.32936</v>
      </c>
      <c r="N36" s="48"/>
      <c r="O36" s="48">
        <f>SUM(K36*$O$13)</f>
        <v>5633.3906400000005</v>
      </c>
      <c r="P36" s="22">
        <f t="shared" ref="P36" si="12">O36-H36</f>
        <v>1419.8606400000008</v>
      </c>
      <c r="Q36" s="22">
        <v>1455.9865920000002</v>
      </c>
      <c r="R36" s="4"/>
      <c r="S36" s="23">
        <f>D36-F36-H36</f>
        <v>0</v>
      </c>
      <c r="T36" s="23">
        <f t="shared" si="5"/>
        <v>0</v>
      </c>
    </row>
    <row r="37" spans="1:27" x14ac:dyDescent="0.25">
      <c r="A37" s="62"/>
      <c r="B37" s="7"/>
      <c r="D37" s="2"/>
      <c r="F37" s="2"/>
      <c r="G37" s="25"/>
      <c r="H37" s="2"/>
      <c r="J37" s="8"/>
      <c r="K37" s="2"/>
      <c r="L37" s="49">
        <f>K36-D36</f>
        <v>10864.27</v>
      </c>
      <c r="M37" s="2"/>
      <c r="N37" s="49">
        <f>M36-F36</f>
        <v>9444.4093599999997</v>
      </c>
      <c r="O37" s="2"/>
      <c r="P37" s="27">
        <f>SUM(P36)</f>
        <v>1419.8606400000008</v>
      </c>
      <c r="Q37" s="27">
        <v>1455.9865920000002</v>
      </c>
      <c r="R37" s="4"/>
      <c r="S37" s="23"/>
      <c r="T37" s="23"/>
    </row>
    <row r="38" spans="1:27" x14ac:dyDescent="0.25">
      <c r="A38" s="62"/>
      <c r="B38" s="7"/>
      <c r="D38" s="2"/>
      <c r="F38" s="2"/>
      <c r="G38" s="25"/>
      <c r="H38" s="2"/>
      <c r="J38" s="8"/>
      <c r="K38" s="2"/>
      <c r="M38" s="2"/>
      <c r="N38" s="25"/>
      <c r="O38" s="2"/>
      <c r="R38" s="4"/>
      <c r="S38" s="23"/>
      <c r="T38" s="23"/>
    </row>
    <row r="39" spans="1:27" x14ac:dyDescent="0.25">
      <c r="A39" s="62"/>
      <c r="B39" s="7"/>
      <c r="D39" s="2"/>
      <c r="F39" s="2"/>
      <c r="G39" s="25"/>
      <c r="H39" s="2"/>
      <c r="J39" s="8"/>
      <c r="K39" s="2"/>
      <c r="M39" s="2"/>
      <c r="N39" s="25"/>
      <c r="O39" s="2"/>
      <c r="P39" s="51">
        <f>P20+P28+P31+P34+P37</f>
        <v>-15370.192647499998</v>
      </c>
      <c r="Q39" s="51">
        <v>-15251.804175499998</v>
      </c>
      <c r="R39" s="4"/>
      <c r="S39" s="23"/>
      <c r="T39" s="23"/>
    </row>
    <row r="40" spans="1:27" ht="18.75" x14ac:dyDescent="0.3">
      <c r="P40" s="134" t="s">
        <v>126</v>
      </c>
      <c r="Q40" s="133">
        <f>+Q39-P39</f>
        <v>118.38847200000055</v>
      </c>
      <c r="R40" s="4"/>
    </row>
    <row r="41" spans="1:27" x14ac:dyDescent="0.25">
      <c r="R41" s="4"/>
    </row>
    <row r="42" spans="1:27" x14ac:dyDescent="0.25">
      <c r="R42" s="4"/>
    </row>
    <row r="43" spans="1:27" x14ac:dyDescent="0.25">
      <c r="C43" s="6" t="s">
        <v>0</v>
      </c>
      <c r="D43" s="7" t="s">
        <v>1</v>
      </c>
      <c r="F43" s="7" t="s">
        <v>2</v>
      </c>
      <c r="G43" s="7"/>
      <c r="H43" s="7" t="s">
        <v>3</v>
      </c>
      <c r="J43" s="8"/>
      <c r="K43" s="7" t="s">
        <v>1</v>
      </c>
      <c r="M43" s="7" t="s">
        <v>2</v>
      </c>
      <c r="N43" s="7"/>
      <c r="O43" s="7" t="s">
        <v>3</v>
      </c>
      <c r="R43" s="4"/>
    </row>
    <row r="44" spans="1:27" x14ac:dyDescent="0.25">
      <c r="C44" s="6" t="s">
        <v>4</v>
      </c>
      <c r="D44" s="52"/>
      <c r="J44" s="8"/>
      <c r="K44" s="53" t="s">
        <v>22</v>
      </c>
      <c r="R44" s="4"/>
    </row>
    <row r="45" spans="1:27" x14ac:dyDescent="0.25">
      <c r="C45" s="6" t="s">
        <v>5</v>
      </c>
      <c r="D45" s="7"/>
      <c r="J45" s="8"/>
      <c r="K45" s="7" t="s">
        <v>6</v>
      </c>
      <c r="R45" s="4"/>
    </row>
    <row r="46" spans="1:27" x14ac:dyDescent="0.25">
      <c r="C46" s="6" t="s">
        <v>7</v>
      </c>
      <c r="D46" s="54"/>
      <c r="J46" s="8"/>
      <c r="K46" s="10" t="s">
        <v>64</v>
      </c>
      <c r="R46" s="4"/>
    </row>
    <row r="47" spans="1:27" x14ac:dyDescent="0.25">
      <c r="C47" s="6" t="s">
        <v>8</v>
      </c>
      <c r="D47" s="7"/>
      <c r="J47" s="8"/>
      <c r="K47" s="7" t="s">
        <v>9</v>
      </c>
      <c r="R47" s="4"/>
    </row>
    <row r="48" spans="1:27" x14ac:dyDescent="0.25">
      <c r="C48" s="6" t="s">
        <v>11</v>
      </c>
      <c r="D48" s="7"/>
      <c r="J48" s="8"/>
      <c r="K48" s="7" t="s">
        <v>12</v>
      </c>
      <c r="R48" s="4"/>
    </row>
    <row r="49" spans="1:20" x14ac:dyDescent="0.25">
      <c r="C49" s="6" t="s">
        <v>10</v>
      </c>
      <c r="D49" s="12"/>
      <c r="J49" s="8"/>
      <c r="K49" s="12" t="s">
        <v>13</v>
      </c>
      <c r="R49" s="4"/>
    </row>
    <row r="50" spans="1:20" x14ac:dyDescent="0.25">
      <c r="D50" s="55"/>
      <c r="J50" s="8"/>
      <c r="K50" s="13" t="s">
        <v>25</v>
      </c>
      <c r="R50" s="4"/>
    </row>
    <row r="51" spans="1:20" x14ac:dyDescent="0.25">
      <c r="A51" s="4" t="s">
        <v>26</v>
      </c>
      <c r="B51" s="5" t="s">
        <v>27</v>
      </c>
      <c r="D51" s="56" t="s">
        <v>61</v>
      </c>
      <c r="J51" s="8"/>
      <c r="K51" s="14" t="str">
        <f t="shared" ref="K51" si="13">TEXT(K46&amp;"/1/"&amp;K44,"mmm yy")</f>
        <v>Jan 21</v>
      </c>
      <c r="R51" s="4"/>
    </row>
    <row r="52" spans="1:20" x14ac:dyDescent="0.25">
      <c r="D52" s="15"/>
      <c r="F52" s="15"/>
      <c r="G52" s="16"/>
      <c r="H52" s="15"/>
      <c r="J52" s="8"/>
      <c r="K52" s="15"/>
      <c r="M52" s="15"/>
      <c r="N52" s="16"/>
      <c r="O52" s="15"/>
      <c r="R52" s="4"/>
    </row>
    <row r="53" spans="1:20" x14ac:dyDescent="0.25">
      <c r="D53" s="283" t="s">
        <v>62</v>
      </c>
      <c r="E53" s="283"/>
      <c r="F53" s="283"/>
      <c r="G53" s="16"/>
      <c r="H53" s="15"/>
      <c r="J53" s="8"/>
      <c r="K53" s="282" t="s">
        <v>18</v>
      </c>
      <c r="L53" s="282"/>
      <c r="M53" s="282"/>
      <c r="N53" s="16"/>
      <c r="O53" s="15"/>
      <c r="R53" s="4"/>
    </row>
    <row r="54" spans="1:20" x14ac:dyDescent="0.25">
      <c r="D54" s="283"/>
      <c r="E54" s="283"/>
      <c r="F54" s="283"/>
      <c r="G54" s="16"/>
      <c r="H54" s="15"/>
      <c r="J54" s="8"/>
      <c r="K54" s="15">
        <v>2020</v>
      </c>
      <c r="M54" s="17">
        <v>0.75049999999999994</v>
      </c>
      <c r="N54" s="16"/>
      <c r="P54" s="17">
        <v>0.2495</v>
      </c>
      <c r="R54" s="4"/>
      <c r="S54" s="5" t="s">
        <v>17</v>
      </c>
    </row>
    <row r="55" spans="1:20" x14ac:dyDescent="0.25">
      <c r="D55" s="15"/>
      <c r="J55" s="8"/>
      <c r="K55" s="15"/>
      <c r="N55" s="68" t="s">
        <v>15</v>
      </c>
      <c r="O55" s="68" t="s">
        <v>15</v>
      </c>
      <c r="R55" s="4"/>
    </row>
    <row r="56" spans="1:20" x14ac:dyDescent="0.25">
      <c r="A56" s="62" t="s">
        <v>28</v>
      </c>
      <c r="B56" s="19" t="s">
        <v>13</v>
      </c>
      <c r="C56" s="20" t="s">
        <v>29</v>
      </c>
      <c r="D56" s="21">
        <f>SUM('[1]Paste Special WA 5yr'!D14)/12</f>
        <v>14761.550000000001</v>
      </c>
      <c r="E56" s="20"/>
      <c r="F56" s="21">
        <f>SUM('[1]Paste Special WA 5yr'!F14)/12</f>
        <v>10845.024666666666</v>
      </c>
      <c r="G56" s="21"/>
      <c r="H56" s="21">
        <f>SUM('[1]Paste Special WA 5yr'!H14)/12</f>
        <v>3916.5253333333335</v>
      </c>
      <c r="I56" s="20"/>
      <c r="J56" s="8"/>
      <c r="K56" s="21">
        <v>110.6</v>
      </c>
      <c r="L56" s="20"/>
      <c r="M56" s="21">
        <f>SUM(K56*$M$54)</f>
        <v>83.005299999999991</v>
      </c>
      <c r="N56" s="58">
        <f>M56-F56</f>
        <v>-10762.019366666666</v>
      </c>
      <c r="O56" s="58">
        <v>-10762.196326666666</v>
      </c>
      <c r="P56" s="21">
        <f t="shared" ref="P56:P61" si="14">SUM(K56*$P$54)</f>
        <v>27.5947</v>
      </c>
      <c r="Q56" s="20"/>
      <c r="R56" s="4"/>
      <c r="S56" s="23">
        <f t="shared" ref="S56:S61" si="15">D56-F56-H56</f>
        <v>0</v>
      </c>
      <c r="T56" s="23">
        <f t="shared" ref="T56:T61" si="16">K56-M56-P56</f>
        <v>0</v>
      </c>
    </row>
    <row r="57" spans="1:20" x14ac:dyDescent="0.25">
      <c r="A57" s="62" t="s">
        <v>30</v>
      </c>
      <c r="B57" s="19" t="s">
        <v>13</v>
      </c>
      <c r="C57" s="20" t="s">
        <v>31</v>
      </c>
      <c r="D57" s="21">
        <f>SUM('[1]Paste Special WA 5yr'!D15)/12</f>
        <v>3779.2791666666667</v>
      </c>
      <c r="E57" s="20"/>
      <c r="F57" s="21">
        <f>SUM('[1]Paste Special WA 5yr'!F15)/12</f>
        <v>2797.3644999999997</v>
      </c>
      <c r="G57" s="21"/>
      <c r="H57" s="21">
        <f>SUM('[1]Paste Special WA 5yr'!H15)/12</f>
        <v>981.91466666666656</v>
      </c>
      <c r="I57" s="20"/>
      <c r="J57" s="8"/>
      <c r="K57" s="21">
        <v>0</v>
      </c>
      <c r="L57" s="20"/>
      <c r="M57" s="21">
        <f t="shared" ref="M57:M61" si="17">SUM(K57*$M$54)</f>
        <v>0</v>
      </c>
      <c r="N57" s="58">
        <f t="shared" ref="N57:N61" si="18">M57-F57</f>
        <v>-2797.3644999999997</v>
      </c>
      <c r="O57" s="58">
        <v>-2797.3644999999997</v>
      </c>
      <c r="P57" s="21">
        <f t="shared" si="14"/>
        <v>0</v>
      </c>
      <c r="Q57" s="20"/>
      <c r="R57" s="4"/>
      <c r="S57" s="23">
        <f t="shared" si="15"/>
        <v>0</v>
      </c>
      <c r="T57" s="23">
        <f t="shared" si="16"/>
        <v>0</v>
      </c>
    </row>
    <row r="58" spans="1:20" x14ac:dyDescent="0.25">
      <c r="A58" s="62" t="s">
        <v>32</v>
      </c>
      <c r="B58" s="19" t="s">
        <v>13</v>
      </c>
      <c r="C58" s="20" t="s">
        <v>33</v>
      </c>
      <c r="D58" s="21">
        <f>SUM('[1]Paste Special WA 5yr'!D16)/12</f>
        <v>1259.5603333333331</v>
      </c>
      <c r="E58" s="20"/>
      <c r="F58" s="21">
        <f>SUM('[1]Paste Special WA 5yr'!F16)/12</f>
        <v>941.35399999999993</v>
      </c>
      <c r="G58" s="21"/>
      <c r="H58" s="21">
        <f>SUM('[1]Paste Special WA 5yr'!H16)/12</f>
        <v>318.20633333333336</v>
      </c>
      <c r="I58" s="20"/>
      <c r="J58" s="8"/>
      <c r="K58" s="21">
        <v>0</v>
      </c>
      <c r="L58" s="20"/>
      <c r="M58" s="21">
        <f t="shared" si="17"/>
        <v>0</v>
      </c>
      <c r="N58" s="58">
        <f t="shared" si="18"/>
        <v>-941.35399999999993</v>
      </c>
      <c r="O58" s="58">
        <v>-941.35399999999993</v>
      </c>
      <c r="P58" s="21">
        <f t="shared" si="14"/>
        <v>0</v>
      </c>
      <c r="Q58" s="20"/>
      <c r="R58" s="4"/>
      <c r="S58" s="23">
        <f t="shared" si="15"/>
        <v>0</v>
      </c>
      <c r="T58" s="23">
        <f t="shared" si="16"/>
        <v>0</v>
      </c>
    </row>
    <row r="59" spans="1:20" x14ac:dyDescent="0.25">
      <c r="A59" s="62" t="s">
        <v>34</v>
      </c>
      <c r="B59" s="19" t="s">
        <v>13</v>
      </c>
      <c r="C59" s="20" t="s">
        <v>35</v>
      </c>
      <c r="D59" s="21">
        <f>SUM('[1]Paste Special WA 5yr'!D17)/12</f>
        <v>23419.128000000001</v>
      </c>
      <c r="E59" s="20"/>
      <c r="F59" s="21">
        <f>SUM('[1]Paste Special WA 5yr'!F17)/12</f>
        <v>16565.006833333333</v>
      </c>
      <c r="G59" s="21"/>
      <c r="H59" s="21">
        <f>SUM('[1]Paste Special WA 5yr'!H17)/12</f>
        <v>6854.1211666666668</v>
      </c>
      <c r="I59" s="20"/>
      <c r="J59" s="8"/>
      <c r="K59" s="21">
        <v>4605.17</v>
      </c>
      <c r="L59" s="20"/>
      <c r="M59" s="21">
        <f t="shared" si="17"/>
        <v>3456.180085</v>
      </c>
      <c r="N59" s="58">
        <f t="shared" si="18"/>
        <v>-13108.826748333333</v>
      </c>
      <c r="O59" s="58">
        <v>-13116.195020333333</v>
      </c>
      <c r="P59" s="21">
        <f t="shared" si="14"/>
        <v>1148.9899150000001</v>
      </c>
      <c r="Q59" s="20"/>
      <c r="R59" s="4"/>
      <c r="S59" s="23">
        <f t="shared" si="15"/>
        <v>0</v>
      </c>
      <c r="T59" s="23">
        <f t="shared" si="16"/>
        <v>0</v>
      </c>
    </row>
    <row r="60" spans="1:20" x14ac:dyDescent="0.25">
      <c r="A60" s="62" t="s">
        <v>36</v>
      </c>
      <c r="B60" s="19" t="s">
        <v>13</v>
      </c>
      <c r="C60" s="20" t="s">
        <v>37</v>
      </c>
      <c r="D60" s="21">
        <f>SUM('[1]Paste Special WA 5yr'!D18)/12</f>
        <v>25420.995500000001</v>
      </c>
      <c r="E60" s="20"/>
      <c r="F60" s="21">
        <f>SUM('[1]Paste Special WA 5yr'!F18)/12</f>
        <v>18246.845166666666</v>
      </c>
      <c r="G60" s="21"/>
      <c r="H60" s="21">
        <f>SUM('[1]Paste Special WA 5yr'!H18)/12</f>
        <v>7174.1503333333339</v>
      </c>
      <c r="I60" s="20"/>
      <c r="J60" s="8"/>
      <c r="K60" s="21">
        <v>4151.2299999999996</v>
      </c>
      <c r="L60" s="20"/>
      <c r="M60" s="21">
        <f t="shared" si="17"/>
        <v>3115.4981149999994</v>
      </c>
      <c r="N60" s="58">
        <f t="shared" si="18"/>
        <v>-15131.347051666668</v>
      </c>
      <c r="O60" s="58">
        <v>-15137.989019666667</v>
      </c>
      <c r="P60" s="21">
        <f t="shared" si="14"/>
        <v>1035.7318849999999</v>
      </c>
      <c r="Q60" s="20"/>
      <c r="R60" s="4"/>
      <c r="S60" s="23">
        <f t="shared" si="15"/>
        <v>0</v>
      </c>
      <c r="T60" s="23">
        <f t="shared" si="16"/>
        <v>0</v>
      </c>
    </row>
    <row r="61" spans="1:20" x14ac:dyDescent="0.25">
      <c r="A61" s="62" t="s">
        <v>38</v>
      </c>
      <c r="B61" s="19" t="s">
        <v>13</v>
      </c>
      <c r="C61" s="20" t="s">
        <v>39</v>
      </c>
      <c r="D61" s="21">
        <f>SUM('[1]Paste Special WA 5yr'!D19)/12</f>
        <v>335.31433333333331</v>
      </c>
      <c r="E61" s="20"/>
      <c r="F61" s="21">
        <f>SUM('[1]Paste Special WA 5yr'!F19)/12</f>
        <v>255.99350000000001</v>
      </c>
      <c r="G61" s="21"/>
      <c r="H61" s="21">
        <f>SUM('[1]Paste Special WA 5yr'!H19)/12</f>
        <v>79.32083333333334</v>
      </c>
      <c r="I61" s="24">
        <f>SUM(H56:H61)</f>
        <v>19324.238666666672</v>
      </c>
      <c r="J61" s="8"/>
      <c r="K61" s="21">
        <v>0</v>
      </c>
      <c r="L61" s="24">
        <f>SUM(K56:K61)</f>
        <v>8867</v>
      </c>
      <c r="M61" s="21">
        <f t="shared" si="17"/>
        <v>0</v>
      </c>
      <c r="N61" s="58">
        <f t="shared" si="18"/>
        <v>-255.99350000000001</v>
      </c>
      <c r="O61" s="58">
        <v>-255.99350000000001</v>
      </c>
      <c r="P61" s="21">
        <f t="shared" si="14"/>
        <v>0</v>
      </c>
      <c r="Q61" s="24">
        <f>SUM(P56:P61)</f>
        <v>2212.3164999999999</v>
      </c>
      <c r="R61" s="4"/>
      <c r="S61" s="23">
        <f t="shared" si="15"/>
        <v>0</v>
      </c>
      <c r="T61" s="23">
        <f t="shared" si="16"/>
        <v>0</v>
      </c>
    </row>
    <row r="62" spans="1:20" x14ac:dyDescent="0.25">
      <c r="A62" s="62"/>
      <c r="B62" s="7"/>
      <c r="D62" s="2"/>
      <c r="F62" s="2"/>
      <c r="G62" s="25"/>
      <c r="H62" s="2"/>
      <c r="J62" s="8"/>
      <c r="K62" s="2"/>
      <c r="L62" s="26">
        <f>L61-E61</f>
        <v>8867</v>
      </c>
      <c r="M62" s="2"/>
      <c r="N62" s="59">
        <f>SUM(N56:N61)</f>
        <v>-42996.905166666664</v>
      </c>
      <c r="O62" s="59">
        <v>-43011.092366666664</v>
      </c>
      <c r="P62" s="2"/>
      <c r="Q62" s="26">
        <f>Q61-I61</f>
        <v>-17111.922166666671</v>
      </c>
      <c r="R62" s="4"/>
      <c r="S62" s="23"/>
      <c r="T62" s="23"/>
    </row>
    <row r="63" spans="1:20" x14ac:dyDescent="0.25">
      <c r="A63" s="62"/>
      <c r="B63" s="7"/>
      <c r="D63" s="2"/>
      <c r="F63" s="2"/>
      <c r="G63" s="25"/>
      <c r="H63" s="2"/>
      <c r="J63" s="8"/>
      <c r="K63" s="2"/>
      <c r="L63" s="28"/>
      <c r="M63" s="25"/>
      <c r="N63" s="59"/>
      <c r="O63" s="59"/>
      <c r="P63" s="2"/>
      <c r="Q63" s="2"/>
      <c r="R63" s="4"/>
      <c r="S63" s="23"/>
      <c r="T63" s="23"/>
    </row>
    <row r="64" spans="1:20" x14ac:dyDescent="0.25">
      <c r="A64" s="62" t="s">
        <v>40</v>
      </c>
      <c r="B64" s="29" t="s">
        <v>13</v>
      </c>
      <c r="C64" s="30" t="s">
        <v>41</v>
      </c>
      <c r="D64" s="31">
        <f>SUM('[1]Paste Special WA 5yr'!D22)/12</f>
        <v>235.60100000000003</v>
      </c>
      <c r="E64" s="30"/>
      <c r="F64" s="31">
        <f>SUM('[1]Paste Special WA 5yr'!F22)/12</f>
        <v>178.32866666666669</v>
      </c>
      <c r="G64" s="30"/>
      <c r="H64" s="31">
        <f>SUM('[1]Paste Special WA 5yr'!H22)/12</f>
        <v>57.272333333333329</v>
      </c>
      <c r="I64" s="30"/>
      <c r="J64" s="8"/>
      <c r="K64" s="31">
        <v>0</v>
      </c>
      <c r="L64" s="30"/>
      <c r="M64" s="31">
        <f>SUM(K64*$M$54)</f>
        <v>0</v>
      </c>
      <c r="N64" s="58">
        <f>M64-F64</f>
        <v>-178.32866666666669</v>
      </c>
      <c r="O64" s="58">
        <v>-178.32866666666669</v>
      </c>
      <c r="P64" s="31">
        <f t="shared" ref="P64:P69" si="19">SUM(K64*$P$54)</f>
        <v>0</v>
      </c>
      <c r="Q64" s="30"/>
      <c r="R64" s="4"/>
      <c r="S64" s="23">
        <f t="shared" ref="S64:S69" si="20">D64-F64-H64</f>
        <v>0</v>
      </c>
      <c r="T64" s="23">
        <f t="shared" ref="T64:T69" si="21">K64-M64-P64</f>
        <v>0</v>
      </c>
    </row>
    <row r="65" spans="1:27" x14ac:dyDescent="0.25">
      <c r="A65" s="62" t="s">
        <v>42</v>
      </c>
      <c r="B65" s="29" t="s">
        <v>13</v>
      </c>
      <c r="C65" s="30" t="s">
        <v>43</v>
      </c>
      <c r="D65" s="31">
        <f>SUM('[1]Paste Special WA 5yr'!D23)/12</f>
        <v>98.616666666666674</v>
      </c>
      <c r="E65" s="30"/>
      <c r="F65" s="31">
        <f>SUM('[1]Paste Special WA 5yr'!F23)/12</f>
        <v>97.95</v>
      </c>
      <c r="G65" s="30"/>
      <c r="H65" s="31">
        <f>SUM('[1]Paste Special WA 5yr'!H23)/12</f>
        <v>0.66666666666666663</v>
      </c>
      <c r="I65" s="30"/>
      <c r="J65" s="8"/>
      <c r="K65" s="31">
        <v>0</v>
      </c>
      <c r="L65" s="30"/>
      <c r="M65" s="31">
        <f t="shared" ref="M65:M69" si="22">SUM(K65*$M$54)</f>
        <v>0</v>
      </c>
      <c r="N65" s="58">
        <f t="shared" ref="N65:N69" si="23">M65-F65</f>
        <v>-97.95</v>
      </c>
      <c r="O65" s="58">
        <v>-97.95</v>
      </c>
      <c r="P65" s="31">
        <f t="shared" si="19"/>
        <v>0</v>
      </c>
      <c r="Q65" s="30"/>
      <c r="R65" s="4"/>
      <c r="S65" s="23">
        <f t="shared" si="20"/>
        <v>4.7739590058881731E-15</v>
      </c>
      <c r="T65" s="23">
        <f t="shared" si="21"/>
        <v>0</v>
      </c>
    </row>
    <row r="66" spans="1:27" x14ac:dyDescent="0.25">
      <c r="A66" s="62" t="s">
        <v>44</v>
      </c>
      <c r="B66" s="29" t="s">
        <v>13</v>
      </c>
      <c r="C66" s="30" t="s">
        <v>45</v>
      </c>
      <c r="D66" s="31">
        <f>SUM('[1]Paste Special WA 5yr'!D24)/12</f>
        <v>9038.3494999999984</v>
      </c>
      <c r="E66" s="30"/>
      <c r="F66" s="31">
        <f>SUM('[1]Paste Special WA 5yr'!F24)/12</f>
        <v>6827.0563333333339</v>
      </c>
      <c r="G66" s="30"/>
      <c r="H66" s="31">
        <f>SUM('[1]Paste Special WA 5yr'!H24)/12</f>
        <v>2211.2931666666668</v>
      </c>
      <c r="I66" s="30"/>
      <c r="J66" s="8"/>
      <c r="K66" s="31">
        <v>6649.22</v>
      </c>
      <c r="L66" s="30"/>
      <c r="M66" s="31">
        <f t="shared" si="22"/>
        <v>4990.2396099999996</v>
      </c>
      <c r="N66" s="58">
        <f t="shared" si="23"/>
        <v>-1836.8167233333343</v>
      </c>
      <c r="O66" s="58">
        <v>-1847.4554753333332</v>
      </c>
      <c r="P66" s="31">
        <f t="shared" si="19"/>
        <v>1658.9803900000002</v>
      </c>
      <c r="Q66" s="30"/>
      <c r="R66" s="4"/>
      <c r="S66" s="23">
        <f t="shared" si="20"/>
        <v>0</v>
      </c>
      <c r="T66" s="23">
        <f t="shared" si="21"/>
        <v>0</v>
      </c>
    </row>
    <row r="67" spans="1:27" x14ac:dyDescent="0.25">
      <c r="A67" s="62" t="s">
        <v>46</v>
      </c>
      <c r="B67" s="29" t="s">
        <v>13</v>
      </c>
      <c r="C67" s="30" t="s">
        <v>47</v>
      </c>
      <c r="D67" s="31">
        <f>SUM('[1]Paste Special WA 5yr'!D25)/12</f>
        <v>479.02249999999998</v>
      </c>
      <c r="E67" s="30"/>
      <c r="F67" s="31">
        <f>SUM('[1]Paste Special WA 5yr'!F25)/12</f>
        <v>362.63016666666664</v>
      </c>
      <c r="G67" s="30"/>
      <c r="H67" s="31">
        <f>SUM('[1]Paste Special WA 5yr'!H25)/12</f>
        <v>116.39233333333334</v>
      </c>
      <c r="I67" s="30"/>
      <c r="J67" s="8"/>
      <c r="K67" s="31">
        <v>0</v>
      </c>
      <c r="L67" s="30"/>
      <c r="M67" s="31">
        <f t="shared" si="22"/>
        <v>0</v>
      </c>
      <c r="N67" s="58">
        <f t="shared" si="23"/>
        <v>-362.63016666666664</v>
      </c>
      <c r="O67" s="58">
        <v>-362.63016666666664</v>
      </c>
      <c r="P67" s="31">
        <f t="shared" si="19"/>
        <v>0</v>
      </c>
      <c r="Q67" s="30"/>
      <c r="R67" s="4"/>
      <c r="S67" s="23">
        <f t="shared" si="20"/>
        <v>0</v>
      </c>
      <c r="T67" s="23">
        <f t="shared" si="21"/>
        <v>0</v>
      </c>
    </row>
    <row r="68" spans="1:27" x14ac:dyDescent="0.25">
      <c r="A68" s="62" t="s">
        <v>48</v>
      </c>
      <c r="B68" s="29" t="s">
        <v>13</v>
      </c>
      <c r="C68" s="30" t="s">
        <v>49</v>
      </c>
      <c r="D68" s="31">
        <f>SUM('[1]Paste Special WA 5yr'!D26)/12</f>
        <v>12340.912666666665</v>
      </c>
      <c r="E68" s="30"/>
      <c r="F68" s="31">
        <f>SUM('[1]Paste Special WA 5yr'!F26)/12</f>
        <v>8779.150333333333</v>
      </c>
      <c r="G68" s="30"/>
      <c r="H68" s="31">
        <f>SUM('[1]Paste Special WA 5yr'!H26)/12</f>
        <v>3561.7623333333336</v>
      </c>
      <c r="I68" s="30"/>
      <c r="J68" s="8"/>
      <c r="K68" s="31">
        <v>13058.68</v>
      </c>
      <c r="L68" s="30"/>
      <c r="M68" s="31">
        <f t="shared" si="22"/>
        <v>9800.5393399999994</v>
      </c>
      <c r="N68" s="58">
        <f t="shared" si="23"/>
        <v>1021.3890066666663</v>
      </c>
      <c r="O68" s="58">
        <v>1000.4951186666676</v>
      </c>
      <c r="P68" s="31">
        <f t="shared" si="19"/>
        <v>3258.14066</v>
      </c>
      <c r="Q68" s="30"/>
      <c r="R68" s="4"/>
      <c r="S68" s="23">
        <f t="shared" si="20"/>
        <v>0</v>
      </c>
      <c r="T68" s="23">
        <f t="shared" si="21"/>
        <v>0</v>
      </c>
    </row>
    <row r="69" spans="1:27" x14ac:dyDescent="0.25">
      <c r="A69" s="62" t="s">
        <v>50</v>
      </c>
      <c r="B69" s="29" t="s">
        <v>13</v>
      </c>
      <c r="C69" s="30" t="s">
        <v>51</v>
      </c>
      <c r="D69" s="31">
        <f>SUM('[1]Paste Special WA 5yr'!D27)/12</f>
        <v>1336.7904999999998</v>
      </c>
      <c r="E69" s="30"/>
      <c r="F69" s="31">
        <f>SUM('[1]Paste Special WA 5yr'!F27)/12</f>
        <v>1078.6363333333334</v>
      </c>
      <c r="G69" s="30"/>
      <c r="H69" s="31">
        <f>SUM('[1]Paste Special WA 5yr'!H27)/12</f>
        <v>258.15416666666664</v>
      </c>
      <c r="I69" s="32">
        <f>SUM(H64:H69)</f>
        <v>6205.5410000000002</v>
      </c>
      <c r="J69" s="8"/>
      <c r="K69" s="31">
        <v>0</v>
      </c>
      <c r="L69" s="32">
        <f>SUM(K64:K69)</f>
        <v>19707.900000000001</v>
      </c>
      <c r="M69" s="31">
        <f t="shared" si="22"/>
        <v>0</v>
      </c>
      <c r="N69" s="58">
        <f t="shared" si="23"/>
        <v>-1078.6363333333334</v>
      </c>
      <c r="O69" s="58">
        <v>-1078.6363333333334</v>
      </c>
      <c r="P69" s="31">
        <f t="shared" si="19"/>
        <v>0</v>
      </c>
      <c r="Q69" s="32">
        <f>SUM(P64:P69)</f>
        <v>4917.1210499999997</v>
      </c>
      <c r="R69" s="4"/>
      <c r="S69" s="23">
        <f t="shared" si="20"/>
        <v>0</v>
      </c>
      <c r="T69" s="23">
        <f t="shared" si="21"/>
        <v>0</v>
      </c>
    </row>
    <row r="70" spans="1:27" x14ac:dyDescent="0.25">
      <c r="A70" s="62"/>
      <c r="B70" s="7"/>
      <c r="D70" s="25"/>
      <c r="E70" s="23"/>
      <c r="F70" s="25"/>
      <c r="G70" s="25"/>
      <c r="H70" s="25"/>
      <c r="J70" s="8"/>
      <c r="K70" s="25"/>
      <c r="L70" s="33">
        <f>L69-E69</f>
        <v>19707.900000000001</v>
      </c>
      <c r="M70" s="25"/>
      <c r="N70" s="59">
        <f>SUM(N64:N69)</f>
        <v>-2532.9728833333347</v>
      </c>
      <c r="O70" s="59">
        <v>-2564.5055233333323</v>
      </c>
      <c r="P70" s="25"/>
      <c r="Q70" s="33">
        <f>Q69-I69</f>
        <v>-1288.4199500000004</v>
      </c>
      <c r="R70" s="4"/>
      <c r="S70" s="23"/>
      <c r="T70" s="23"/>
    </row>
    <row r="71" spans="1:27" x14ac:dyDescent="0.25">
      <c r="A71" s="62"/>
      <c r="B71" s="7"/>
      <c r="D71" s="25"/>
      <c r="E71" s="23"/>
      <c r="F71" s="25"/>
      <c r="G71" s="25"/>
      <c r="H71" s="25"/>
      <c r="J71" s="8"/>
      <c r="K71" s="25"/>
      <c r="L71" s="28"/>
      <c r="M71" s="25"/>
      <c r="N71" s="58"/>
      <c r="O71" s="58"/>
      <c r="P71" s="25"/>
      <c r="Q71" s="25"/>
      <c r="R71" s="4"/>
      <c r="S71" s="23"/>
      <c r="T71" s="23"/>
    </row>
    <row r="72" spans="1:27" x14ac:dyDescent="0.25">
      <c r="A72" s="62" t="s">
        <v>52</v>
      </c>
      <c r="B72" s="35" t="s">
        <v>13</v>
      </c>
      <c r="C72" s="36" t="s">
        <v>53</v>
      </c>
      <c r="D72" s="37">
        <f>SUM('[1]Paste Special WA 5yr'!D30)/12</f>
        <v>30235.661500000002</v>
      </c>
      <c r="E72" s="36"/>
      <c r="F72" s="37">
        <f>SUM('[1]Paste Special WA 5yr'!F30)/12</f>
        <v>22754.826499999999</v>
      </c>
      <c r="G72" s="36"/>
      <c r="H72" s="37">
        <f>SUM('[1]Paste Special WA 5yr'!H30)/12</f>
        <v>7480.835</v>
      </c>
      <c r="I72" s="36"/>
      <c r="J72" s="8"/>
      <c r="K72" s="37">
        <v>25141.759999999998</v>
      </c>
      <c r="L72" s="36"/>
      <c r="M72" s="37">
        <f t="shared" ref="M72" si="24">SUM(K72*$M$54)</f>
        <v>18868.890879999999</v>
      </c>
      <c r="N72" s="58">
        <f t="shared" ref="N72" si="25">M72-F72</f>
        <v>-3885.9356200000002</v>
      </c>
      <c r="O72" s="58">
        <v>-3926.1624359999987</v>
      </c>
      <c r="P72" s="37">
        <f>SUM(K72*$P$54)</f>
        <v>6272.8691199999994</v>
      </c>
      <c r="Q72" s="36"/>
      <c r="R72" s="4"/>
      <c r="S72" s="23">
        <f>D72-F72-H72</f>
        <v>0</v>
      </c>
      <c r="T72" s="23">
        <f>K72-M72-P72</f>
        <v>0</v>
      </c>
    </row>
    <row r="73" spans="1:27" x14ac:dyDescent="0.25">
      <c r="A73" s="62"/>
      <c r="B73" s="7"/>
      <c r="D73" s="25"/>
      <c r="F73" s="25"/>
      <c r="G73" s="25"/>
      <c r="H73" s="25"/>
      <c r="J73" s="8"/>
      <c r="K73" s="25"/>
      <c r="L73" s="38">
        <f>K72-D72</f>
        <v>-5093.9015000000036</v>
      </c>
      <c r="M73" s="25"/>
      <c r="N73" s="59">
        <f>SUM(N72)</f>
        <v>-3885.9356200000002</v>
      </c>
      <c r="O73" s="59">
        <v>-3926.1624359999987</v>
      </c>
      <c r="P73" s="25"/>
      <c r="Q73" s="38">
        <f>P72-H72</f>
        <v>-1207.9658800000007</v>
      </c>
      <c r="R73" s="4"/>
      <c r="S73" s="23"/>
      <c r="T73" s="23"/>
    </row>
    <row r="74" spans="1:27" x14ac:dyDescent="0.25">
      <c r="A74" s="62"/>
      <c r="B74" s="7"/>
      <c r="D74" s="25"/>
      <c r="F74" s="25"/>
      <c r="G74" s="25"/>
      <c r="H74" s="25"/>
      <c r="J74" s="8"/>
      <c r="K74" s="25"/>
      <c r="L74" s="28"/>
      <c r="M74" s="25"/>
      <c r="N74" s="59"/>
      <c r="O74" s="59"/>
      <c r="P74" s="25"/>
      <c r="Q74" s="2"/>
      <c r="R74" s="4"/>
      <c r="S74" s="23"/>
      <c r="T74" s="23"/>
    </row>
    <row r="75" spans="1:27" x14ac:dyDescent="0.25">
      <c r="A75" s="62" t="s">
        <v>54</v>
      </c>
      <c r="B75" s="39" t="s">
        <v>13</v>
      </c>
      <c r="C75" s="40" t="s">
        <v>55</v>
      </c>
      <c r="D75" s="41">
        <f>SUM('[1]Paste Special WA 5yr'!D33)/12</f>
        <v>158545.38866666667</v>
      </c>
      <c r="E75" s="40"/>
      <c r="F75" s="41">
        <f>SUM('[1]Paste Special WA 5yr'!F33)/12</f>
        <v>117254.6565</v>
      </c>
      <c r="G75" s="40"/>
      <c r="H75" s="41">
        <f>SUM('[1]Paste Special WA 5yr'!H33)/12</f>
        <v>41290.732166666668</v>
      </c>
      <c r="I75" s="40"/>
      <c r="J75" s="8"/>
      <c r="K75" s="41">
        <v>297134.28000000003</v>
      </c>
      <c r="L75" s="40"/>
      <c r="M75" s="41">
        <f t="shared" ref="M75" si="26">SUM(K75*$M$54)</f>
        <v>222999.27713999999</v>
      </c>
      <c r="N75" s="60">
        <v>-6092.3722222222223</v>
      </c>
      <c r="O75" s="60">
        <v>-6092.3722222222223</v>
      </c>
      <c r="P75" s="41">
        <f>SUM(K75*$P$54)</f>
        <v>74135.002860000008</v>
      </c>
      <c r="Q75" s="40"/>
      <c r="R75" s="4"/>
      <c r="S75" s="23">
        <f>D75-F75-H75</f>
        <v>0</v>
      </c>
      <c r="T75" s="23">
        <f>K75-M75-P75</f>
        <v>0</v>
      </c>
      <c r="U75" s="43" t="s">
        <v>56</v>
      </c>
      <c r="V75" s="43"/>
      <c r="W75" s="44"/>
      <c r="X75" s="44"/>
      <c r="Y75" s="44"/>
      <c r="Z75" s="44"/>
      <c r="AA75" s="44"/>
    </row>
    <row r="76" spans="1:27" x14ac:dyDescent="0.25">
      <c r="A76" s="62"/>
      <c r="B76" s="7"/>
      <c r="D76" s="25"/>
      <c r="E76" s="23"/>
      <c r="F76" s="25"/>
      <c r="G76" s="25"/>
      <c r="H76" s="25"/>
      <c r="J76" s="8"/>
      <c r="K76" s="25"/>
      <c r="L76" s="45">
        <f>K75-D75</f>
        <v>138588.89133333336</v>
      </c>
      <c r="M76" s="25"/>
      <c r="N76" s="59">
        <f>SUM(N75)</f>
        <v>-6092.3722222222223</v>
      </c>
      <c r="O76" s="59">
        <v>-6092.3722222222223</v>
      </c>
      <c r="P76" s="25"/>
      <c r="Q76" s="45">
        <f>P75-H75</f>
        <v>32844.270693333339</v>
      </c>
      <c r="R76" s="4"/>
      <c r="S76" s="23"/>
      <c r="T76" s="23"/>
      <c r="U76" s="44" t="s">
        <v>57</v>
      </c>
      <c r="V76" s="44"/>
      <c r="W76" s="44"/>
    </row>
    <row r="77" spans="1:27" x14ac:dyDescent="0.25">
      <c r="A77" s="62"/>
      <c r="B77" s="7"/>
      <c r="D77" s="25"/>
      <c r="E77" s="23"/>
      <c r="F77" s="25"/>
      <c r="G77" s="25"/>
      <c r="H77" s="25"/>
      <c r="J77" s="8"/>
      <c r="K77" s="25"/>
      <c r="L77" s="28"/>
      <c r="M77" s="25"/>
      <c r="N77" s="59"/>
      <c r="O77" s="59"/>
      <c r="P77" s="25"/>
      <c r="Q77" s="2"/>
      <c r="R77" s="4"/>
      <c r="S77" s="23"/>
      <c r="T77" s="23"/>
    </row>
    <row r="78" spans="1:27" x14ac:dyDescent="0.25">
      <c r="A78" s="62" t="s">
        <v>58</v>
      </c>
      <c r="B78" s="46" t="s">
        <v>13</v>
      </c>
      <c r="C78" s="47" t="s">
        <v>59</v>
      </c>
      <c r="D78" s="48">
        <f>SUM('[1]Paste Special WA 5yr'!D36)/12</f>
        <v>21244.650333333335</v>
      </c>
      <c r="E78" s="48"/>
      <c r="F78" s="48">
        <f>SUM('[1]Paste Special WA 5yr'!F36)/12</f>
        <v>16000.9475</v>
      </c>
      <c r="G78" s="48"/>
      <c r="H78" s="48">
        <f>SUM('[1]Paste Special WA 5yr'!H36)/12</f>
        <v>5243.7028333333328</v>
      </c>
      <c r="I78" s="47"/>
      <c r="J78" s="8"/>
      <c r="K78" s="48">
        <v>22578.720000000001</v>
      </c>
      <c r="L78" s="47"/>
      <c r="M78" s="48">
        <f t="shared" ref="M78" si="27">SUM(K78*$M$54)</f>
        <v>16945.32936</v>
      </c>
      <c r="N78" s="58">
        <f t="shared" ref="N78" si="28">M78-F78</f>
        <v>944.38185999999951</v>
      </c>
      <c r="O78" s="58">
        <v>908.255908000001</v>
      </c>
      <c r="P78" s="48">
        <f>SUM(K78*$P$54)</f>
        <v>5633.3906400000005</v>
      </c>
      <c r="Q78" s="47"/>
      <c r="R78" s="4"/>
      <c r="S78" s="23">
        <f>D78-F78-H78</f>
        <v>0</v>
      </c>
      <c r="T78" s="23">
        <f>K78-M78-P78</f>
        <v>0</v>
      </c>
    </row>
    <row r="79" spans="1:27" x14ac:dyDescent="0.25">
      <c r="A79" s="62"/>
      <c r="B79" s="7"/>
      <c r="D79" s="2"/>
      <c r="F79" s="2"/>
      <c r="G79" s="25"/>
      <c r="H79" s="2"/>
      <c r="J79" s="8"/>
      <c r="K79" s="2"/>
      <c r="L79" s="49">
        <f>K78-D78</f>
        <v>1334.0696666666663</v>
      </c>
      <c r="M79" s="2"/>
      <c r="N79" s="59">
        <f>SUM(N78)</f>
        <v>944.38185999999951</v>
      </c>
      <c r="O79" s="59">
        <v>908.255908000001</v>
      </c>
      <c r="P79" s="2"/>
      <c r="Q79" s="49">
        <f>P78-H78</f>
        <v>389.68780666666771</v>
      </c>
      <c r="R79" s="4"/>
      <c r="S79" s="23"/>
      <c r="T79" s="23"/>
    </row>
    <row r="81" spans="14:15" x14ac:dyDescent="0.25">
      <c r="N81" s="51">
        <f>N62+N70+N73+N76+N79</f>
        <v>-54563.804032222222</v>
      </c>
      <c r="O81" s="51">
        <v>-54685.88</v>
      </c>
    </row>
    <row r="82" spans="14:15" ht="18.75" x14ac:dyDescent="0.3">
      <c r="N82" s="134" t="s">
        <v>126</v>
      </c>
      <c r="O82" s="133">
        <f>+O81-N81</f>
        <v>-122.07596777777508</v>
      </c>
    </row>
  </sheetData>
  <mergeCells count="4">
    <mergeCell ref="D11:F11"/>
    <mergeCell ref="K11:M11"/>
    <mergeCell ref="D53:F54"/>
    <mergeCell ref="K53:M53"/>
  </mergeCells>
  <pageMargins left="0.7" right="0.7" top="0.75" bottom="0.75" header="0.3" footer="0.3"/>
  <pageSetup scale="3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B1:AB88"/>
  <sheetViews>
    <sheetView showGridLines="0" view="pageBreakPreview" zoomScale="70" zoomScaleNormal="85" zoomScaleSheetLayoutView="70" workbookViewId="0">
      <selection activeCell="G18" sqref="G18"/>
    </sheetView>
  </sheetViews>
  <sheetFormatPr defaultRowHeight="15" x14ac:dyDescent="0.25"/>
  <cols>
    <col min="1" max="1" width="1.625" style="5" customWidth="1"/>
    <col min="2" max="2" width="8.25" style="61" customWidth="1"/>
    <col min="3" max="3" width="2.5" style="5" customWidth="1"/>
    <col min="4" max="4" width="29.875" style="5" customWidth="1"/>
    <col min="5" max="5" width="11.625" style="5" bestFit="1" customWidth="1"/>
    <col min="6" max="6" width="10.125" style="5" hidden="1" customWidth="1"/>
    <col min="7" max="7" width="11.625" style="5" bestFit="1" customWidth="1"/>
    <col min="8" max="8" width="10.125" style="5" hidden="1" customWidth="1"/>
    <col min="9" max="9" width="11.125" style="5" customWidth="1"/>
    <col min="10" max="10" width="10.125" style="5" hidden="1" customWidth="1"/>
    <col min="11" max="11" width="2.375" style="5" customWidth="1"/>
    <col min="12" max="12" width="11.75" style="5" bestFit="1" customWidth="1"/>
    <col min="13" max="13" width="11.125" style="5" hidden="1" customWidth="1"/>
    <col min="14" max="14" width="11.625" style="5" bestFit="1" customWidth="1"/>
    <col min="15" max="15" width="18.875" style="5" bestFit="1" customWidth="1"/>
    <col min="16" max="16" width="19.375" style="5" bestFit="1" customWidth="1"/>
    <col min="17" max="17" width="10.75" style="5" hidden="1" customWidth="1"/>
    <col min="18" max="18" width="13.5" style="5" bestFit="1" customWidth="1"/>
    <col min="19" max="19" width="8" style="5" customWidth="1"/>
    <col min="20" max="20" width="5.25" style="5" customWidth="1"/>
    <col min="21" max="21" width="5.25" style="5" bestFit="1" customWidth="1"/>
    <col min="22" max="16384" width="9" style="5"/>
  </cols>
  <sheetData>
    <row r="1" spans="2:21" x14ac:dyDescent="0.25">
      <c r="D1" s="6" t="s">
        <v>0</v>
      </c>
      <c r="E1" s="7" t="s">
        <v>1</v>
      </c>
      <c r="G1" s="62" t="s">
        <v>2</v>
      </c>
      <c r="H1" s="62"/>
      <c r="I1" s="62" t="s">
        <v>3</v>
      </c>
      <c r="L1" s="7" t="s">
        <v>1</v>
      </c>
      <c r="N1" s="62" t="s">
        <v>2</v>
      </c>
      <c r="O1" s="62"/>
      <c r="P1" s="62" t="s">
        <v>3</v>
      </c>
    </row>
    <row r="2" spans="2:21" ht="18.75" x14ac:dyDescent="0.3">
      <c r="D2" s="6" t="s">
        <v>4</v>
      </c>
      <c r="E2" s="52" t="s">
        <v>21</v>
      </c>
      <c r="G2" s="141">
        <v>2019</v>
      </c>
      <c r="L2" s="54" t="s">
        <v>22</v>
      </c>
    </row>
    <row r="3" spans="2:21" x14ac:dyDescent="0.25">
      <c r="D3" s="6" t="s">
        <v>5</v>
      </c>
      <c r="E3" s="7" t="s">
        <v>6</v>
      </c>
      <c r="L3" s="7" t="s">
        <v>6</v>
      </c>
    </row>
    <row r="4" spans="2:21" ht="18.75" x14ac:dyDescent="0.3">
      <c r="D4" s="6" t="s">
        <v>7</v>
      </c>
      <c r="E4" s="54" t="s">
        <v>23</v>
      </c>
      <c r="G4" s="141">
        <v>2</v>
      </c>
      <c r="L4" s="52" t="s">
        <v>65</v>
      </c>
    </row>
    <row r="5" spans="2:21" x14ac:dyDescent="0.25">
      <c r="D5" s="6" t="s">
        <v>8</v>
      </c>
      <c r="E5" s="7" t="s">
        <v>9</v>
      </c>
      <c r="L5" s="7" t="s">
        <v>9</v>
      </c>
    </row>
    <row r="6" spans="2:21" x14ac:dyDescent="0.25">
      <c r="D6" s="6" t="s">
        <v>11</v>
      </c>
      <c r="E6" s="7" t="s">
        <v>12</v>
      </c>
      <c r="L6" s="7" t="s">
        <v>12</v>
      </c>
    </row>
    <row r="7" spans="2:21" x14ac:dyDescent="0.25">
      <c r="D7" s="6" t="s">
        <v>10</v>
      </c>
      <c r="E7" s="12" t="s">
        <v>13</v>
      </c>
      <c r="L7" s="12" t="s">
        <v>13</v>
      </c>
    </row>
    <row r="8" spans="2:21" x14ac:dyDescent="0.25">
      <c r="E8" s="62" t="s">
        <v>25</v>
      </c>
      <c r="L8" s="63" t="s">
        <v>25</v>
      </c>
    </row>
    <row r="9" spans="2:21" x14ac:dyDescent="0.25">
      <c r="E9" s="62" t="str">
        <f t="shared" ref="E9" si="0">TEXT(E4&amp;"/1/"&amp;E2,"mmm yy")</f>
        <v>Dec 17</v>
      </c>
      <c r="L9" s="63" t="str">
        <f t="shared" ref="L9" si="1">TEXT(L4&amp;"/1/"&amp;L2,"mmm yy")</f>
        <v>Feb 21</v>
      </c>
    </row>
    <row r="10" spans="2:21" x14ac:dyDescent="0.25">
      <c r="E10" s="15"/>
      <c r="G10" s="15"/>
      <c r="H10" s="16"/>
      <c r="I10" s="15"/>
      <c r="L10" s="15"/>
      <c r="N10" s="15"/>
      <c r="O10" s="16"/>
      <c r="P10" s="15"/>
    </row>
    <row r="11" spans="2:21" x14ac:dyDescent="0.25">
      <c r="E11" s="15"/>
      <c r="F11" s="15"/>
      <c r="G11" s="15"/>
      <c r="H11" s="16"/>
      <c r="I11" s="15"/>
      <c r="L11" s="284" t="s">
        <v>18</v>
      </c>
      <c r="M11" s="284"/>
      <c r="N11" s="284"/>
      <c r="O11" s="284"/>
    </row>
    <row r="12" spans="2:21" x14ac:dyDescent="0.25">
      <c r="E12" s="15"/>
      <c r="G12" s="15"/>
      <c r="H12" s="16"/>
      <c r="I12" s="15"/>
      <c r="L12" s="4">
        <v>2020</v>
      </c>
      <c r="N12" s="64">
        <v>0.75049999999999994</v>
      </c>
      <c r="O12" s="64">
        <v>0.2495</v>
      </c>
      <c r="T12" s="5" t="s">
        <v>17</v>
      </c>
    </row>
    <row r="13" spans="2:21" x14ac:dyDescent="0.25">
      <c r="L13" s="15">
        <v>2021</v>
      </c>
      <c r="N13" s="17">
        <v>0.74890000000000001</v>
      </c>
      <c r="O13" s="17">
        <v>0.25109999999999999</v>
      </c>
    </row>
    <row r="14" spans="2:21" x14ac:dyDescent="0.25">
      <c r="B14" s="4" t="s">
        <v>66</v>
      </c>
      <c r="C14" s="5" t="s">
        <v>27</v>
      </c>
      <c r="E14" s="4">
        <v>2017</v>
      </c>
      <c r="L14" s="4" t="s">
        <v>67</v>
      </c>
      <c r="N14" s="64" t="s">
        <v>19</v>
      </c>
      <c r="O14" s="64" t="s">
        <v>20</v>
      </c>
      <c r="P14" s="65" t="s">
        <v>16</v>
      </c>
      <c r="R14" s="142" t="s">
        <v>16</v>
      </c>
    </row>
    <row r="15" spans="2:21" x14ac:dyDescent="0.25">
      <c r="B15" s="66" t="s">
        <v>28</v>
      </c>
      <c r="C15" s="7" t="s">
        <v>13</v>
      </c>
      <c r="D15" s="20" t="s">
        <v>29</v>
      </c>
      <c r="E15" s="21">
        <v>20296.75</v>
      </c>
      <c r="F15" s="20"/>
      <c r="G15" s="21">
        <v>14330.43</v>
      </c>
      <c r="H15" s="21"/>
      <c r="I15" s="21">
        <v>5966.32</v>
      </c>
      <c r="J15" s="20"/>
      <c r="K15" s="67"/>
      <c r="L15" s="21">
        <v>216.28</v>
      </c>
      <c r="M15" s="20"/>
      <c r="N15" s="21">
        <f t="shared" ref="N15:N20" si="2">SUM(L15*$N$13)</f>
        <v>161.972092</v>
      </c>
      <c r="O15" s="21">
        <f t="shared" ref="O15:O20" si="3">SUM(L15*$O$13)</f>
        <v>54.307907999999998</v>
      </c>
      <c r="P15" s="22">
        <f>O15-I15</f>
        <v>-5912.0120919999999</v>
      </c>
      <c r="R15" s="143">
        <v>-2936.7420920000004</v>
      </c>
      <c r="T15" s="23">
        <f t="shared" ref="T15:T20" si="4">E15-G15-I15</f>
        <v>0</v>
      </c>
      <c r="U15" s="23">
        <f t="shared" ref="U15:U20" si="5">L15-N15-O15</f>
        <v>0</v>
      </c>
    </row>
    <row r="16" spans="2:21" x14ac:dyDescent="0.25">
      <c r="B16" s="66" t="s">
        <v>30</v>
      </c>
      <c r="C16" s="7" t="s">
        <v>13</v>
      </c>
      <c r="D16" s="20" t="s">
        <v>31</v>
      </c>
      <c r="E16" s="21">
        <v>2117.64</v>
      </c>
      <c r="F16" s="20"/>
      <c r="G16" s="21">
        <v>1589.08</v>
      </c>
      <c r="H16" s="21"/>
      <c r="I16" s="21">
        <v>528.55999999999995</v>
      </c>
      <c r="J16" s="20"/>
      <c r="K16" s="67"/>
      <c r="L16" s="21">
        <v>0</v>
      </c>
      <c r="M16" s="20"/>
      <c r="N16" s="21">
        <f t="shared" si="2"/>
        <v>0</v>
      </c>
      <c r="O16" s="21">
        <f t="shared" si="3"/>
        <v>0</v>
      </c>
      <c r="P16" s="22">
        <f>O16-I16</f>
        <v>-528.55999999999995</v>
      </c>
      <c r="R16" s="143">
        <v>-121.6</v>
      </c>
      <c r="T16" s="23">
        <f t="shared" si="4"/>
        <v>0</v>
      </c>
      <c r="U16" s="23">
        <f t="shared" si="5"/>
        <v>0</v>
      </c>
    </row>
    <row r="17" spans="2:21" x14ac:dyDescent="0.25">
      <c r="B17" s="66" t="s">
        <v>32</v>
      </c>
      <c r="C17" s="7" t="s">
        <v>13</v>
      </c>
      <c r="D17" s="20" t="s">
        <v>33</v>
      </c>
      <c r="E17" s="21">
        <v>815.66</v>
      </c>
      <c r="F17" s="20"/>
      <c r="G17" s="21">
        <v>657.82</v>
      </c>
      <c r="H17" s="21"/>
      <c r="I17" s="21">
        <v>157.84</v>
      </c>
      <c r="J17" s="20"/>
      <c r="K17" s="67"/>
      <c r="L17" s="21">
        <v>1.92</v>
      </c>
      <c r="M17" s="20"/>
      <c r="N17" s="21">
        <f t="shared" si="2"/>
        <v>1.4378880000000001</v>
      </c>
      <c r="O17" s="21">
        <f t="shared" si="3"/>
        <v>0.48211199999999999</v>
      </c>
      <c r="P17" s="22">
        <f>O17-I17</f>
        <v>-157.357888</v>
      </c>
      <c r="R17" s="143">
        <v>-54.767887999999999</v>
      </c>
      <c r="T17" s="23">
        <f t="shared" si="4"/>
        <v>0</v>
      </c>
      <c r="U17" s="23">
        <f t="shared" si="5"/>
        <v>0</v>
      </c>
    </row>
    <row r="18" spans="2:21" x14ac:dyDescent="0.25">
      <c r="B18" s="66" t="s">
        <v>34</v>
      </c>
      <c r="C18" s="7" t="s">
        <v>13</v>
      </c>
      <c r="D18" s="20" t="s">
        <v>35</v>
      </c>
      <c r="E18" s="21">
        <v>21933.759999999998</v>
      </c>
      <c r="F18" s="20"/>
      <c r="G18" s="21">
        <v>13313.07</v>
      </c>
      <c r="H18" s="21"/>
      <c r="I18" s="21">
        <v>8620.69</v>
      </c>
      <c r="J18" s="20"/>
      <c r="K18" s="67"/>
      <c r="L18" s="21">
        <v>5873.35</v>
      </c>
      <c r="M18" s="20"/>
      <c r="N18" s="21">
        <f t="shared" si="2"/>
        <v>4398.5518150000007</v>
      </c>
      <c r="O18" s="21">
        <f t="shared" si="3"/>
        <v>1474.7981850000001</v>
      </c>
      <c r="P18" s="22">
        <f>SUM(O18-I18)/2</f>
        <v>-3572.9459075000004</v>
      </c>
      <c r="R18" s="143">
        <v>-2027.9009075000001</v>
      </c>
      <c r="T18" s="23">
        <f t="shared" si="4"/>
        <v>0</v>
      </c>
      <c r="U18" s="23">
        <f t="shared" si="5"/>
        <v>0</v>
      </c>
    </row>
    <row r="19" spans="2:21" x14ac:dyDescent="0.25">
      <c r="B19" s="66" t="s">
        <v>36</v>
      </c>
      <c r="C19" s="7" t="s">
        <v>13</v>
      </c>
      <c r="D19" s="20" t="s">
        <v>37</v>
      </c>
      <c r="E19" s="21">
        <v>16375.43</v>
      </c>
      <c r="F19" s="20"/>
      <c r="G19" s="21">
        <v>10951.77</v>
      </c>
      <c r="H19" s="21"/>
      <c r="I19" s="21">
        <v>5423.66</v>
      </c>
      <c r="J19" s="20"/>
      <c r="K19" s="67"/>
      <c r="L19" s="21">
        <v>4180.71</v>
      </c>
      <c r="M19" s="20"/>
      <c r="N19" s="21">
        <f t="shared" si="2"/>
        <v>3130.9337190000001</v>
      </c>
      <c r="O19" s="21">
        <f t="shared" si="3"/>
        <v>1049.7762809999999</v>
      </c>
      <c r="P19" s="22">
        <f>O19-I19</f>
        <v>-4373.8837189999995</v>
      </c>
      <c r="R19" s="143">
        <v>-4330.2337189999998</v>
      </c>
      <c r="T19" s="23">
        <f t="shared" si="4"/>
        <v>0</v>
      </c>
      <c r="U19" s="23">
        <f t="shared" si="5"/>
        <v>0</v>
      </c>
    </row>
    <row r="20" spans="2:21" x14ac:dyDescent="0.25">
      <c r="B20" s="66" t="s">
        <v>38</v>
      </c>
      <c r="C20" s="7" t="s">
        <v>13</v>
      </c>
      <c r="D20" s="20" t="s">
        <v>39</v>
      </c>
      <c r="E20" s="21">
        <v>0</v>
      </c>
      <c r="F20" s="20"/>
      <c r="G20" s="21">
        <v>0</v>
      </c>
      <c r="H20" s="20"/>
      <c r="I20" s="21">
        <v>0</v>
      </c>
      <c r="J20" s="20"/>
      <c r="K20" s="67"/>
      <c r="L20" s="21">
        <v>0</v>
      </c>
      <c r="M20" s="20"/>
      <c r="N20" s="21">
        <f t="shared" si="2"/>
        <v>0</v>
      </c>
      <c r="O20" s="21">
        <f t="shared" si="3"/>
        <v>0</v>
      </c>
      <c r="P20" s="22">
        <f>O20-I20</f>
        <v>0</v>
      </c>
      <c r="R20" s="143">
        <v>0</v>
      </c>
      <c r="T20" s="23">
        <f t="shared" si="4"/>
        <v>0</v>
      </c>
      <c r="U20" s="23">
        <f t="shared" si="5"/>
        <v>0</v>
      </c>
    </row>
    <row r="21" spans="2:21" x14ac:dyDescent="0.25">
      <c r="B21" s="66"/>
      <c r="C21" s="7"/>
      <c r="E21" s="23">
        <f>SUM(E15:E20)</f>
        <v>61539.24</v>
      </c>
      <c r="G21" s="23">
        <f>SUM(G15:G20)</f>
        <v>40842.17</v>
      </c>
      <c r="H21" s="25"/>
      <c r="I21" s="23">
        <f>SUM(I15:I20)</f>
        <v>20697.07</v>
      </c>
      <c r="K21" s="8"/>
      <c r="L21" s="23">
        <f>SUM(L15:L20)</f>
        <v>10272.26</v>
      </c>
      <c r="N21" s="23">
        <f>SUM(N15:N20)</f>
        <v>7692.8955140000016</v>
      </c>
      <c r="O21" s="23">
        <f>SUM(O15:O20)</f>
        <v>2579.3644859999999</v>
      </c>
      <c r="P21" s="27">
        <f>SUM(P15:P20)</f>
        <v>-14544.759606500002</v>
      </c>
      <c r="R21" s="144">
        <v>-9471.2446065000004</v>
      </c>
      <c r="T21" s="23"/>
      <c r="U21" s="23"/>
    </row>
    <row r="22" spans="2:21" x14ac:dyDescent="0.25">
      <c r="B22" s="66"/>
      <c r="C22" s="7"/>
      <c r="E22" s="25"/>
      <c r="G22" s="25"/>
      <c r="H22" s="25"/>
      <c r="I22" s="25"/>
      <c r="K22" s="8"/>
      <c r="L22" s="23">
        <f>L21-E21</f>
        <v>-51266.979999999996</v>
      </c>
      <c r="M22" s="23"/>
      <c r="N22" s="23">
        <f>N21-G21</f>
        <v>-33149.274485999995</v>
      </c>
      <c r="O22" s="28">
        <f>O21-I21+((I18-O18)/2)</f>
        <v>-14544.7596065</v>
      </c>
      <c r="P22" s="27"/>
      <c r="R22" s="144"/>
      <c r="T22" s="23"/>
      <c r="U22" s="23"/>
    </row>
    <row r="23" spans="2:21" x14ac:dyDescent="0.25">
      <c r="B23" s="66"/>
      <c r="C23" s="7"/>
      <c r="E23" s="25"/>
      <c r="G23" s="25"/>
      <c r="H23" s="25"/>
      <c r="I23" s="25"/>
      <c r="K23" s="8"/>
      <c r="L23" s="28"/>
      <c r="M23" s="28"/>
      <c r="N23" s="28"/>
      <c r="O23" s="28"/>
      <c r="P23" s="27"/>
      <c r="R23" s="144"/>
      <c r="T23" s="23"/>
      <c r="U23" s="23"/>
    </row>
    <row r="24" spans="2:21" x14ac:dyDescent="0.25">
      <c r="B24" s="66" t="s">
        <v>40</v>
      </c>
      <c r="C24" s="7" t="s">
        <v>13</v>
      </c>
      <c r="D24" s="30" t="s">
        <v>41</v>
      </c>
      <c r="E24" s="31">
        <v>0</v>
      </c>
      <c r="F24" s="30"/>
      <c r="G24" s="31">
        <v>0</v>
      </c>
      <c r="H24" s="30"/>
      <c r="I24" s="31">
        <v>0</v>
      </c>
      <c r="J24" s="30"/>
      <c r="K24" s="67"/>
      <c r="L24" s="31">
        <v>0</v>
      </c>
      <c r="M24" s="30"/>
      <c r="N24" s="31">
        <f t="shared" ref="N24:N29" si="6">SUM(L24*$N$13)</f>
        <v>0</v>
      </c>
      <c r="O24" s="31">
        <f t="shared" ref="O24:O29" si="7">SUM(L24*$O$13)</f>
        <v>0</v>
      </c>
      <c r="P24" s="22">
        <f t="shared" ref="P24:P29" si="8">O24-I24</f>
        <v>0</v>
      </c>
      <c r="R24" s="143">
        <v>0</v>
      </c>
      <c r="T24" s="23">
        <f t="shared" ref="T24:T29" si="9">E24-G24-I24</f>
        <v>0</v>
      </c>
      <c r="U24" s="23">
        <f t="shared" ref="U24:U29" si="10">L24-N24-O24</f>
        <v>0</v>
      </c>
    </row>
    <row r="25" spans="2:21" x14ac:dyDescent="0.25">
      <c r="B25" s="66" t="s">
        <v>42</v>
      </c>
      <c r="C25" s="7" t="s">
        <v>13</v>
      </c>
      <c r="D25" s="30" t="s">
        <v>43</v>
      </c>
      <c r="E25" s="31">
        <v>0</v>
      </c>
      <c r="F25" s="30"/>
      <c r="G25" s="31">
        <v>0</v>
      </c>
      <c r="H25" s="30"/>
      <c r="I25" s="31">
        <v>0</v>
      </c>
      <c r="J25" s="30"/>
      <c r="K25" s="67"/>
      <c r="L25" s="31">
        <v>0</v>
      </c>
      <c r="M25" s="30"/>
      <c r="N25" s="31">
        <f t="shared" si="6"/>
        <v>0</v>
      </c>
      <c r="O25" s="31">
        <f t="shared" si="7"/>
        <v>0</v>
      </c>
      <c r="P25" s="22">
        <f t="shared" si="8"/>
        <v>0</v>
      </c>
      <c r="R25" s="143">
        <v>0</v>
      </c>
      <c r="T25" s="23">
        <f t="shared" si="9"/>
        <v>0</v>
      </c>
      <c r="U25" s="23">
        <f t="shared" si="10"/>
        <v>0</v>
      </c>
    </row>
    <row r="26" spans="2:21" x14ac:dyDescent="0.25">
      <c r="B26" s="61">
        <v>5851</v>
      </c>
      <c r="C26" s="7" t="s">
        <v>13</v>
      </c>
      <c r="D26" s="30" t="s">
        <v>45</v>
      </c>
      <c r="E26" s="31">
        <v>8244.5300000000007</v>
      </c>
      <c r="F26" s="30"/>
      <c r="G26" s="31">
        <v>5694.03</v>
      </c>
      <c r="H26" s="30"/>
      <c r="I26" s="31">
        <v>2550.5</v>
      </c>
      <c r="J26" s="30"/>
      <c r="K26" s="67"/>
      <c r="L26" s="31">
        <v>2131.34</v>
      </c>
      <c r="M26" s="30"/>
      <c r="N26" s="31">
        <f t="shared" si="6"/>
        <v>1596.1605260000001</v>
      </c>
      <c r="O26" s="31">
        <f t="shared" si="7"/>
        <v>535.17947400000003</v>
      </c>
      <c r="P26" s="22">
        <f t="shared" si="8"/>
        <v>-2015.320526</v>
      </c>
      <c r="R26" s="143">
        <v>-1484.2005260000001</v>
      </c>
      <c r="T26" s="23">
        <f t="shared" si="9"/>
        <v>0</v>
      </c>
      <c r="U26" s="23">
        <f t="shared" si="10"/>
        <v>0</v>
      </c>
    </row>
    <row r="27" spans="2:21" x14ac:dyDescent="0.25">
      <c r="B27" s="66" t="s">
        <v>46</v>
      </c>
      <c r="C27" s="7" t="s">
        <v>13</v>
      </c>
      <c r="D27" s="30" t="s">
        <v>47</v>
      </c>
      <c r="E27" s="31">
        <v>0</v>
      </c>
      <c r="F27" s="30"/>
      <c r="G27" s="31">
        <v>0</v>
      </c>
      <c r="H27" s="30"/>
      <c r="I27" s="31">
        <v>0</v>
      </c>
      <c r="J27" s="30"/>
      <c r="K27" s="67"/>
      <c r="L27" s="31">
        <v>0</v>
      </c>
      <c r="M27" s="30"/>
      <c r="N27" s="31">
        <f t="shared" si="6"/>
        <v>0</v>
      </c>
      <c r="O27" s="31">
        <f t="shared" si="7"/>
        <v>0</v>
      </c>
      <c r="P27" s="22">
        <f t="shared" si="8"/>
        <v>0</v>
      </c>
      <c r="R27" s="143">
        <v>0</v>
      </c>
      <c r="T27" s="23">
        <f t="shared" si="9"/>
        <v>0</v>
      </c>
      <c r="U27" s="23">
        <f t="shared" si="10"/>
        <v>0</v>
      </c>
    </row>
    <row r="28" spans="2:21" x14ac:dyDescent="0.25">
      <c r="B28" s="66" t="s">
        <v>48</v>
      </c>
      <c r="C28" s="7" t="s">
        <v>13</v>
      </c>
      <c r="D28" s="30" t="s">
        <v>49</v>
      </c>
      <c r="E28" s="31">
        <v>8700.1200000000008</v>
      </c>
      <c r="F28" s="30"/>
      <c r="G28" s="31">
        <v>5989.28</v>
      </c>
      <c r="H28" s="30"/>
      <c r="I28" s="31">
        <v>2710.84</v>
      </c>
      <c r="J28" s="30"/>
      <c r="K28" s="67"/>
      <c r="L28" s="31">
        <v>13872.88</v>
      </c>
      <c r="M28" s="30"/>
      <c r="N28" s="31">
        <f t="shared" si="6"/>
        <v>10389.399831999999</v>
      </c>
      <c r="O28" s="31">
        <f t="shared" si="7"/>
        <v>3483.4801679999996</v>
      </c>
      <c r="P28" s="22">
        <f t="shared" si="8"/>
        <v>772.64016799999945</v>
      </c>
      <c r="R28" s="143">
        <v>-952.45983200000001</v>
      </c>
      <c r="T28" s="23">
        <f t="shared" si="9"/>
        <v>0</v>
      </c>
      <c r="U28" s="23">
        <f t="shared" si="10"/>
        <v>0</v>
      </c>
    </row>
    <row r="29" spans="2:21" x14ac:dyDescent="0.25">
      <c r="B29" s="66" t="s">
        <v>50</v>
      </c>
      <c r="C29" s="7" t="s">
        <v>13</v>
      </c>
      <c r="D29" s="30" t="s">
        <v>51</v>
      </c>
      <c r="E29" s="31">
        <v>7099.07</v>
      </c>
      <c r="F29" s="30"/>
      <c r="G29" s="31">
        <v>6475.3</v>
      </c>
      <c r="H29" s="30"/>
      <c r="I29" s="31">
        <v>623.77</v>
      </c>
      <c r="J29" s="32"/>
      <c r="K29" s="67"/>
      <c r="L29" s="31">
        <v>0</v>
      </c>
      <c r="M29" s="30"/>
      <c r="N29" s="31">
        <f t="shared" si="6"/>
        <v>0</v>
      </c>
      <c r="O29" s="31">
        <f t="shared" si="7"/>
        <v>0</v>
      </c>
      <c r="P29" s="22">
        <f t="shared" si="8"/>
        <v>-623.77</v>
      </c>
      <c r="R29" s="143">
        <v>0</v>
      </c>
      <c r="T29" s="23">
        <f t="shared" si="9"/>
        <v>0</v>
      </c>
      <c r="U29" s="23">
        <f t="shared" si="10"/>
        <v>0</v>
      </c>
    </row>
    <row r="30" spans="2:21" x14ac:dyDescent="0.25">
      <c r="B30" s="66"/>
      <c r="C30" s="7"/>
      <c r="E30" s="23">
        <f>SUM(E24:E29)</f>
        <v>24043.72</v>
      </c>
      <c r="F30" s="23"/>
      <c r="G30" s="23">
        <f>SUM(G24:G29)</f>
        <v>18158.61</v>
      </c>
      <c r="H30" s="25"/>
      <c r="I30" s="23">
        <f>SUM(I24:I29)</f>
        <v>5885.1100000000006</v>
      </c>
      <c r="K30" s="8"/>
      <c r="L30" s="23">
        <f>SUM(L24:L29)</f>
        <v>16004.22</v>
      </c>
      <c r="N30" s="23">
        <f>SUM(N24:N29)</f>
        <v>11985.560357999999</v>
      </c>
      <c r="O30" s="23">
        <f>SUM(O24:O29)</f>
        <v>4018.6596419999996</v>
      </c>
      <c r="P30" s="27">
        <f>SUM(P24:P29)</f>
        <v>-1866.4503580000005</v>
      </c>
      <c r="R30" s="144">
        <v>-2436.6603580000001</v>
      </c>
      <c r="T30" s="23"/>
      <c r="U30" s="23"/>
    </row>
    <row r="31" spans="2:21" x14ac:dyDescent="0.25">
      <c r="B31" s="66"/>
      <c r="C31" s="7"/>
      <c r="E31" s="25"/>
      <c r="F31" s="23"/>
      <c r="G31" s="25"/>
      <c r="H31" s="25"/>
      <c r="I31" s="25"/>
      <c r="K31" s="8"/>
      <c r="L31" s="23">
        <f>L30-E30</f>
        <v>-8039.5000000000018</v>
      </c>
      <c r="M31" s="23"/>
      <c r="N31" s="23">
        <f>N30-G30</f>
        <v>-6173.0496420000018</v>
      </c>
      <c r="O31" s="28">
        <f>O30-I30</f>
        <v>-1866.450358000001</v>
      </c>
      <c r="P31" s="27"/>
      <c r="R31" s="144"/>
      <c r="T31" s="23"/>
      <c r="U31" s="23"/>
    </row>
    <row r="32" spans="2:21" x14ac:dyDescent="0.25">
      <c r="B32" s="66"/>
      <c r="C32" s="7"/>
      <c r="E32" s="25"/>
      <c r="F32" s="23"/>
      <c r="G32" s="25"/>
      <c r="H32" s="25"/>
      <c r="I32" s="25"/>
      <c r="K32" s="8"/>
      <c r="L32" s="28"/>
      <c r="M32" s="28"/>
      <c r="N32" s="28"/>
      <c r="O32" s="28"/>
      <c r="P32" s="27"/>
      <c r="R32" s="144"/>
      <c r="T32" s="23"/>
      <c r="U32" s="23"/>
    </row>
    <row r="33" spans="2:28" x14ac:dyDescent="0.25">
      <c r="B33" s="66" t="s">
        <v>52</v>
      </c>
      <c r="C33" s="7" t="s">
        <v>13</v>
      </c>
      <c r="D33" s="36" t="s">
        <v>53</v>
      </c>
      <c r="E33" s="37">
        <v>22557.41</v>
      </c>
      <c r="F33" s="36"/>
      <c r="G33" s="37">
        <v>16927.080000000002</v>
      </c>
      <c r="H33" s="37"/>
      <c r="I33" s="37">
        <v>5630.33</v>
      </c>
      <c r="J33" s="36"/>
      <c r="K33" s="8"/>
      <c r="L33" s="138">
        <v>28332.69</v>
      </c>
      <c r="M33" s="36"/>
      <c r="N33" s="37">
        <f>SUM(L33*$N$13)</f>
        <v>21218.351541</v>
      </c>
      <c r="O33" s="37">
        <f>SUM(L33*$O$13)</f>
        <v>7114.3384589999996</v>
      </c>
      <c r="P33" s="22">
        <f>O33-I33</f>
        <v>1484.0084589999997</v>
      </c>
      <c r="R33" s="143">
        <v>-1037.9615410000006</v>
      </c>
      <c r="T33" s="23">
        <f>E33-G33-I33</f>
        <v>0</v>
      </c>
      <c r="U33" s="23">
        <f>L33-N33-O33</f>
        <v>0</v>
      </c>
    </row>
    <row r="34" spans="2:28" x14ac:dyDescent="0.25">
      <c r="B34" s="66"/>
      <c r="C34" s="7"/>
      <c r="E34" s="25"/>
      <c r="G34" s="25"/>
      <c r="H34" s="25"/>
      <c r="I34" s="25"/>
      <c r="K34" s="8"/>
      <c r="L34" s="23">
        <f>L33-E33</f>
        <v>5775.2799999999988</v>
      </c>
      <c r="N34" s="23">
        <f>N33-G33</f>
        <v>4291.2715409999983</v>
      </c>
      <c r="O34" s="28">
        <f>O33-I33</f>
        <v>1484.0084589999997</v>
      </c>
      <c r="P34" s="27"/>
      <c r="R34" s="144"/>
      <c r="T34" s="23"/>
      <c r="U34" s="23"/>
    </row>
    <row r="35" spans="2:28" x14ac:dyDescent="0.25">
      <c r="B35" s="66"/>
      <c r="C35" s="7"/>
      <c r="E35" s="25"/>
      <c r="G35" s="25"/>
      <c r="H35" s="25"/>
      <c r="I35" s="25"/>
      <c r="K35" s="8"/>
      <c r="L35" s="25"/>
      <c r="M35" s="28"/>
      <c r="N35" s="2"/>
      <c r="O35" s="2"/>
      <c r="P35" s="27"/>
      <c r="R35" s="144"/>
      <c r="T35" s="23"/>
      <c r="U35" s="23"/>
    </row>
    <row r="36" spans="2:28" x14ac:dyDescent="0.25">
      <c r="B36" s="66" t="s">
        <v>54</v>
      </c>
      <c r="C36" s="7" t="s">
        <v>13</v>
      </c>
      <c r="D36" s="40" t="s">
        <v>55</v>
      </c>
      <c r="E36" s="41">
        <v>226939.45</v>
      </c>
      <c r="F36" s="40"/>
      <c r="G36" s="41">
        <v>167967.75</v>
      </c>
      <c r="H36" s="41"/>
      <c r="I36" s="41">
        <v>58971.7</v>
      </c>
      <c r="J36" s="40"/>
      <c r="K36" s="67"/>
      <c r="L36" s="41">
        <v>167214.79</v>
      </c>
      <c r="M36" s="40"/>
      <c r="N36" s="41">
        <f>SUM(L36*$N$13)</f>
        <v>125227.156231</v>
      </c>
      <c r="O36" s="41">
        <f>SUM(L36*$O$13)</f>
        <v>41987.633769</v>
      </c>
      <c r="P36" s="60">
        <v>-1715.7</v>
      </c>
      <c r="R36" s="145">
        <v>1269.2</v>
      </c>
      <c r="T36" s="23">
        <f>E36-G36-I36</f>
        <v>0</v>
      </c>
      <c r="U36" s="23">
        <f>L36-N36-O36</f>
        <v>0</v>
      </c>
      <c r="V36" s="43" t="s">
        <v>56</v>
      </c>
      <c r="W36" s="43"/>
      <c r="X36" s="44"/>
      <c r="Y36" s="44"/>
      <c r="Z36" s="44"/>
      <c r="AA36" s="44"/>
      <c r="AB36" s="44"/>
    </row>
    <row r="37" spans="2:28" x14ac:dyDescent="0.25">
      <c r="B37" s="66"/>
      <c r="C37" s="7"/>
      <c r="E37" s="25"/>
      <c r="F37" s="23"/>
      <c r="G37" s="25"/>
      <c r="H37" s="25"/>
      <c r="I37" s="25"/>
      <c r="K37" s="8"/>
      <c r="L37" s="23">
        <f>L36-E36</f>
        <v>-59724.66</v>
      </c>
      <c r="N37" s="23">
        <f>N36-G36</f>
        <v>-42740.593768999999</v>
      </c>
      <c r="O37" s="23">
        <f>O36-I36</f>
        <v>-16984.066230999997</v>
      </c>
      <c r="P37" s="27"/>
      <c r="R37" s="144"/>
      <c r="T37" s="23"/>
      <c r="U37" s="23"/>
      <c r="V37" s="44" t="s">
        <v>57</v>
      </c>
      <c r="W37" s="44"/>
      <c r="X37" s="44"/>
    </row>
    <row r="38" spans="2:28" x14ac:dyDescent="0.25">
      <c r="B38" s="66"/>
      <c r="C38" s="7"/>
      <c r="E38" s="25"/>
      <c r="F38" s="23"/>
      <c r="G38" s="25"/>
      <c r="H38" s="25"/>
      <c r="I38" s="25"/>
      <c r="K38" s="8"/>
      <c r="L38" s="25"/>
      <c r="M38" s="28"/>
      <c r="N38" s="2"/>
      <c r="O38" s="2"/>
      <c r="P38" s="27"/>
      <c r="R38" s="144"/>
      <c r="T38" s="23"/>
      <c r="U38" s="23"/>
    </row>
    <row r="39" spans="2:28" x14ac:dyDescent="0.25">
      <c r="B39" s="66" t="s">
        <v>58</v>
      </c>
      <c r="C39" s="7" t="s">
        <v>13</v>
      </c>
      <c r="D39" s="47" t="s">
        <v>59</v>
      </c>
      <c r="E39" s="48">
        <v>11714.45</v>
      </c>
      <c r="F39" s="47"/>
      <c r="G39" s="48">
        <v>7500.92</v>
      </c>
      <c r="H39" s="48"/>
      <c r="I39" s="48">
        <v>4213.53</v>
      </c>
      <c r="J39" s="47"/>
      <c r="K39" s="8"/>
      <c r="L39" s="139">
        <v>22316.69</v>
      </c>
      <c r="M39" s="47"/>
      <c r="N39" s="48">
        <f>SUM(L39*$N$13)</f>
        <v>16712.969140999998</v>
      </c>
      <c r="O39" s="48">
        <f>SUM(L39*$O$13)</f>
        <v>5603.7208589999991</v>
      </c>
      <c r="P39" s="27">
        <f>O39-I39</f>
        <v>1390.1908589999994</v>
      </c>
      <c r="R39" s="144">
        <v>-15.319141000000855</v>
      </c>
      <c r="T39" s="23">
        <f>E39-G39-I39</f>
        <v>0</v>
      </c>
      <c r="U39" s="23">
        <f>L39-N39-O39</f>
        <v>0</v>
      </c>
    </row>
    <row r="40" spans="2:28" x14ac:dyDescent="0.25">
      <c r="B40" s="66"/>
      <c r="C40" s="7"/>
      <c r="E40" s="2"/>
      <c r="G40" s="2"/>
      <c r="H40" s="25"/>
      <c r="I40" s="2"/>
      <c r="L40" s="23">
        <f>L39-E39</f>
        <v>10602.239999999998</v>
      </c>
      <c r="N40" s="23">
        <f>N39-G39</f>
        <v>9212.0491409999977</v>
      </c>
      <c r="O40" s="28">
        <f>O39-I39</f>
        <v>1390.1908589999994</v>
      </c>
      <c r="P40" s="27"/>
      <c r="R40" s="144"/>
      <c r="T40" s="23"/>
      <c r="U40" s="23"/>
    </row>
    <row r="41" spans="2:28" x14ac:dyDescent="0.25">
      <c r="B41" s="66"/>
      <c r="C41" s="7"/>
      <c r="E41" s="2"/>
      <c r="G41" s="2"/>
      <c r="H41" s="25"/>
      <c r="I41" s="2"/>
      <c r="L41" s="2"/>
      <c r="N41" s="2"/>
      <c r="O41" s="25"/>
      <c r="P41" s="27"/>
      <c r="R41" s="144"/>
      <c r="T41" s="23"/>
      <c r="U41" s="23"/>
    </row>
    <row r="42" spans="2:28" x14ac:dyDescent="0.25">
      <c r="B42" s="66"/>
      <c r="C42" s="7"/>
      <c r="E42" s="2"/>
      <c r="G42" s="2"/>
      <c r="H42" s="25"/>
      <c r="I42" s="2"/>
      <c r="L42" s="2"/>
      <c r="N42" s="2"/>
      <c r="O42" s="25"/>
      <c r="P42" s="51">
        <f>P21+P30+P33+P36+P39</f>
        <v>-15252.710646500003</v>
      </c>
      <c r="R42" s="146">
        <v>-11691.985646500001</v>
      </c>
      <c r="T42" s="23"/>
      <c r="U42" s="23"/>
    </row>
    <row r="43" spans="2:28" ht="18.75" x14ac:dyDescent="0.3">
      <c r="P43" s="147" t="s">
        <v>127</v>
      </c>
      <c r="Q43" s="133">
        <f>+Q42-P42</f>
        <v>15252.710646500003</v>
      </c>
      <c r="R43" s="133">
        <f>+P42-R42</f>
        <v>-3560.7250000000022</v>
      </c>
    </row>
    <row r="46" spans="2:28" x14ac:dyDescent="0.25">
      <c r="D46" s="6" t="s">
        <v>0</v>
      </c>
      <c r="E46" s="7" t="s">
        <v>1</v>
      </c>
      <c r="G46" s="62" t="s">
        <v>2</v>
      </c>
      <c r="H46" s="7"/>
      <c r="I46" s="62" t="s">
        <v>3</v>
      </c>
      <c r="L46" s="7" t="s">
        <v>1</v>
      </c>
      <c r="N46" s="62" t="s">
        <v>2</v>
      </c>
      <c r="O46" s="62"/>
      <c r="P46" s="62" t="s">
        <v>3</v>
      </c>
    </row>
    <row r="47" spans="2:28" x14ac:dyDescent="0.25">
      <c r="D47" s="6" t="s">
        <v>4</v>
      </c>
      <c r="E47" s="52"/>
      <c r="G47" s="62"/>
      <c r="L47" s="54" t="s">
        <v>22</v>
      </c>
    </row>
    <row r="48" spans="2:28" x14ac:dyDescent="0.25">
      <c r="D48" s="6" t="s">
        <v>5</v>
      </c>
      <c r="E48" s="7"/>
      <c r="L48" s="7" t="s">
        <v>6</v>
      </c>
    </row>
    <row r="49" spans="2:21" x14ac:dyDescent="0.25">
      <c r="D49" s="6" t="s">
        <v>7</v>
      </c>
      <c r="E49" s="54"/>
      <c r="L49" s="52" t="s">
        <v>65</v>
      </c>
    </row>
    <row r="50" spans="2:21" x14ac:dyDescent="0.25">
      <c r="D50" s="6" t="s">
        <v>8</v>
      </c>
      <c r="E50" s="7"/>
      <c r="L50" s="7" t="s">
        <v>9</v>
      </c>
    </row>
    <row r="51" spans="2:21" x14ac:dyDescent="0.25">
      <c r="D51" s="6" t="s">
        <v>11</v>
      </c>
      <c r="E51" s="7"/>
      <c r="L51" s="7" t="s">
        <v>12</v>
      </c>
    </row>
    <row r="52" spans="2:21" x14ac:dyDescent="0.25">
      <c r="D52" s="6" t="s">
        <v>10</v>
      </c>
      <c r="E52" s="12"/>
      <c r="L52" s="12" t="s">
        <v>13</v>
      </c>
    </row>
    <row r="53" spans="2:21" x14ac:dyDescent="0.25">
      <c r="E53" s="55"/>
      <c r="L53" s="63" t="s">
        <v>25</v>
      </c>
    </row>
    <row r="54" spans="2:21" x14ac:dyDescent="0.25">
      <c r="E54" s="63" t="s">
        <v>61</v>
      </c>
      <c r="L54" s="63" t="str">
        <f t="shared" ref="L54" si="11">TEXT(L49&amp;"/1/"&amp;L47,"mmm yy")</f>
        <v>Feb 21</v>
      </c>
    </row>
    <row r="55" spans="2:21" x14ac:dyDescent="0.25">
      <c r="E55" s="15"/>
      <c r="G55" s="15"/>
      <c r="H55" s="16"/>
      <c r="I55" s="15"/>
      <c r="L55" s="15"/>
      <c r="N55" s="15"/>
      <c r="O55" s="16"/>
      <c r="P55" s="15"/>
    </row>
    <row r="56" spans="2:21" x14ac:dyDescent="0.25">
      <c r="E56" s="285" t="s">
        <v>62</v>
      </c>
      <c r="F56" s="285"/>
      <c r="G56" s="285"/>
      <c r="H56" s="16"/>
      <c r="I56" s="15"/>
      <c r="L56" s="282" t="s">
        <v>18</v>
      </c>
      <c r="M56" s="282"/>
      <c r="N56" s="282"/>
      <c r="O56" s="282"/>
      <c r="P56" s="282"/>
    </row>
    <row r="57" spans="2:21" x14ac:dyDescent="0.25">
      <c r="E57" s="285"/>
      <c r="F57" s="285"/>
      <c r="G57" s="285"/>
      <c r="H57" s="16"/>
      <c r="I57" s="15"/>
      <c r="L57" s="15">
        <v>2021</v>
      </c>
      <c r="N57" s="17">
        <f>+N13</f>
        <v>0.74890000000000001</v>
      </c>
      <c r="O57" s="16"/>
      <c r="R57" s="17">
        <f>+O13</f>
        <v>0.25109999999999999</v>
      </c>
      <c r="T57" s="5" t="s">
        <v>17</v>
      </c>
    </row>
    <row r="58" spans="2:21" x14ac:dyDescent="0.25">
      <c r="B58" s="4" t="s">
        <v>66</v>
      </c>
      <c r="C58" s="5" t="s">
        <v>27</v>
      </c>
      <c r="E58" s="4" t="s">
        <v>68</v>
      </c>
      <c r="G58" s="4" t="s">
        <v>19</v>
      </c>
      <c r="I58" s="4" t="s">
        <v>20</v>
      </c>
      <c r="L58" s="4" t="s">
        <v>68</v>
      </c>
      <c r="N58" s="4" t="s">
        <v>19</v>
      </c>
      <c r="O58" s="68" t="s">
        <v>15</v>
      </c>
      <c r="P58" s="148" t="s">
        <v>15</v>
      </c>
      <c r="R58" s="4" t="s">
        <v>20</v>
      </c>
    </row>
    <row r="59" spans="2:21" x14ac:dyDescent="0.25">
      <c r="B59" s="66" t="s">
        <v>28</v>
      </c>
      <c r="C59" s="7" t="s">
        <v>13</v>
      </c>
      <c r="D59" s="20" t="s">
        <v>29</v>
      </c>
      <c r="E59" s="21">
        <f>SUM('[2]Paste Special WA 5yr'!D14)/12</f>
        <v>14761.550000000001</v>
      </c>
      <c r="F59" s="20"/>
      <c r="G59" s="21">
        <f>SUM('[2]Paste Special WA 5yr'!F14)/12</f>
        <v>10845.024666666666</v>
      </c>
      <c r="H59" s="21"/>
      <c r="I59" s="21">
        <f>SUM('[2]Paste Special WA 5yr'!H14)/12</f>
        <v>3916.5253333333335</v>
      </c>
      <c r="J59" s="20"/>
      <c r="K59" s="67"/>
      <c r="L59" s="21">
        <v>216.28</v>
      </c>
      <c r="M59" s="20"/>
      <c r="N59" s="21">
        <f>SUM(L59*$N$57)</f>
        <v>161.972092</v>
      </c>
      <c r="O59" s="58">
        <f>N59-G59</f>
        <v>-10683.052574666666</v>
      </c>
      <c r="P59" s="58">
        <v>-10683.052574666666</v>
      </c>
      <c r="Q59" s="20"/>
      <c r="R59" s="21">
        <f t="shared" ref="R59:R64" si="12">SUM(L59*$R$57)</f>
        <v>54.307907999999998</v>
      </c>
      <c r="T59" s="23">
        <f t="shared" ref="T59:T64" si="13">E59-G59-I59</f>
        <v>0</v>
      </c>
      <c r="U59" s="23">
        <f t="shared" ref="U59:U64" si="14">L59-N59-R59</f>
        <v>0</v>
      </c>
    </row>
    <row r="60" spans="2:21" x14ac:dyDescent="0.25">
      <c r="B60" s="66" t="s">
        <v>30</v>
      </c>
      <c r="C60" s="7" t="s">
        <v>13</v>
      </c>
      <c r="D60" s="20" t="s">
        <v>31</v>
      </c>
      <c r="E60" s="21">
        <f>SUM('[2]Paste Special WA 5yr'!D15)/12</f>
        <v>3779.2791666666667</v>
      </c>
      <c r="F60" s="20"/>
      <c r="G60" s="21">
        <f>SUM('[2]Paste Special WA 5yr'!F15)/12</f>
        <v>2797.3644999999997</v>
      </c>
      <c r="H60" s="21"/>
      <c r="I60" s="21">
        <f>SUM('[2]Paste Special WA 5yr'!H15)/12</f>
        <v>981.91466666666656</v>
      </c>
      <c r="J60" s="20"/>
      <c r="K60" s="67"/>
      <c r="L60" s="21">
        <v>0</v>
      </c>
      <c r="M60" s="20"/>
      <c r="N60" s="21">
        <f t="shared" ref="N60:N64" si="15">SUM(L60*$N$57)</f>
        <v>0</v>
      </c>
      <c r="O60" s="58">
        <f t="shared" ref="O60:O64" si="16">N60-G60</f>
        <v>-2797.3644999999997</v>
      </c>
      <c r="P60" s="58">
        <v>-2797.3644999999997</v>
      </c>
      <c r="Q60" s="20"/>
      <c r="R60" s="21">
        <f t="shared" si="12"/>
        <v>0</v>
      </c>
      <c r="T60" s="23">
        <f t="shared" si="13"/>
        <v>0</v>
      </c>
      <c r="U60" s="23">
        <f t="shared" si="14"/>
        <v>0</v>
      </c>
    </row>
    <row r="61" spans="2:21" x14ac:dyDescent="0.25">
      <c r="B61" s="66" t="s">
        <v>32</v>
      </c>
      <c r="C61" s="7" t="s">
        <v>13</v>
      </c>
      <c r="D61" s="20" t="s">
        <v>33</v>
      </c>
      <c r="E61" s="21">
        <f>SUM('[2]Paste Special WA 5yr'!D16)/12</f>
        <v>1259.5603333333331</v>
      </c>
      <c r="F61" s="20"/>
      <c r="G61" s="21">
        <f>SUM('[2]Paste Special WA 5yr'!F16)/12</f>
        <v>941.35399999999993</v>
      </c>
      <c r="H61" s="21"/>
      <c r="I61" s="21">
        <f>SUM('[2]Paste Special WA 5yr'!H16)/12</f>
        <v>318.20633333333336</v>
      </c>
      <c r="J61" s="20"/>
      <c r="K61" s="67"/>
      <c r="L61" s="21">
        <v>1.92</v>
      </c>
      <c r="M61" s="20"/>
      <c r="N61" s="21">
        <f t="shared" si="15"/>
        <v>1.4378880000000001</v>
      </c>
      <c r="O61" s="58">
        <f t="shared" si="16"/>
        <v>-939.91611199999988</v>
      </c>
      <c r="P61" s="58">
        <v>-939.91611199999988</v>
      </c>
      <c r="Q61" s="20"/>
      <c r="R61" s="21">
        <f t="shared" si="12"/>
        <v>0.48211199999999999</v>
      </c>
      <c r="T61" s="23">
        <f t="shared" si="13"/>
        <v>0</v>
      </c>
      <c r="U61" s="23">
        <f t="shared" si="14"/>
        <v>0</v>
      </c>
    </row>
    <row r="62" spans="2:21" x14ac:dyDescent="0.25">
      <c r="B62" s="66" t="s">
        <v>34</v>
      </c>
      <c r="C62" s="7" t="s">
        <v>13</v>
      </c>
      <c r="D62" s="20" t="s">
        <v>35</v>
      </c>
      <c r="E62" s="21">
        <f>SUM('[2]Paste Special WA 5yr'!D17)/12</f>
        <v>23419.128000000001</v>
      </c>
      <c r="F62" s="20"/>
      <c r="G62" s="21">
        <f>SUM('[2]Paste Special WA 5yr'!F17)/12</f>
        <v>16565.006833333333</v>
      </c>
      <c r="H62" s="21"/>
      <c r="I62" s="21">
        <f>SUM('[2]Paste Special WA 5yr'!H17)/12</f>
        <v>6854.1211666666668</v>
      </c>
      <c r="J62" s="20"/>
      <c r="K62" s="67"/>
      <c r="L62" s="21">
        <v>5873.35</v>
      </c>
      <c r="M62" s="20"/>
      <c r="N62" s="21">
        <f t="shared" si="15"/>
        <v>4398.5518150000007</v>
      </c>
      <c r="O62" s="58">
        <f t="shared" si="16"/>
        <v>-12166.455018333332</v>
      </c>
      <c r="P62" s="58">
        <v>-12166.455018333332</v>
      </c>
      <c r="Q62" s="20"/>
      <c r="R62" s="21">
        <f t="shared" si="12"/>
        <v>1474.7981850000001</v>
      </c>
      <c r="T62" s="23">
        <f t="shared" si="13"/>
        <v>0</v>
      </c>
      <c r="U62" s="23">
        <f t="shared" si="14"/>
        <v>0</v>
      </c>
    </row>
    <row r="63" spans="2:21" x14ac:dyDescent="0.25">
      <c r="B63" s="66" t="s">
        <v>36</v>
      </c>
      <c r="C63" s="7" t="s">
        <v>13</v>
      </c>
      <c r="D63" s="20" t="s">
        <v>37</v>
      </c>
      <c r="E63" s="21">
        <f>SUM('[2]Paste Special WA 5yr'!D18)/12</f>
        <v>25420.995500000001</v>
      </c>
      <c r="F63" s="20"/>
      <c r="G63" s="21">
        <f>SUM('[2]Paste Special WA 5yr'!F18)/12</f>
        <v>18246.845166666666</v>
      </c>
      <c r="H63" s="21"/>
      <c r="I63" s="21">
        <f>SUM('[2]Paste Special WA 5yr'!H18)/12</f>
        <v>7174.1503333333339</v>
      </c>
      <c r="J63" s="20"/>
      <c r="K63" s="67"/>
      <c r="L63" s="21">
        <v>4180.71</v>
      </c>
      <c r="M63" s="20"/>
      <c r="N63" s="21">
        <f t="shared" si="15"/>
        <v>3130.9337190000001</v>
      </c>
      <c r="O63" s="58">
        <f t="shared" si="16"/>
        <v>-15115.911447666665</v>
      </c>
      <c r="P63" s="58">
        <v>-15115.911447666665</v>
      </c>
      <c r="Q63" s="20"/>
      <c r="R63" s="21">
        <f t="shared" si="12"/>
        <v>1049.7762809999999</v>
      </c>
      <c r="T63" s="23">
        <f t="shared" si="13"/>
        <v>0</v>
      </c>
      <c r="U63" s="23">
        <f t="shared" si="14"/>
        <v>0</v>
      </c>
    </row>
    <row r="64" spans="2:21" x14ac:dyDescent="0.25">
      <c r="B64" s="66" t="s">
        <v>38</v>
      </c>
      <c r="C64" s="7" t="s">
        <v>13</v>
      </c>
      <c r="D64" s="20" t="s">
        <v>39</v>
      </c>
      <c r="E64" s="21">
        <f>SUM('[2]Paste Special WA 5yr'!D19)/12</f>
        <v>335.31433333333331</v>
      </c>
      <c r="F64" s="20"/>
      <c r="G64" s="21">
        <f>SUM('[2]Paste Special WA 5yr'!F19)/12</f>
        <v>255.99350000000001</v>
      </c>
      <c r="H64" s="21"/>
      <c r="I64" s="21">
        <f>SUM('[2]Paste Special WA 5yr'!H19)/12</f>
        <v>79.32083333333334</v>
      </c>
      <c r="J64" s="20"/>
      <c r="K64" s="67"/>
      <c r="L64" s="21">
        <v>0</v>
      </c>
      <c r="M64" s="24"/>
      <c r="N64" s="21">
        <f t="shared" si="15"/>
        <v>0</v>
      </c>
      <c r="O64" s="58">
        <f t="shared" si="16"/>
        <v>-255.99350000000001</v>
      </c>
      <c r="P64" s="58">
        <v>-255.99350000000001</v>
      </c>
      <c r="Q64" s="20"/>
      <c r="R64" s="21">
        <f t="shared" si="12"/>
        <v>0</v>
      </c>
      <c r="T64" s="23">
        <f t="shared" si="13"/>
        <v>0</v>
      </c>
      <c r="U64" s="23">
        <f t="shared" si="14"/>
        <v>0</v>
      </c>
    </row>
    <row r="65" spans="2:21" x14ac:dyDescent="0.25">
      <c r="B65" s="66"/>
      <c r="C65" s="7"/>
      <c r="E65" s="23">
        <f>SUM(E59:E64)</f>
        <v>68975.827333333335</v>
      </c>
      <c r="G65" s="23">
        <f>SUM(G59:G64)</f>
        <v>49651.588666666663</v>
      </c>
      <c r="H65" s="25"/>
      <c r="I65" s="23">
        <f>SUM(I59:I64)</f>
        <v>19324.238666666672</v>
      </c>
      <c r="K65" s="67"/>
      <c r="L65" s="23">
        <f>SUM(L59:L64)</f>
        <v>10272.26</v>
      </c>
      <c r="M65" s="23"/>
      <c r="N65" s="23">
        <f>SUM(N59:N64)</f>
        <v>7692.8955140000016</v>
      </c>
      <c r="O65" s="59">
        <f>SUM(O59:O64)</f>
        <v>-41958.693152666659</v>
      </c>
      <c r="P65" s="149">
        <v>-41958.693152666659</v>
      </c>
      <c r="R65" s="2">
        <f>SUM(R59:R64)</f>
        <v>2579.3644859999999</v>
      </c>
      <c r="T65" s="23"/>
      <c r="U65" s="23"/>
    </row>
    <row r="66" spans="2:21" x14ac:dyDescent="0.25">
      <c r="B66" s="66"/>
      <c r="C66" s="7"/>
      <c r="E66" s="23"/>
      <c r="G66" s="23"/>
      <c r="H66" s="25"/>
      <c r="I66" s="23"/>
      <c r="K66" s="67"/>
      <c r="L66" s="23">
        <f>L65-E65</f>
        <v>-58703.567333333332</v>
      </c>
      <c r="M66" s="23"/>
      <c r="N66" s="28">
        <f>N65-G65</f>
        <v>-41958.693152666659</v>
      </c>
      <c r="O66" s="59"/>
      <c r="P66" s="149"/>
      <c r="Q66" s="2"/>
      <c r="R66" s="2">
        <f>R65-I65</f>
        <v>-16744.874180666673</v>
      </c>
      <c r="T66" s="23"/>
      <c r="U66" s="23"/>
    </row>
    <row r="67" spans="2:21" x14ac:dyDescent="0.25">
      <c r="B67" s="66"/>
      <c r="C67" s="7"/>
      <c r="E67" s="23"/>
      <c r="G67" s="23"/>
      <c r="H67" s="25"/>
      <c r="I67" s="23"/>
      <c r="K67" s="67"/>
      <c r="L67" s="23"/>
      <c r="M67" s="23"/>
      <c r="N67" s="23"/>
      <c r="O67" s="59"/>
      <c r="P67" s="149"/>
      <c r="Q67" s="2"/>
      <c r="R67" s="2"/>
      <c r="T67" s="23"/>
      <c r="U67" s="23"/>
    </row>
    <row r="68" spans="2:21" x14ac:dyDescent="0.25">
      <c r="B68" s="66"/>
      <c r="C68" s="7"/>
      <c r="E68" s="4" t="s">
        <v>68</v>
      </c>
      <c r="G68" s="4" t="s">
        <v>19</v>
      </c>
      <c r="I68" s="4" t="s">
        <v>20</v>
      </c>
      <c r="K68" s="67"/>
      <c r="L68" s="4" t="s">
        <v>68</v>
      </c>
      <c r="N68" s="4" t="s">
        <v>19</v>
      </c>
      <c r="O68" s="59"/>
      <c r="P68" s="149"/>
      <c r="Q68" s="2"/>
      <c r="R68" s="4" t="s">
        <v>20</v>
      </c>
      <c r="T68" s="23"/>
      <c r="U68" s="23"/>
    </row>
    <row r="69" spans="2:21" x14ac:dyDescent="0.25">
      <c r="B69" s="66" t="s">
        <v>40</v>
      </c>
      <c r="C69" s="7" t="s">
        <v>13</v>
      </c>
      <c r="D69" s="30" t="s">
        <v>41</v>
      </c>
      <c r="E69" s="31">
        <f>SUM('[2]Paste Special WA 5yr'!D22)/12</f>
        <v>235.60100000000003</v>
      </c>
      <c r="F69" s="30"/>
      <c r="G69" s="31">
        <f>SUM('[2]Paste Special WA 5yr'!F22)/12</f>
        <v>178.32866666666669</v>
      </c>
      <c r="H69" s="30"/>
      <c r="I69" s="31">
        <f>SUM('[2]Paste Special WA 5yr'!H22)/12</f>
        <v>57.272333333333329</v>
      </c>
      <c r="J69" s="30"/>
      <c r="K69" s="67"/>
      <c r="L69" s="31">
        <v>0</v>
      </c>
      <c r="M69" s="30"/>
      <c r="N69" s="31">
        <f>SUM(L69*$N$57)</f>
        <v>0</v>
      </c>
      <c r="O69" s="58">
        <f>N69-G69</f>
        <v>-178.32866666666669</v>
      </c>
      <c r="P69" s="58">
        <v>-178.32866666666669</v>
      </c>
      <c r="Q69" s="30"/>
      <c r="R69" s="31">
        <f t="shared" ref="R69:R74" si="17">SUM(L69*$R$57)</f>
        <v>0</v>
      </c>
      <c r="T69" s="23">
        <f>E69-G69-I69</f>
        <v>0</v>
      </c>
      <c r="U69" s="23">
        <f t="shared" ref="U69:U74" si="18">L69-N69-R69</f>
        <v>0</v>
      </c>
    </row>
    <row r="70" spans="2:21" x14ac:dyDescent="0.25">
      <c r="B70" s="66" t="s">
        <v>42</v>
      </c>
      <c r="C70" s="7" t="s">
        <v>13</v>
      </c>
      <c r="D70" s="30" t="s">
        <v>43</v>
      </c>
      <c r="E70" s="31">
        <f>SUM('[2]Paste Special WA 5yr'!D23)/12</f>
        <v>98.616666666666674</v>
      </c>
      <c r="F70" s="30"/>
      <c r="G70" s="31">
        <f>SUM('[2]Paste Special WA 5yr'!F23)/12</f>
        <v>97.95</v>
      </c>
      <c r="H70" s="30"/>
      <c r="I70" s="31">
        <f>SUM('[2]Paste Special WA 5yr'!H23)/12</f>
        <v>0.66666666666666663</v>
      </c>
      <c r="J70" s="30"/>
      <c r="K70" s="67"/>
      <c r="L70" s="31">
        <v>0</v>
      </c>
      <c r="M70" s="30"/>
      <c r="N70" s="31">
        <f t="shared" ref="N70:N74" si="19">SUM(L70*$N$57)</f>
        <v>0</v>
      </c>
      <c r="O70" s="58">
        <f t="shared" ref="O70:O74" si="20">N70-G70</f>
        <v>-97.95</v>
      </c>
      <c r="P70" s="58">
        <v>-97.95</v>
      </c>
      <c r="Q70" s="30"/>
      <c r="R70" s="31">
        <f t="shared" si="17"/>
        <v>0</v>
      </c>
      <c r="T70" s="23">
        <f>ROUND(E70-G70-I70,2)</f>
        <v>0</v>
      </c>
      <c r="U70" s="23">
        <f t="shared" si="18"/>
        <v>0</v>
      </c>
    </row>
    <row r="71" spans="2:21" x14ac:dyDescent="0.25">
      <c r="B71" s="66" t="s">
        <v>44</v>
      </c>
      <c r="C71" s="7" t="s">
        <v>13</v>
      </c>
      <c r="D71" s="30" t="s">
        <v>45</v>
      </c>
      <c r="E71" s="31">
        <f>SUM('[2]Paste Special WA 5yr'!D24)/12</f>
        <v>9038.3494999999984</v>
      </c>
      <c r="F71" s="30"/>
      <c r="G71" s="31">
        <f>SUM('[2]Paste Special WA 5yr'!F24)/12</f>
        <v>6827.0563333333339</v>
      </c>
      <c r="H71" s="30"/>
      <c r="I71" s="31">
        <f>SUM('[2]Paste Special WA 5yr'!H24)/12</f>
        <v>2211.2931666666668</v>
      </c>
      <c r="J71" s="30"/>
      <c r="K71" s="67"/>
      <c r="L71" s="31">
        <v>2131.34</v>
      </c>
      <c r="M71" s="30"/>
      <c r="N71" s="31">
        <f t="shared" si="19"/>
        <v>1596.1605260000001</v>
      </c>
      <c r="O71" s="58">
        <f t="shared" si="20"/>
        <v>-5230.8958073333342</v>
      </c>
      <c r="P71" s="58">
        <v>-5230.8958073333342</v>
      </c>
      <c r="Q71" s="30"/>
      <c r="R71" s="31">
        <f t="shared" si="17"/>
        <v>535.17947400000003</v>
      </c>
      <c r="T71" s="23">
        <f>E71-G71-I71</f>
        <v>0</v>
      </c>
      <c r="U71" s="23">
        <f t="shared" si="18"/>
        <v>0</v>
      </c>
    </row>
    <row r="72" spans="2:21" x14ac:dyDescent="0.25">
      <c r="B72" s="66" t="s">
        <v>46</v>
      </c>
      <c r="C72" s="7" t="s">
        <v>13</v>
      </c>
      <c r="D72" s="30" t="s">
        <v>47</v>
      </c>
      <c r="E72" s="31">
        <f>SUM('[2]Paste Special WA 5yr'!D25)/12</f>
        <v>479.02249999999998</v>
      </c>
      <c r="F72" s="30"/>
      <c r="G72" s="31">
        <f>SUM('[2]Paste Special WA 5yr'!F25)/12</f>
        <v>362.63016666666664</v>
      </c>
      <c r="H72" s="30"/>
      <c r="I72" s="31">
        <f>SUM('[2]Paste Special WA 5yr'!H25)/12</f>
        <v>116.39233333333334</v>
      </c>
      <c r="J72" s="30"/>
      <c r="K72" s="67"/>
      <c r="L72" s="31">
        <v>0</v>
      </c>
      <c r="M72" s="30"/>
      <c r="N72" s="31">
        <f t="shared" si="19"/>
        <v>0</v>
      </c>
      <c r="O72" s="58">
        <f t="shared" si="20"/>
        <v>-362.63016666666664</v>
      </c>
      <c r="P72" s="58">
        <v>-362.63016666666664</v>
      </c>
      <c r="Q72" s="30"/>
      <c r="R72" s="31">
        <f t="shared" si="17"/>
        <v>0</v>
      </c>
      <c r="T72" s="23">
        <f>E72-G72-I72</f>
        <v>0</v>
      </c>
      <c r="U72" s="23">
        <f t="shared" si="18"/>
        <v>0</v>
      </c>
    </row>
    <row r="73" spans="2:21" x14ac:dyDescent="0.25">
      <c r="B73" s="66" t="s">
        <v>48</v>
      </c>
      <c r="C73" s="7" t="s">
        <v>13</v>
      </c>
      <c r="D73" s="30" t="s">
        <v>49</v>
      </c>
      <c r="E73" s="31">
        <f>SUM('[2]Paste Special WA 5yr'!D26)/12</f>
        <v>12340.912666666665</v>
      </c>
      <c r="F73" s="30"/>
      <c r="G73" s="31">
        <f>SUM('[2]Paste Special WA 5yr'!F26)/12</f>
        <v>8779.150333333333</v>
      </c>
      <c r="H73" s="30"/>
      <c r="I73" s="31">
        <f>SUM('[2]Paste Special WA 5yr'!H26)/12</f>
        <v>3561.7623333333336</v>
      </c>
      <c r="J73" s="30"/>
      <c r="K73" s="67"/>
      <c r="L73" s="31">
        <v>13872.88</v>
      </c>
      <c r="M73" s="30"/>
      <c r="N73" s="31">
        <f t="shared" si="19"/>
        <v>10389.399831999999</v>
      </c>
      <c r="O73" s="58">
        <f t="shared" si="20"/>
        <v>1610.2494986666661</v>
      </c>
      <c r="P73" s="58">
        <v>1610.2494986666661</v>
      </c>
      <c r="Q73" s="30"/>
      <c r="R73" s="31">
        <f t="shared" si="17"/>
        <v>3483.4801679999996</v>
      </c>
      <c r="T73" s="23">
        <f>E73-G73-I73</f>
        <v>0</v>
      </c>
      <c r="U73" s="23">
        <f t="shared" si="18"/>
        <v>0</v>
      </c>
    </row>
    <row r="74" spans="2:21" x14ac:dyDescent="0.25">
      <c r="B74" s="66" t="s">
        <v>50</v>
      </c>
      <c r="C74" s="7" t="s">
        <v>13</v>
      </c>
      <c r="D74" s="30" t="s">
        <v>51</v>
      </c>
      <c r="E74" s="31">
        <f>SUM('[2]Paste Special WA 5yr'!D27)/12</f>
        <v>1336.7904999999998</v>
      </c>
      <c r="F74" s="30"/>
      <c r="G74" s="31">
        <f>SUM('[2]Paste Special WA 5yr'!F27)/12</f>
        <v>1078.6363333333334</v>
      </c>
      <c r="H74" s="30"/>
      <c r="I74" s="31">
        <f>SUM('[2]Paste Special WA 5yr'!H27)/12</f>
        <v>258.15416666666664</v>
      </c>
      <c r="J74" s="30"/>
      <c r="K74" s="67"/>
      <c r="L74" s="31">
        <v>0</v>
      </c>
      <c r="M74" s="30"/>
      <c r="N74" s="31">
        <f t="shared" si="19"/>
        <v>0</v>
      </c>
      <c r="O74" s="58">
        <f t="shared" si="20"/>
        <v>-1078.6363333333334</v>
      </c>
      <c r="P74" s="58">
        <v>-1078.6363333333334</v>
      </c>
      <c r="Q74" s="30"/>
      <c r="R74" s="31">
        <f t="shared" si="17"/>
        <v>0</v>
      </c>
      <c r="T74" s="23">
        <f>E74-G74-I74</f>
        <v>0</v>
      </c>
      <c r="U74" s="23">
        <f t="shared" si="18"/>
        <v>0</v>
      </c>
    </row>
    <row r="75" spans="2:21" x14ac:dyDescent="0.25">
      <c r="B75" s="66"/>
      <c r="C75" s="7"/>
      <c r="E75" s="23">
        <f>SUM(E69:E74)</f>
        <v>23529.292833333329</v>
      </c>
      <c r="F75" s="23"/>
      <c r="G75" s="23">
        <f>SUM(G69:G74)</f>
        <v>17323.751833333332</v>
      </c>
      <c r="H75" s="25"/>
      <c r="I75" s="23">
        <f>SUM(I69:I74)</f>
        <v>6205.5410000000002</v>
      </c>
      <c r="K75" s="67"/>
      <c r="L75" s="23">
        <f>SUM(L69:L74)</f>
        <v>16004.22</v>
      </c>
      <c r="N75" s="23">
        <f>SUM(N69:N74)</f>
        <v>11985.560357999999</v>
      </c>
      <c r="O75" s="59">
        <f>SUM(O69:O74)</f>
        <v>-5338.1914753333349</v>
      </c>
      <c r="P75" s="149">
        <v>-5338.1914753333349</v>
      </c>
      <c r="R75" s="23">
        <f>SUM(R69:R74)</f>
        <v>4018.6596419999996</v>
      </c>
      <c r="T75" s="23"/>
      <c r="U75" s="23"/>
    </row>
    <row r="76" spans="2:21" x14ac:dyDescent="0.25">
      <c r="B76" s="66"/>
      <c r="C76" s="7"/>
      <c r="E76" s="25"/>
      <c r="F76" s="23"/>
      <c r="G76" s="25"/>
      <c r="H76" s="25"/>
      <c r="I76" s="25"/>
      <c r="K76" s="67"/>
      <c r="L76" s="23">
        <f>L75-E75</f>
        <v>-7525.07283333333</v>
      </c>
      <c r="M76" s="28"/>
      <c r="N76" s="28">
        <f>N75-G75</f>
        <v>-5338.1914753333331</v>
      </c>
      <c r="O76" s="58"/>
      <c r="P76" s="58"/>
      <c r="Q76" s="25"/>
      <c r="R76" s="23">
        <f>R75-I75</f>
        <v>-2186.8813580000005</v>
      </c>
      <c r="T76" s="23"/>
      <c r="U76" s="23"/>
    </row>
    <row r="77" spans="2:21" x14ac:dyDescent="0.25">
      <c r="B77" s="66"/>
      <c r="C77" s="7"/>
      <c r="E77" s="25"/>
      <c r="F77" s="23"/>
      <c r="G77" s="25"/>
      <c r="H77" s="25"/>
      <c r="I77" s="25"/>
      <c r="K77" s="67"/>
      <c r="L77" s="23"/>
      <c r="M77" s="28"/>
      <c r="N77" s="25"/>
      <c r="O77" s="58"/>
      <c r="P77" s="58"/>
      <c r="Q77" s="25"/>
      <c r="R77" s="25"/>
      <c r="T77" s="23"/>
      <c r="U77" s="23"/>
    </row>
    <row r="78" spans="2:21" x14ac:dyDescent="0.25">
      <c r="B78" s="66" t="s">
        <v>52</v>
      </c>
      <c r="C78" s="7" t="s">
        <v>13</v>
      </c>
      <c r="D78" s="36" t="s">
        <v>53</v>
      </c>
      <c r="E78" s="37">
        <f>SUM('[2]Paste Special WA 5yr'!D30)/12</f>
        <v>30235.661500000002</v>
      </c>
      <c r="F78" s="36"/>
      <c r="G78" s="37">
        <f>SUM('[2]Paste Special WA 5yr'!F30)/12</f>
        <v>22754.826499999999</v>
      </c>
      <c r="H78" s="36"/>
      <c r="I78" s="37">
        <f>SUM('[2]Paste Special WA 5yr'!H30)/12</f>
        <v>7480.835</v>
      </c>
      <c r="J78" s="36"/>
      <c r="K78" s="67"/>
      <c r="L78" s="37">
        <v>28332.69</v>
      </c>
      <c r="M78" s="36"/>
      <c r="N78" s="37">
        <f t="shared" ref="N78" si="21">SUM(L78*$N$57)</f>
        <v>21218.351541</v>
      </c>
      <c r="O78" s="69">
        <f t="shared" ref="O78" si="22">N78-G78</f>
        <v>-1536.4749589999992</v>
      </c>
      <c r="P78" s="69">
        <v>-1536.4749589999992</v>
      </c>
      <c r="Q78" s="36"/>
      <c r="R78" s="37">
        <f>SUM(L78*$R$57)</f>
        <v>7114.3384589999996</v>
      </c>
      <c r="T78" s="23">
        <f>E78-G78-I78</f>
        <v>0</v>
      </c>
      <c r="U78" s="23">
        <f>L78-N78-R78</f>
        <v>0</v>
      </c>
    </row>
    <row r="79" spans="2:21" x14ac:dyDescent="0.25">
      <c r="B79" s="66"/>
      <c r="C79" s="7"/>
      <c r="E79" s="25"/>
      <c r="G79" s="25"/>
      <c r="H79" s="25"/>
      <c r="I79" s="25"/>
      <c r="K79" s="67"/>
      <c r="L79" s="23">
        <f>L78-E78</f>
        <v>-1902.9715000000033</v>
      </c>
      <c r="N79" s="28">
        <f>N78-G78</f>
        <v>-1536.4749589999992</v>
      </c>
      <c r="O79" s="59"/>
      <c r="P79" s="149"/>
      <c r="R79" s="23">
        <f>R78-I78</f>
        <v>-366.49654100000043</v>
      </c>
      <c r="S79" s="28"/>
      <c r="T79" s="23"/>
      <c r="U79" s="23"/>
    </row>
    <row r="80" spans="2:21" x14ac:dyDescent="0.25">
      <c r="B80" s="66"/>
      <c r="C80" s="7"/>
      <c r="E80" s="25"/>
      <c r="G80" s="25"/>
      <c r="H80" s="25"/>
      <c r="I80" s="25"/>
      <c r="K80" s="67"/>
      <c r="L80" s="25"/>
      <c r="M80" s="28"/>
      <c r="N80" s="25"/>
      <c r="O80" s="59"/>
      <c r="P80" s="149"/>
      <c r="Q80" s="2"/>
      <c r="R80" s="25"/>
      <c r="S80" s="28"/>
      <c r="T80" s="23"/>
      <c r="U80" s="23"/>
    </row>
    <row r="81" spans="2:28" x14ac:dyDescent="0.25">
      <c r="B81" s="66" t="s">
        <v>54</v>
      </c>
      <c r="C81" s="7" t="s">
        <v>13</v>
      </c>
      <c r="D81" s="40" t="s">
        <v>55</v>
      </c>
      <c r="E81" s="41">
        <f>SUM('[2]Paste Special WA 5yr'!D33)/12</f>
        <v>158545.38866666667</v>
      </c>
      <c r="F81" s="40"/>
      <c r="G81" s="41">
        <f>SUM('[2]Paste Special WA 5yr'!F33)/12</f>
        <v>117254.6565</v>
      </c>
      <c r="H81" s="40"/>
      <c r="I81" s="41">
        <f>SUM('[2]Paste Special WA 5yr'!H33)/12</f>
        <v>41290.732166666668</v>
      </c>
      <c r="J81" s="40"/>
      <c r="K81" s="67"/>
      <c r="L81" s="41">
        <v>167214.79</v>
      </c>
      <c r="M81" s="40"/>
      <c r="N81" s="41">
        <f t="shared" ref="N81" si="23">SUM(L81*$N$57)</f>
        <v>125227.156231</v>
      </c>
      <c r="O81" s="60">
        <v>-6092.3722222222223</v>
      </c>
      <c r="P81" s="145">
        <v>-820.21</v>
      </c>
      <c r="Q81" s="40"/>
      <c r="R81" s="41">
        <f>SUM(L81*$R$57)</f>
        <v>41987.633769</v>
      </c>
      <c r="T81" s="23">
        <f>E81-G81-I81</f>
        <v>0</v>
      </c>
      <c r="U81" s="23">
        <f>L81-N81-R81</f>
        <v>0</v>
      </c>
      <c r="V81" s="43" t="s">
        <v>56</v>
      </c>
      <c r="W81" s="43"/>
      <c r="X81" s="44"/>
      <c r="Y81" s="44"/>
      <c r="Z81" s="44"/>
      <c r="AA81" s="44"/>
      <c r="AB81" s="44"/>
    </row>
    <row r="82" spans="2:28" x14ac:dyDescent="0.25">
      <c r="B82" s="66"/>
      <c r="C82" s="7"/>
      <c r="E82" s="25"/>
      <c r="F82" s="23"/>
      <c r="G82" s="25"/>
      <c r="H82" s="25"/>
      <c r="I82" s="25"/>
      <c r="K82" s="67"/>
      <c r="L82" s="23">
        <f>L81-E81</f>
        <v>8669.4013333333423</v>
      </c>
      <c r="N82" s="23">
        <f>N81-G81</f>
        <v>7972.4997310000035</v>
      </c>
      <c r="O82" s="59"/>
      <c r="P82" s="149"/>
      <c r="R82" s="28">
        <f>R81-I81</f>
        <v>696.90160233333154</v>
      </c>
      <c r="S82" s="28"/>
      <c r="T82" s="23"/>
      <c r="U82" s="23"/>
      <c r="V82" s="44" t="s">
        <v>57</v>
      </c>
      <c r="W82" s="44"/>
      <c r="X82" s="44"/>
    </row>
    <row r="83" spans="2:28" x14ac:dyDescent="0.25">
      <c r="B83" s="66"/>
      <c r="C83" s="7"/>
      <c r="E83" s="25"/>
      <c r="F83" s="23"/>
      <c r="G83" s="25"/>
      <c r="H83" s="25"/>
      <c r="I83" s="25"/>
      <c r="K83" s="67"/>
      <c r="L83" s="95"/>
      <c r="M83" s="28"/>
      <c r="N83" s="25"/>
      <c r="O83" s="59"/>
      <c r="P83" s="149"/>
      <c r="Q83" s="2"/>
      <c r="R83" s="25"/>
      <c r="S83" s="28"/>
      <c r="T83" s="23"/>
      <c r="U83" s="23"/>
    </row>
    <row r="84" spans="2:28" x14ac:dyDescent="0.25">
      <c r="B84" s="66" t="s">
        <v>58</v>
      </c>
      <c r="C84" s="7" t="s">
        <v>13</v>
      </c>
      <c r="D84" s="47" t="s">
        <v>59</v>
      </c>
      <c r="E84" s="48">
        <f>SUM('[2]Paste Special WA 5yr'!D36)/12</f>
        <v>21244.650333333335</v>
      </c>
      <c r="F84" s="48"/>
      <c r="G84" s="48">
        <f>SUM('[2]Paste Special WA 5yr'!F36)/12</f>
        <v>16000.9475</v>
      </c>
      <c r="H84" s="48"/>
      <c r="I84" s="48">
        <f>SUM('[2]Paste Special WA 5yr'!H36)/12</f>
        <v>5243.7028333333328</v>
      </c>
      <c r="J84" s="47"/>
      <c r="K84" s="67"/>
      <c r="L84" s="140">
        <v>22316.69</v>
      </c>
      <c r="M84" s="47"/>
      <c r="N84" s="48">
        <f t="shared" ref="N84" si="24">SUM(L84*$N$57)</f>
        <v>16712.969140999998</v>
      </c>
      <c r="O84" s="69">
        <f t="shared" ref="O84" si="25">N84-G84</f>
        <v>712.02164099999754</v>
      </c>
      <c r="P84" s="69">
        <v>712.02164099999754</v>
      </c>
      <c r="Q84" s="47"/>
      <c r="R84" s="48">
        <f>SUM(L84*$R$57)</f>
        <v>5603.7208589999991</v>
      </c>
      <c r="T84" s="23">
        <f>E84-G84-I84</f>
        <v>0</v>
      </c>
      <c r="U84" s="23">
        <f>L84-N84-R84</f>
        <v>0</v>
      </c>
    </row>
    <row r="85" spans="2:28" x14ac:dyDescent="0.25">
      <c r="B85" s="66"/>
      <c r="C85" s="7"/>
      <c r="E85" s="2"/>
      <c r="G85" s="2"/>
      <c r="H85" s="25"/>
      <c r="I85" s="2"/>
      <c r="L85" s="23">
        <f>L84-E84</f>
        <v>1072.0396666666638</v>
      </c>
      <c r="N85" s="28">
        <f>N84-G84</f>
        <v>712.02164099999754</v>
      </c>
      <c r="O85" s="59"/>
      <c r="P85" s="149"/>
      <c r="R85" s="28">
        <f>R84-I84</f>
        <v>360.01802566666629</v>
      </c>
      <c r="S85" s="28"/>
      <c r="T85" s="23"/>
      <c r="U85" s="23"/>
    </row>
    <row r="86" spans="2:28" x14ac:dyDescent="0.25">
      <c r="O86" s="59"/>
      <c r="P86" s="149"/>
    </row>
    <row r="87" spans="2:28" x14ac:dyDescent="0.25">
      <c r="O87" s="51">
        <f>O65+O75+O78+O81+O84</f>
        <v>-54213.710168222213</v>
      </c>
      <c r="P87" s="146">
        <v>-48941.547945999991</v>
      </c>
    </row>
    <row r="88" spans="2:28" ht="18.75" x14ac:dyDescent="0.3">
      <c r="O88" s="147" t="s">
        <v>127</v>
      </c>
      <c r="P88" s="133">
        <f>+P87-O87</f>
        <v>5272.1622222222213</v>
      </c>
      <c r="Q88" s="133">
        <f>+O87-Q87</f>
        <v>-54213.710168222213</v>
      </c>
    </row>
  </sheetData>
  <mergeCells count="3">
    <mergeCell ref="L11:O11"/>
    <mergeCell ref="E56:G57"/>
    <mergeCell ref="L56:P56"/>
  </mergeCells>
  <pageMargins left="0.2" right="0.2" top="0.5" bottom="0.25" header="0.3" footer="0.3"/>
  <pageSetup scale="5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Z81"/>
  <sheetViews>
    <sheetView view="pageBreakPreview" topLeftCell="A34" zoomScaleNormal="130" zoomScaleSheetLayoutView="100" workbookViewId="0">
      <selection activeCell="F87" sqref="F87"/>
    </sheetView>
  </sheetViews>
  <sheetFormatPr defaultRowHeight="15" x14ac:dyDescent="0.25"/>
  <cols>
    <col min="1" max="1" width="12.75" style="5" bestFit="1" customWidth="1"/>
    <col min="2" max="2" width="10.375" style="5" bestFit="1" customWidth="1"/>
    <col min="3" max="3" width="32.125" style="5" bestFit="1" customWidth="1"/>
    <col min="4" max="4" width="11.75" style="5" bestFit="1" customWidth="1"/>
    <col min="5" max="5" width="10.75" style="5" bestFit="1" customWidth="1"/>
    <col min="6" max="6" width="11.75" style="5" bestFit="1" customWidth="1"/>
    <col min="7" max="7" width="10.375" style="5" bestFit="1" customWidth="1"/>
    <col min="8" max="8" width="11.125" style="5" customWidth="1"/>
    <col min="9" max="9" width="10.75" style="5" bestFit="1" customWidth="1"/>
    <col min="10" max="10" width="3.125" style="5" customWidth="1"/>
    <col min="11" max="11" width="11.125" style="5" bestFit="1" customWidth="1"/>
    <col min="12" max="12" width="14.5" style="5" bestFit="1" customWidth="1"/>
    <col min="13" max="13" width="11.75" style="5" bestFit="1" customWidth="1"/>
    <col min="14" max="14" width="14.875" style="5" bestFit="1" customWidth="1"/>
    <col min="15" max="15" width="11.125" style="5" customWidth="1"/>
    <col min="16" max="16" width="13.875" style="5" bestFit="1" customWidth="1"/>
    <col min="17" max="17" width="1" style="5" customWidth="1"/>
    <col min="18" max="18" width="6.125" style="5" bestFit="1" customWidth="1"/>
    <col min="19" max="19" width="5.375" style="5" bestFit="1" customWidth="1"/>
    <col min="20" max="16384" width="9" style="5"/>
  </cols>
  <sheetData>
    <row r="1" spans="1:19" x14ac:dyDescent="0.25">
      <c r="A1" s="4"/>
      <c r="C1" s="6" t="s">
        <v>0</v>
      </c>
      <c r="D1" s="7" t="s">
        <v>1</v>
      </c>
      <c r="F1" s="7" t="s">
        <v>2</v>
      </c>
      <c r="G1" s="7"/>
      <c r="H1" s="7" t="s">
        <v>3</v>
      </c>
      <c r="J1" s="8"/>
      <c r="K1" s="7" t="s">
        <v>1</v>
      </c>
      <c r="M1" s="7" t="s">
        <v>2</v>
      </c>
      <c r="N1" s="7"/>
      <c r="O1" s="7" t="s">
        <v>3</v>
      </c>
    </row>
    <row r="2" spans="1:19" x14ac:dyDescent="0.25">
      <c r="A2" s="4"/>
      <c r="C2" s="6" t="s">
        <v>4</v>
      </c>
      <c r="D2" s="9" t="s">
        <v>21</v>
      </c>
      <c r="J2" s="8"/>
      <c r="K2" s="9" t="s">
        <v>22</v>
      </c>
    </row>
    <row r="3" spans="1:19" x14ac:dyDescent="0.25">
      <c r="A3" s="4"/>
      <c r="C3" s="6" t="s">
        <v>5</v>
      </c>
      <c r="D3" s="7" t="s">
        <v>6</v>
      </c>
      <c r="J3" s="8"/>
      <c r="K3" s="7" t="s">
        <v>6</v>
      </c>
    </row>
    <row r="4" spans="1:19" ht="15.75" x14ac:dyDescent="0.25">
      <c r="A4" s="4"/>
      <c r="C4" s="6" t="s">
        <v>7</v>
      </c>
      <c r="D4" s="10" t="s">
        <v>23</v>
      </c>
      <c r="J4" s="8"/>
      <c r="K4" s="11" t="s">
        <v>24</v>
      </c>
    </row>
    <row r="5" spans="1:19" x14ac:dyDescent="0.25">
      <c r="A5" s="4"/>
      <c r="C5" s="6" t="s">
        <v>8</v>
      </c>
      <c r="D5" s="7" t="s">
        <v>9</v>
      </c>
      <c r="J5" s="8"/>
      <c r="K5" s="7" t="s">
        <v>9</v>
      </c>
    </row>
    <row r="6" spans="1:19" x14ac:dyDescent="0.25">
      <c r="A6" s="4"/>
      <c r="C6" s="6" t="s">
        <v>11</v>
      </c>
      <c r="D6" s="7" t="s">
        <v>12</v>
      </c>
      <c r="J6" s="8"/>
      <c r="K6" s="7" t="s">
        <v>12</v>
      </c>
    </row>
    <row r="7" spans="1:19" x14ac:dyDescent="0.25">
      <c r="A7" s="4"/>
      <c r="C7" s="6" t="s">
        <v>10</v>
      </c>
      <c r="D7" s="12" t="s">
        <v>13</v>
      </c>
      <c r="J7" s="8"/>
      <c r="K7" s="12" t="s">
        <v>13</v>
      </c>
    </row>
    <row r="8" spans="1:19" x14ac:dyDescent="0.25">
      <c r="D8" s="13" t="s">
        <v>25</v>
      </c>
      <c r="J8" s="8"/>
      <c r="K8" s="13" t="s">
        <v>25</v>
      </c>
    </row>
    <row r="9" spans="1:19" x14ac:dyDescent="0.25">
      <c r="A9" s="5" t="s">
        <v>26</v>
      </c>
      <c r="B9" s="5" t="s">
        <v>27</v>
      </c>
      <c r="D9" s="14" t="str">
        <f t="shared" ref="D9" si="0">TEXT(D4&amp;"/1/"&amp;D2,"mmm yy")</f>
        <v>Dec 17</v>
      </c>
      <c r="J9" s="8"/>
      <c r="K9" s="14" t="str">
        <f t="shared" ref="K9" si="1">TEXT(K4&amp;"/1/"&amp;K2,"mmm yy")</f>
        <v>Mar 21</v>
      </c>
    </row>
    <row r="10" spans="1:19" x14ac:dyDescent="0.25">
      <c r="D10" s="15"/>
      <c r="F10" s="15"/>
      <c r="G10" s="16"/>
      <c r="H10" s="15"/>
      <c r="J10" s="8"/>
      <c r="K10" s="15"/>
      <c r="M10" s="15"/>
      <c r="N10" s="16"/>
      <c r="O10" s="15"/>
    </row>
    <row r="11" spans="1:19" x14ac:dyDescent="0.25">
      <c r="D11" s="282"/>
      <c r="E11" s="282"/>
      <c r="F11" s="282"/>
      <c r="G11" s="16"/>
      <c r="H11" s="15"/>
      <c r="J11" s="8"/>
      <c r="K11" s="282" t="s">
        <v>18</v>
      </c>
      <c r="L11" s="282"/>
      <c r="M11" s="282"/>
      <c r="N11" s="282"/>
      <c r="O11" s="282"/>
    </row>
    <row r="12" spans="1:19" x14ac:dyDescent="0.25">
      <c r="D12" s="15"/>
      <c r="F12" s="15"/>
      <c r="G12" s="16"/>
      <c r="H12" s="15"/>
      <c r="J12" s="8"/>
      <c r="K12" s="15">
        <v>2021</v>
      </c>
      <c r="M12" s="17">
        <v>0.74890000000000001</v>
      </c>
      <c r="N12" s="16"/>
      <c r="O12" s="17">
        <v>0.25109999999999999</v>
      </c>
      <c r="R12" s="5" t="s">
        <v>17</v>
      </c>
    </row>
    <row r="13" spans="1:19" x14ac:dyDescent="0.25">
      <c r="D13" s="15">
        <v>2017</v>
      </c>
      <c r="J13" s="8"/>
      <c r="K13" s="15"/>
      <c r="M13" s="17"/>
      <c r="O13" s="17"/>
      <c r="P13" s="18" t="s">
        <v>16</v>
      </c>
    </row>
    <row r="14" spans="1:19" x14ac:dyDescent="0.25">
      <c r="A14" s="7" t="s">
        <v>28</v>
      </c>
      <c r="B14" s="19" t="s">
        <v>13</v>
      </c>
      <c r="C14" s="20" t="s">
        <v>29</v>
      </c>
      <c r="D14" s="21">
        <v>20296.75</v>
      </c>
      <c r="E14" s="20"/>
      <c r="F14" s="21">
        <v>14330.43</v>
      </c>
      <c r="G14" s="21"/>
      <c r="H14" s="21">
        <v>5966.32</v>
      </c>
      <c r="I14" s="20"/>
      <c r="J14" s="8"/>
      <c r="K14" s="21">
        <v>211.82</v>
      </c>
      <c r="L14" s="20"/>
      <c r="M14" s="21">
        <f>SUM(K14*$M$12)</f>
        <v>158.63199800000001</v>
      </c>
      <c r="N14" s="21"/>
      <c r="O14" s="21">
        <f>SUM(K14*$O$12)</f>
        <v>53.188001999999997</v>
      </c>
      <c r="P14" s="22">
        <f>O14-H14</f>
        <v>-5913.1319979999998</v>
      </c>
      <c r="R14" s="23">
        <f t="shared" ref="R14:R19" si="2">D14-F14-H14</f>
        <v>0</v>
      </c>
      <c r="S14" s="23">
        <f t="shared" ref="S14:S36" si="3">K14-M14-O14</f>
        <v>0</v>
      </c>
    </row>
    <row r="15" spans="1:19" x14ac:dyDescent="0.25">
      <c r="A15" s="7" t="s">
        <v>30</v>
      </c>
      <c r="B15" s="19" t="s">
        <v>13</v>
      </c>
      <c r="C15" s="20" t="s">
        <v>31</v>
      </c>
      <c r="D15" s="21">
        <v>2117.64</v>
      </c>
      <c r="E15" s="20"/>
      <c r="F15" s="21">
        <v>1589.08</v>
      </c>
      <c r="G15" s="21"/>
      <c r="H15" s="21">
        <v>528.55999999999995</v>
      </c>
      <c r="I15" s="20"/>
      <c r="J15" s="8"/>
      <c r="K15" s="21">
        <v>0</v>
      </c>
      <c r="L15" s="20"/>
      <c r="M15" s="21">
        <f t="shared" ref="M15:M19" si="4">SUM(K15*$M$12)</f>
        <v>0</v>
      </c>
      <c r="N15" s="21"/>
      <c r="O15" s="21">
        <f t="shared" ref="O15:O19" si="5">SUM(K15*$O$12)</f>
        <v>0</v>
      </c>
      <c r="P15" s="22">
        <f t="shared" ref="P15:P19" si="6">O15-H15</f>
        <v>-528.55999999999995</v>
      </c>
      <c r="R15" s="23">
        <f t="shared" si="2"/>
        <v>0</v>
      </c>
      <c r="S15" s="23">
        <f t="shared" si="3"/>
        <v>0</v>
      </c>
    </row>
    <row r="16" spans="1:19" x14ac:dyDescent="0.25">
      <c r="A16" s="7" t="s">
        <v>32</v>
      </c>
      <c r="B16" s="19" t="s">
        <v>13</v>
      </c>
      <c r="C16" s="20" t="s">
        <v>33</v>
      </c>
      <c r="D16" s="21">
        <v>815.66</v>
      </c>
      <c r="E16" s="20"/>
      <c r="F16" s="21">
        <v>657.82</v>
      </c>
      <c r="G16" s="21"/>
      <c r="H16" s="21">
        <v>157.84</v>
      </c>
      <c r="I16" s="20"/>
      <c r="J16" s="8"/>
      <c r="K16" s="21">
        <v>7.27</v>
      </c>
      <c r="L16" s="20"/>
      <c r="M16" s="21">
        <f t="shared" si="4"/>
        <v>5.4445030000000001</v>
      </c>
      <c r="N16" s="21"/>
      <c r="O16" s="21">
        <f t="shared" si="5"/>
        <v>1.8254969999999999</v>
      </c>
      <c r="P16" s="22">
        <f t="shared" si="6"/>
        <v>-156.01450299999999</v>
      </c>
      <c r="R16" s="23">
        <f t="shared" si="2"/>
        <v>0</v>
      </c>
      <c r="S16" s="23">
        <f t="shared" si="3"/>
        <v>0</v>
      </c>
    </row>
    <row r="17" spans="1:19" x14ac:dyDescent="0.25">
      <c r="A17" s="7" t="s">
        <v>34</v>
      </c>
      <c r="B17" s="19" t="s">
        <v>13</v>
      </c>
      <c r="C17" s="20" t="s">
        <v>35</v>
      </c>
      <c r="D17" s="21">
        <v>21933.759999999998</v>
      </c>
      <c r="E17" s="20"/>
      <c r="F17" s="21">
        <v>13313.07</v>
      </c>
      <c r="G17" s="21"/>
      <c r="H17" s="21">
        <v>8620.69</v>
      </c>
      <c r="I17" s="20"/>
      <c r="J17" s="8"/>
      <c r="K17" s="21">
        <v>6177.3</v>
      </c>
      <c r="L17" s="20"/>
      <c r="M17" s="21">
        <f t="shared" si="4"/>
        <v>4626.1799700000001</v>
      </c>
      <c r="N17" s="21"/>
      <c r="O17" s="21">
        <f t="shared" si="5"/>
        <v>1551.12003</v>
      </c>
      <c r="P17" s="22">
        <f>SUM(O17-H17)/2</f>
        <v>-3534.7849850000002</v>
      </c>
      <c r="R17" s="23">
        <f t="shared" si="2"/>
        <v>0</v>
      </c>
      <c r="S17" s="23">
        <f t="shared" si="3"/>
        <v>0</v>
      </c>
    </row>
    <row r="18" spans="1:19" x14ac:dyDescent="0.25">
      <c r="A18" s="7" t="s">
        <v>36</v>
      </c>
      <c r="B18" s="19" t="s">
        <v>13</v>
      </c>
      <c r="C18" s="20" t="s">
        <v>37</v>
      </c>
      <c r="D18" s="21">
        <v>16375.43</v>
      </c>
      <c r="E18" s="20"/>
      <c r="F18" s="21">
        <v>10951.77</v>
      </c>
      <c r="G18" s="21"/>
      <c r="H18" s="21">
        <v>5423.66</v>
      </c>
      <c r="I18" s="20"/>
      <c r="J18" s="8"/>
      <c r="K18" s="21">
        <v>3508.43</v>
      </c>
      <c r="L18" s="20"/>
      <c r="M18" s="21">
        <f t="shared" si="4"/>
        <v>2627.4632269999997</v>
      </c>
      <c r="N18" s="21"/>
      <c r="O18" s="21">
        <f t="shared" si="5"/>
        <v>880.96677299999988</v>
      </c>
      <c r="P18" s="22">
        <f t="shared" si="6"/>
        <v>-4542.6932269999998</v>
      </c>
      <c r="R18" s="23">
        <f t="shared" si="2"/>
        <v>0</v>
      </c>
      <c r="S18" s="23">
        <f t="shared" si="3"/>
        <v>0</v>
      </c>
    </row>
    <row r="19" spans="1:19" x14ac:dyDescent="0.25">
      <c r="A19" s="7" t="s">
        <v>38</v>
      </c>
      <c r="B19" s="19" t="s">
        <v>13</v>
      </c>
      <c r="C19" s="20" t="s">
        <v>39</v>
      </c>
      <c r="D19" s="21">
        <v>0</v>
      </c>
      <c r="E19" s="24">
        <f>SUM(D14:D19)</f>
        <v>61539.24</v>
      </c>
      <c r="F19" s="21">
        <v>0</v>
      </c>
      <c r="G19" s="24">
        <f>SUM(F14:F19)</f>
        <v>40842.17</v>
      </c>
      <c r="H19" s="21">
        <v>0</v>
      </c>
      <c r="I19" s="24">
        <f>SUM(H14:H19)</f>
        <v>20697.07</v>
      </c>
      <c r="J19" s="8"/>
      <c r="K19" s="21">
        <v>0</v>
      </c>
      <c r="L19" s="24">
        <f>SUM(K14:K19)</f>
        <v>9904.82</v>
      </c>
      <c r="M19" s="21">
        <f t="shared" si="4"/>
        <v>0</v>
      </c>
      <c r="N19" s="21"/>
      <c r="O19" s="21">
        <f t="shared" si="5"/>
        <v>0</v>
      </c>
      <c r="P19" s="22">
        <f t="shared" si="6"/>
        <v>0</v>
      </c>
      <c r="R19" s="23">
        <f t="shared" si="2"/>
        <v>0</v>
      </c>
      <c r="S19" s="23">
        <f t="shared" si="3"/>
        <v>0</v>
      </c>
    </row>
    <row r="20" spans="1:19" x14ac:dyDescent="0.25">
      <c r="A20" s="7"/>
      <c r="B20" s="7"/>
      <c r="D20" s="2"/>
      <c r="F20" s="2"/>
      <c r="G20" s="25"/>
      <c r="H20" s="2"/>
      <c r="J20" s="8"/>
      <c r="K20" s="2"/>
      <c r="L20" s="26">
        <f>L19-E19</f>
        <v>-51634.42</v>
      </c>
      <c r="M20" s="2"/>
      <c r="N20" s="26">
        <f>N19-G19</f>
        <v>-40842.17</v>
      </c>
      <c r="O20" s="2"/>
      <c r="P20" s="27">
        <f>SUM(P14:P19)</f>
        <v>-14675.184713000001</v>
      </c>
      <c r="R20" s="23"/>
      <c r="S20" s="23"/>
    </row>
    <row r="21" spans="1:19" x14ac:dyDescent="0.25">
      <c r="A21" s="7"/>
      <c r="B21" s="7"/>
      <c r="D21" s="2"/>
      <c r="F21" s="2"/>
      <c r="G21" s="25"/>
      <c r="H21" s="2"/>
      <c r="J21" s="8"/>
      <c r="K21" s="2"/>
      <c r="L21" s="28"/>
      <c r="M21" s="25"/>
      <c r="N21" s="28"/>
      <c r="O21" s="2"/>
      <c r="P21" s="27"/>
      <c r="R21" s="23"/>
      <c r="S21" s="23"/>
    </row>
    <row r="22" spans="1:19" x14ac:dyDescent="0.25">
      <c r="A22" s="7" t="s">
        <v>40</v>
      </c>
      <c r="B22" s="29" t="s">
        <v>13</v>
      </c>
      <c r="C22" s="30" t="s">
        <v>41</v>
      </c>
      <c r="D22" s="31">
        <v>0</v>
      </c>
      <c r="E22" s="30"/>
      <c r="F22" s="31">
        <v>0</v>
      </c>
      <c r="G22" s="30"/>
      <c r="H22" s="31">
        <v>0</v>
      </c>
      <c r="I22" s="30"/>
      <c r="J22" s="8"/>
      <c r="K22" s="31">
        <v>0</v>
      </c>
      <c r="L22" s="30"/>
      <c r="M22" s="31">
        <f>SUM(K22*$M$12)</f>
        <v>0</v>
      </c>
      <c r="N22" s="31"/>
      <c r="O22" s="31">
        <f>SUM(K22*$O$12)</f>
        <v>0</v>
      </c>
      <c r="P22" s="22">
        <f>O22-H22</f>
        <v>0</v>
      </c>
      <c r="R22" s="23">
        <f t="shared" ref="R22:R27" si="7">D22-F22-H22</f>
        <v>0</v>
      </c>
      <c r="S22" s="23">
        <f t="shared" si="3"/>
        <v>0</v>
      </c>
    </row>
    <row r="23" spans="1:19" x14ac:dyDescent="0.25">
      <c r="A23" s="7" t="s">
        <v>42</v>
      </c>
      <c r="B23" s="29" t="s">
        <v>13</v>
      </c>
      <c r="C23" s="30" t="s">
        <v>43</v>
      </c>
      <c r="D23" s="31">
        <v>0</v>
      </c>
      <c r="E23" s="30"/>
      <c r="F23" s="31">
        <v>0</v>
      </c>
      <c r="G23" s="30"/>
      <c r="H23" s="31">
        <v>0</v>
      </c>
      <c r="I23" s="30"/>
      <c r="J23" s="8"/>
      <c r="K23" s="31">
        <v>0</v>
      </c>
      <c r="L23" s="30"/>
      <c r="M23" s="31">
        <f t="shared" ref="M23:M27" si="8">SUM(K23*$M$12)</f>
        <v>0</v>
      </c>
      <c r="N23" s="31"/>
      <c r="O23" s="31">
        <f t="shared" ref="O23:O27" si="9">SUM(K23*$O$12)</f>
        <v>0</v>
      </c>
      <c r="P23" s="22">
        <f t="shared" ref="P23:P27" si="10">O23-H23</f>
        <v>0</v>
      </c>
      <c r="R23" s="23">
        <f t="shared" si="7"/>
        <v>0</v>
      </c>
      <c r="S23" s="23">
        <f t="shared" si="3"/>
        <v>0</v>
      </c>
    </row>
    <row r="24" spans="1:19" x14ac:dyDescent="0.25">
      <c r="A24" s="7" t="s">
        <v>44</v>
      </c>
      <c r="B24" s="29" t="s">
        <v>13</v>
      </c>
      <c r="C24" s="30" t="s">
        <v>45</v>
      </c>
      <c r="D24" s="31">
        <v>8244.5300000000007</v>
      </c>
      <c r="E24" s="30"/>
      <c r="F24" s="31">
        <v>5694.03</v>
      </c>
      <c r="G24" s="30"/>
      <c r="H24" s="31">
        <v>2550.5</v>
      </c>
      <c r="I24" s="30"/>
      <c r="J24" s="8"/>
      <c r="K24" s="31">
        <v>7952.46</v>
      </c>
      <c r="L24" s="30"/>
      <c r="M24" s="31">
        <f t="shared" si="8"/>
        <v>5955.5972940000001</v>
      </c>
      <c r="N24" s="31"/>
      <c r="O24" s="31">
        <f t="shared" si="9"/>
        <v>1996.8627059999999</v>
      </c>
      <c r="P24" s="22">
        <f t="shared" si="10"/>
        <v>-553.63729400000011</v>
      </c>
      <c r="R24" s="23">
        <f t="shared" si="7"/>
        <v>0</v>
      </c>
      <c r="S24" s="23">
        <f t="shared" si="3"/>
        <v>0</v>
      </c>
    </row>
    <row r="25" spans="1:19" x14ac:dyDescent="0.25">
      <c r="A25" s="7" t="s">
        <v>46</v>
      </c>
      <c r="B25" s="29" t="s">
        <v>13</v>
      </c>
      <c r="C25" s="30" t="s">
        <v>47</v>
      </c>
      <c r="D25" s="31">
        <v>0</v>
      </c>
      <c r="E25" s="30"/>
      <c r="F25" s="31">
        <v>0</v>
      </c>
      <c r="G25" s="30"/>
      <c r="H25" s="31">
        <v>0</v>
      </c>
      <c r="I25" s="30"/>
      <c r="J25" s="8"/>
      <c r="K25" s="31">
        <v>0</v>
      </c>
      <c r="L25" s="30"/>
      <c r="M25" s="31">
        <f t="shared" si="8"/>
        <v>0</v>
      </c>
      <c r="N25" s="31"/>
      <c r="O25" s="31">
        <f t="shared" si="9"/>
        <v>0</v>
      </c>
      <c r="P25" s="22">
        <f t="shared" si="10"/>
        <v>0</v>
      </c>
      <c r="R25" s="23">
        <f t="shared" si="7"/>
        <v>0</v>
      </c>
      <c r="S25" s="23">
        <f t="shared" si="3"/>
        <v>0</v>
      </c>
    </row>
    <row r="26" spans="1:19" x14ac:dyDescent="0.25">
      <c r="A26" s="7" t="s">
        <v>48</v>
      </c>
      <c r="B26" s="29" t="s">
        <v>13</v>
      </c>
      <c r="C26" s="30" t="s">
        <v>49</v>
      </c>
      <c r="D26" s="31">
        <v>8700.1200000000008</v>
      </c>
      <c r="E26" s="30"/>
      <c r="F26" s="31">
        <v>5989.28</v>
      </c>
      <c r="G26" s="30"/>
      <c r="H26" s="31">
        <v>2710.84</v>
      </c>
      <c r="I26" s="30"/>
      <c r="J26" s="8"/>
      <c r="K26" s="31">
        <v>12283.56</v>
      </c>
      <c r="L26" s="30"/>
      <c r="M26" s="31">
        <f t="shared" si="8"/>
        <v>9199.1580840000006</v>
      </c>
      <c r="N26" s="31"/>
      <c r="O26" s="31">
        <f t="shared" si="9"/>
        <v>3084.4019159999998</v>
      </c>
      <c r="P26" s="22">
        <f t="shared" si="10"/>
        <v>373.56191599999966</v>
      </c>
      <c r="R26" s="23">
        <f t="shared" si="7"/>
        <v>0</v>
      </c>
      <c r="S26" s="23">
        <f t="shared" si="3"/>
        <v>0</v>
      </c>
    </row>
    <row r="27" spans="1:19" x14ac:dyDescent="0.25">
      <c r="A27" s="7" t="s">
        <v>50</v>
      </c>
      <c r="B27" s="29" t="s">
        <v>13</v>
      </c>
      <c r="C27" s="30" t="s">
        <v>51</v>
      </c>
      <c r="D27" s="31">
        <v>7099.07</v>
      </c>
      <c r="E27" s="32">
        <f>SUM(D22:D27)</f>
        <v>24043.72</v>
      </c>
      <c r="F27" s="31">
        <v>6475.3</v>
      </c>
      <c r="G27" s="32">
        <f>SUM(F22:F27)</f>
        <v>18158.61</v>
      </c>
      <c r="H27" s="31">
        <v>623.77</v>
      </c>
      <c r="I27" s="32">
        <f>SUM(H22:H27)</f>
        <v>5885.1100000000006</v>
      </c>
      <c r="J27" s="8"/>
      <c r="K27" s="31">
        <v>0</v>
      </c>
      <c r="L27" s="32">
        <f>SUM(K22:K27)</f>
        <v>20236.02</v>
      </c>
      <c r="M27" s="31">
        <f t="shared" si="8"/>
        <v>0</v>
      </c>
      <c r="N27" s="31"/>
      <c r="O27" s="31">
        <f t="shared" si="9"/>
        <v>0</v>
      </c>
      <c r="P27" s="22">
        <f t="shared" si="10"/>
        <v>-623.77</v>
      </c>
      <c r="R27" s="23">
        <f t="shared" si="7"/>
        <v>0</v>
      </c>
      <c r="S27" s="23">
        <f t="shared" si="3"/>
        <v>0</v>
      </c>
    </row>
    <row r="28" spans="1:19" x14ac:dyDescent="0.25">
      <c r="A28" s="7"/>
      <c r="B28" s="7"/>
      <c r="D28" s="25"/>
      <c r="E28" s="23"/>
      <c r="F28" s="25"/>
      <c r="G28" s="25"/>
      <c r="H28" s="25"/>
      <c r="J28" s="8"/>
      <c r="K28" s="25"/>
      <c r="L28" s="33">
        <f>L27-E27</f>
        <v>-3807.7000000000007</v>
      </c>
      <c r="M28" s="25"/>
      <c r="N28" s="33">
        <f>N27-G27</f>
        <v>-18158.61</v>
      </c>
      <c r="O28" s="25"/>
      <c r="P28" s="27">
        <f>SUM(P22:P27)</f>
        <v>-803.84537800000044</v>
      </c>
      <c r="R28" s="23"/>
      <c r="S28" s="23"/>
    </row>
    <row r="29" spans="1:19" x14ac:dyDescent="0.25">
      <c r="A29" s="7"/>
      <c r="B29" s="7"/>
      <c r="D29" s="25"/>
      <c r="E29" s="23"/>
      <c r="F29" s="25"/>
      <c r="G29" s="25"/>
      <c r="H29" s="25"/>
      <c r="J29" s="8"/>
      <c r="K29" s="25"/>
      <c r="L29" s="28"/>
      <c r="M29" s="25"/>
      <c r="N29" s="25"/>
      <c r="O29" s="25"/>
      <c r="P29" s="34"/>
      <c r="R29" s="23"/>
      <c r="S29" s="23"/>
    </row>
    <row r="30" spans="1:19" x14ac:dyDescent="0.25">
      <c r="A30" s="7" t="s">
        <v>52</v>
      </c>
      <c r="B30" s="35" t="s">
        <v>13</v>
      </c>
      <c r="C30" s="36" t="s">
        <v>53</v>
      </c>
      <c r="D30" s="37">
        <v>22557.41</v>
      </c>
      <c r="E30" s="36"/>
      <c r="F30" s="37">
        <v>16927.080000000002</v>
      </c>
      <c r="G30" s="37"/>
      <c r="H30" s="37">
        <v>5630.33</v>
      </c>
      <c r="I30" s="36"/>
      <c r="J30" s="8"/>
      <c r="K30" s="37">
        <v>35751.360000000001</v>
      </c>
      <c r="L30" s="36"/>
      <c r="M30" s="37">
        <f t="shared" ref="M30" si="11">SUM(K30*$M$12)</f>
        <v>26774.193504000003</v>
      </c>
      <c r="N30" s="37"/>
      <c r="O30" s="37">
        <f t="shared" ref="O30" si="12">SUM(K30*$O$12)</f>
        <v>8977.1664959999998</v>
      </c>
      <c r="P30" s="22">
        <f t="shared" ref="P30" si="13">O30-H30</f>
        <v>3346.8364959999999</v>
      </c>
      <c r="R30" s="23">
        <f>D30-F30-H30</f>
        <v>0</v>
      </c>
      <c r="S30" s="23">
        <f>K30-M30-O30</f>
        <v>0</v>
      </c>
    </row>
    <row r="31" spans="1:19" x14ac:dyDescent="0.25">
      <c r="A31" s="7"/>
      <c r="B31" s="7"/>
      <c r="D31" s="25"/>
      <c r="F31" s="25"/>
      <c r="G31" s="25"/>
      <c r="H31" s="25"/>
      <c r="J31" s="8"/>
      <c r="K31" s="25"/>
      <c r="L31" s="38">
        <f>K30-D30</f>
        <v>13193.95</v>
      </c>
      <c r="M31" s="2"/>
      <c r="N31" s="38">
        <f>M30-F30</f>
        <v>9847.1135040000008</v>
      </c>
      <c r="O31" s="2"/>
      <c r="P31" s="27">
        <f>SUM(P30)</f>
        <v>3346.8364959999999</v>
      </c>
      <c r="Q31" s="28"/>
      <c r="R31" s="23"/>
      <c r="S31" s="23"/>
    </row>
    <row r="32" spans="1:19" x14ac:dyDescent="0.25">
      <c r="A32" s="7"/>
      <c r="B32" s="7"/>
      <c r="D32" s="25"/>
      <c r="F32" s="25"/>
      <c r="G32" s="25"/>
      <c r="H32" s="25"/>
      <c r="J32" s="8"/>
      <c r="K32" s="25"/>
      <c r="L32" s="28"/>
      <c r="M32" s="2"/>
      <c r="N32" s="28"/>
      <c r="O32" s="2"/>
      <c r="P32" s="27"/>
      <c r="Q32" s="28"/>
      <c r="R32" s="23"/>
      <c r="S32" s="23"/>
    </row>
    <row r="33" spans="1:26" x14ac:dyDescent="0.25">
      <c r="A33" s="7" t="s">
        <v>54</v>
      </c>
      <c r="B33" s="39" t="s">
        <v>13</v>
      </c>
      <c r="C33" s="40" t="s">
        <v>55</v>
      </c>
      <c r="D33" s="41">
        <v>226939.45</v>
      </c>
      <c r="E33" s="40"/>
      <c r="F33" s="41">
        <v>167967.75</v>
      </c>
      <c r="G33" s="41"/>
      <c r="H33" s="41">
        <v>58971.7</v>
      </c>
      <c r="I33" s="40"/>
      <c r="J33" s="8"/>
      <c r="K33" s="41">
        <v>185122.35</v>
      </c>
      <c r="L33" s="40"/>
      <c r="M33" s="41">
        <f t="shared" ref="M33" si="14">SUM(K33*$M$12)</f>
        <v>138638.12791500002</v>
      </c>
      <c r="N33" s="42"/>
      <c r="O33" s="41">
        <f t="shared" ref="O33" si="15">SUM(K33*$O$12)</f>
        <v>46484.222085000001</v>
      </c>
      <c r="P33" s="42">
        <v>-1715.7</v>
      </c>
      <c r="R33" s="23">
        <f>D33-F33-H33</f>
        <v>0</v>
      </c>
      <c r="S33" s="23">
        <f>K33-M33-O33</f>
        <v>0</v>
      </c>
      <c r="T33" s="43" t="s">
        <v>56</v>
      </c>
      <c r="U33" s="43"/>
      <c r="V33" s="44"/>
      <c r="W33" s="44"/>
      <c r="X33" s="44"/>
      <c r="Y33" s="44"/>
      <c r="Z33" s="44"/>
    </row>
    <row r="34" spans="1:26" x14ac:dyDescent="0.25">
      <c r="A34" s="7"/>
      <c r="B34" s="7"/>
      <c r="D34" s="25"/>
      <c r="E34" s="23"/>
      <c r="F34" s="25"/>
      <c r="G34" s="25"/>
      <c r="H34" s="25"/>
      <c r="J34" s="8"/>
      <c r="K34" s="25"/>
      <c r="L34" s="45">
        <f>K33-D33</f>
        <v>-41817.100000000006</v>
      </c>
      <c r="M34" s="2"/>
      <c r="N34" s="45">
        <f>M33-F33</f>
        <v>-29329.622084999981</v>
      </c>
      <c r="O34" s="2"/>
      <c r="P34" s="27">
        <f>SUM(P33)</f>
        <v>-1715.7</v>
      </c>
      <c r="Q34" s="28"/>
      <c r="R34" s="23"/>
      <c r="S34" s="23"/>
      <c r="T34" s="44" t="s">
        <v>57</v>
      </c>
      <c r="U34" s="44"/>
      <c r="V34" s="44"/>
    </row>
    <row r="35" spans="1:26" x14ac:dyDescent="0.25">
      <c r="A35" s="7"/>
      <c r="B35" s="7"/>
      <c r="D35" s="25"/>
      <c r="E35" s="23"/>
      <c r="F35" s="25"/>
      <c r="G35" s="25"/>
      <c r="H35" s="25"/>
      <c r="J35" s="8"/>
      <c r="K35" s="25"/>
      <c r="L35" s="28"/>
      <c r="M35" s="2"/>
      <c r="N35" s="28"/>
      <c r="O35" s="2"/>
      <c r="P35" s="27"/>
      <c r="Q35" s="28"/>
      <c r="R35" s="23"/>
      <c r="S35" s="23"/>
    </row>
    <row r="36" spans="1:26" x14ac:dyDescent="0.25">
      <c r="A36" s="7" t="s">
        <v>58</v>
      </c>
      <c r="B36" s="46" t="s">
        <v>13</v>
      </c>
      <c r="C36" s="47" t="s">
        <v>59</v>
      </c>
      <c r="D36" s="48">
        <v>11714.45</v>
      </c>
      <c r="E36" s="47"/>
      <c r="F36" s="48">
        <v>7500.92</v>
      </c>
      <c r="G36" s="48"/>
      <c r="H36" s="48">
        <v>4213.53</v>
      </c>
      <c r="I36" s="47"/>
      <c r="J36" s="8"/>
      <c r="K36" s="48">
        <v>12859.96</v>
      </c>
      <c r="L36" s="47"/>
      <c r="M36" s="48">
        <f t="shared" ref="M36" si="16">SUM(K36*$M$12)</f>
        <v>9630.824043999999</v>
      </c>
      <c r="N36" s="48"/>
      <c r="O36" s="48">
        <f t="shared" ref="O36" si="17">SUM(K36*$O$12)</f>
        <v>3229.1359559999996</v>
      </c>
      <c r="P36" s="22">
        <f t="shared" ref="P36" si="18">O36-H36</f>
        <v>-984.39404400000012</v>
      </c>
      <c r="R36" s="23">
        <f>D36-F36-H36</f>
        <v>0</v>
      </c>
      <c r="S36" s="23">
        <f t="shared" si="3"/>
        <v>0</v>
      </c>
    </row>
    <row r="37" spans="1:26" x14ac:dyDescent="0.25">
      <c r="A37" s="7"/>
      <c r="B37" s="7"/>
      <c r="D37" s="2"/>
      <c r="F37" s="2"/>
      <c r="G37" s="25"/>
      <c r="H37" s="2"/>
      <c r="J37" s="8"/>
      <c r="K37" s="2"/>
      <c r="L37" s="49">
        <f>K36-D36</f>
        <v>1145.5099999999984</v>
      </c>
      <c r="M37" s="2"/>
      <c r="N37" s="49">
        <f>M36-F36</f>
        <v>2129.904043999999</v>
      </c>
      <c r="O37" s="2"/>
      <c r="P37" s="27">
        <f>SUM(P36)</f>
        <v>-984.39404400000012</v>
      </c>
      <c r="Q37" s="28"/>
      <c r="R37" s="23"/>
      <c r="S37" s="23"/>
    </row>
    <row r="38" spans="1:26" x14ac:dyDescent="0.25">
      <c r="A38" s="7"/>
      <c r="B38" s="7"/>
      <c r="D38" s="2"/>
      <c r="F38" s="2"/>
      <c r="G38" s="25"/>
      <c r="H38" s="23" t="s">
        <v>60</v>
      </c>
      <c r="J38" s="8"/>
      <c r="K38" s="50">
        <v>80959.37</v>
      </c>
      <c r="M38" s="2"/>
      <c r="N38" s="25"/>
      <c r="O38" s="2"/>
      <c r="P38" s="27">
        <f>-K38*O12</f>
        <v>-20328.897806999998</v>
      </c>
      <c r="R38" s="23"/>
      <c r="S38" s="23" t="s">
        <v>60</v>
      </c>
    </row>
    <row r="39" spans="1:26" x14ac:dyDescent="0.25">
      <c r="A39" s="7"/>
      <c r="B39" s="7"/>
      <c r="D39" s="2"/>
      <c r="F39" s="2"/>
      <c r="G39" s="25"/>
      <c r="H39" s="2"/>
      <c r="J39" s="8"/>
      <c r="K39" s="2"/>
      <c r="M39" s="2"/>
      <c r="N39" s="25"/>
      <c r="O39" s="2"/>
      <c r="P39" s="51">
        <f>P20+P28+P31+P34+P37+P38</f>
        <v>-35161.185446000003</v>
      </c>
      <c r="R39" s="23"/>
      <c r="S39" s="23"/>
    </row>
    <row r="43" spans="1:26" x14ac:dyDescent="0.25">
      <c r="A43" s="4"/>
      <c r="C43" s="6" t="s">
        <v>0</v>
      </c>
      <c r="D43" s="7" t="s">
        <v>1</v>
      </c>
      <c r="F43" s="7" t="s">
        <v>2</v>
      </c>
      <c r="G43" s="7"/>
      <c r="H43" s="7" t="s">
        <v>3</v>
      </c>
      <c r="J43" s="8"/>
      <c r="K43" s="7" t="s">
        <v>1</v>
      </c>
      <c r="M43" s="7" t="s">
        <v>2</v>
      </c>
      <c r="N43" s="7"/>
      <c r="O43" s="7" t="s">
        <v>3</v>
      </c>
    </row>
    <row r="44" spans="1:26" x14ac:dyDescent="0.25">
      <c r="A44" s="4"/>
      <c r="C44" s="6" t="s">
        <v>4</v>
      </c>
      <c r="D44" s="52"/>
      <c r="J44" s="8"/>
      <c r="K44" s="53" t="s">
        <v>22</v>
      </c>
    </row>
    <row r="45" spans="1:26" x14ac:dyDescent="0.25">
      <c r="A45" s="4"/>
      <c r="C45" s="6" t="s">
        <v>5</v>
      </c>
      <c r="D45" s="7"/>
      <c r="J45" s="8"/>
      <c r="K45" s="7" t="s">
        <v>6</v>
      </c>
    </row>
    <row r="46" spans="1:26" ht="15.75" x14ac:dyDescent="0.25">
      <c r="A46" s="4"/>
      <c r="C46" s="6" t="s">
        <v>7</v>
      </c>
      <c r="D46" s="54"/>
      <c r="J46" s="8"/>
      <c r="K46" s="11" t="s">
        <v>24</v>
      </c>
    </row>
    <row r="47" spans="1:26" x14ac:dyDescent="0.25">
      <c r="A47" s="4"/>
      <c r="C47" s="6" t="s">
        <v>8</v>
      </c>
      <c r="D47" s="7"/>
      <c r="J47" s="8"/>
      <c r="K47" s="7" t="s">
        <v>9</v>
      </c>
    </row>
    <row r="48" spans="1:26" x14ac:dyDescent="0.25">
      <c r="A48" s="4"/>
      <c r="C48" s="6" t="s">
        <v>11</v>
      </c>
      <c r="D48" s="7"/>
      <c r="J48" s="8"/>
      <c r="K48" s="7" t="s">
        <v>12</v>
      </c>
    </row>
    <row r="49" spans="1:19" x14ac:dyDescent="0.25">
      <c r="A49" s="4"/>
      <c r="C49" s="6" t="s">
        <v>10</v>
      </c>
      <c r="D49" s="12"/>
      <c r="J49" s="8"/>
      <c r="K49" s="12" t="s">
        <v>13</v>
      </c>
    </row>
    <row r="50" spans="1:19" x14ac:dyDescent="0.25">
      <c r="D50" s="55"/>
      <c r="J50" s="8"/>
      <c r="K50" s="13" t="s">
        <v>25</v>
      </c>
    </row>
    <row r="51" spans="1:19" x14ac:dyDescent="0.25">
      <c r="A51" s="5" t="s">
        <v>26</v>
      </c>
      <c r="B51" s="5" t="s">
        <v>27</v>
      </c>
      <c r="D51" s="56" t="s">
        <v>61</v>
      </c>
      <c r="J51" s="8"/>
      <c r="K51" s="14" t="str">
        <f t="shared" ref="K51" si="19">TEXT(K46&amp;"/1/"&amp;K44,"mmm yy")</f>
        <v>Mar 21</v>
      </c>
    </row>
    <row r="52" spans="1:19" x14ac:dyDescent="0.25">
      <c r="D52" s="15"/>
      <c r="F52" s="15"/>
      <c r="G52" s="16"/>
      <c r="H52" s="15"/>
      <c r="J52" s="8"/>
      <c r="K52" s="15"/>
      <c r="M52" s="15"/>
      <c r="N52" s="16"/>
      <c r="O52" s="15"/>
    </row>
    <row r="53" spans="1:19" x14ac:dyDescent="0.25">
      <c r="D53" s="283" t="s">
        <v>62</v>
      </c>
      <c r="E53" s="283"/>
      <c r="F53" s="283"/>
      <c r="G53" s="16"/>
      <c r="H53" s="15"/>
      <c r="J53" s="8"/>
      <c r="K53" s="282" t="s">
        <v>18</v>
      </c>
      <c r="L53" s="282"/>
      <c r="M53" s="282"/>
      <c r="N53" s="282"/>
      <c r="O53" s="282"/>
    </row>
    <row r="54" spans="1:19" x14ac:dyDescent="0.25">
      <c r="D54" s="283"/>
      <c r="E54" s="283"/>
      <c r="F54" s="283"/>
      <c r="G54" s="16"/>
      <c r="H54" s="15"/>
      <c r="J54" s="8"/>
      <c r="K54" s="15">
        <v>2021</v>
      </c>
      <c r="M54" s="17">
        <f>+M12</f>
        <v>0.74890000000000001</v>
      </c>
      <c r="N54" s="16"/>
      <c r="O54" s="17">
        <f>+O12</f>
        <v>0.25109999999999999</v>
      </c>
      <c r="R54" s="5" t="s">
        <v>17</v>
      </c>
    </row>
    <row r="55" spans="1:19" x14ac:dyDescent="0.25">
      <c r="D55" s="15"/>
      <c r="J55" s="8"/>
      <c r="K55" s="15"/>
      <c r="N55" s="57" t="s">
        <v>15</v>
      </c>
    </row>
    <row r="56" spans="1:19" x14ac:dyDescent="0.25">
      <c r="A56" s="7" t="s">
        <v>28</v>
      </c>
      <c r="B56" s="19" t="s">
        <v>13</v>
      </c>
      <c r="C56" s="20" t="s">
        <v>29</v>
      </c>
      <c r="D56" s="21">
        <f>SUM('[3]Paste Special WA 5yr'!D14)/12</f>
        <v>14761.550000000001</v>
      </c>
      <c r="E56" s="20"/>
      <c r="F56" s="21">
        <f>SUM('[3]Paste Special WA 5yr'!F14)/12</f>
        <v>10845.024666666666</v>
      </c>
      <c r="G56" s="21"/>
      <c r="H56" s="21">
        <f>SUM('[3]Paste Special WA 5yr'!H14)/12</f>
        <v>3916.5253333333335</v>
      </c>
      <c r="I56" s="20"/>
      <c r="J56" s="8"/>
      <c r="K56" s="21">
        <v>211.82</v>
      </c>
      <c r="L56" s="20"/>
      <c r="M56" s="21">
        <f>SUM(K56*$M$54)</f>
        <v>158.63199800000001</v>
      </c>
      <c r="N56" s="58">
        <f>M56-F56</f>
        <v>-10686.392668666665</v>
      </c>
      <c r="O56" s="21">
        <f>SUM(K56*$O$54)</f>
        <v>53.188001999999997</v>
      </c>
      <c r="P56" s="20"/>
      <c r="R56" s="23">
        <f t="shared" ref="R56:R61" si="20">D56-F56-H56</f>
        <v>0</v>
      </c>
      <c r="S56" s="23">
        <f t="shared" ref="S56:S61" si="21">K56-M56-O56</f>
        <v>0</v>
      </c>
    </row>
    <row r="57" spans="1:19" x14ac:dyDescent="0.25">
      <c r="A57" s="7" t="s">
        <v>30</v>
      </c>
      <c r="B57" s="19" t="s">
        <v>13</v>
      </c>
      <c r="C57" s="20" t="s">
        <v>31</v>
      </c>
      <c r="D57" s="21">
        <f>SUM('[3]Paste Special WA 5yr'!D15)/12</f>
        <v>3779.2791666666667</v>
      </c>
      <c r="E57" s="20"/>
      <c r="F57" s="21">
        <f>SUM('[3]Paste Special WA 5yr'!F15)/12</f>
        <v>2797.3644999999997</v>
      </c>
      <c r="G57" s="21"/>
      <c r="H57" s="21">
        <f>SUM('[3]Paste Special WA 5yr'!H15)/12</f>
        <v>981.91466666666656</v>
      </c>
      <c r="I57" s="20"/>
      <c r="J57" s="8"/>
      <c r="K57" s="21">
        <v>0</v>
      </c>
      <c r="L57" s="20"/>
      <c r="M57" s="21">
        <f t="shared" ref="M57:M61" si="22">SUM(K57*$M$54)</f>
        <v>0</v>
      </c>
      <c r="N57" s="58">
        <f t="shared" ref="N57:N61" si="23">M57-F57</f>
        <v>-2797.3644999999997</v>
      </c>
      <c r="O57" s="21">
        <f t="shared" ref="O57:O61" si="24">SUM(K57*$O$54)</f>
        <v>0</v>
      </c>
      <c r="P57" s="20"/>
      <c r="R57" s="23">
        <f t="shared" si="20"/>
        <v>0</v>
      </c>
      <c r="S57" s="23">
        <f t="shared" si="21"/>
        <v>0</v>
      </c>
    </row>
    <row r="58" spans="1:19" x14ac:dyDescent="0.25">
      <c r="A58" s="7" t="s">
        <v>32</v>
      </c>
      <c r="B58" s="19" t="s">
        <v>13</v>
      </c>
      <c r="C58" s="20" t="s">
        <v>33</v>
      </c>
      <c r="D58" s="21">
        <f>SUM('[3]Paste Special WA 5yr'!D16)/12</f>
        <v>1259.5603333333331</v>
      </c>
      <c r="E58" s="20"/>
      <c r="F58" s="21">
        <f>SUM('[3]Paste Special WA 5yr'!F16)/12</f>
        <v>941.35399999999993</v>
      </c>
      <c r="G58" s="21"/>
      <c r="H58" s="21">
        <f>SUM('[3]Paste Special WA 5yr'!H16)/12</f>
        <v>318.20633333333336</v>
      </c>
      <c r="I58" s="20"/>
      <c r="J58" s="8"/>
      <c r="K58" s="21">
        <v>7.27</v>
      </c>
      <c r="L58" s="20"/>
      <c r="M58" s="21">
        <f t="shared" si="22"/>
        <v>5.4445030000000001</v>
      </c>
      <c r="N58" s="58">
        <f t="shared" si="23"/>
        <v>-935.90949699999987</v>
      </c>
      <c r="O58" s="21">
        <f t="shared" si="24"/>
        <v>1.8254969999999999</v>
      </c>
      <c r="P58" s="20"/>
      <c r="R58" s="23">
        <f t="shared" si="20"/>
        <v>0</v>
      </c>
      <c r="S58" s="23">
        <f t="shared" si="21"/>
        <v>0</v>
      </c>
    </row>
    <row r="59" spans="1:19" x14ac:dyDescent="0.25">
      <c r="A59" s="7" t="s">
        <v>34</v>
      </c>
      <c r="B59" s="19" t="s">
        <v>13</v>
      </c>
      <c r="C59" s="20" t="s">
        <v>35</v>
      </c>
      <c r="D59" s="21">
        <f>SUM('[3]Paste Special WA 5yr'!D17)/12</f>
        <v>23419.128000000001</v>
      </c>
      <c r="E59" s="20"/>
      <c r="F59" s="21">
        <f>SUM('[3]Paste Special WA 5yr'!F17)/12</f>
        <v>16565.006833333333</v>
      </c>
      <c r="G59" s="21"/>
      <c r="H59" s="21">
        <f>SUM('[3]Paste Special WA 5yr'!H17)/12</f>
        <v>6854.1211666666668</v>
      </c>
      <c r="I59" s="20"/>
      <c r="J59" s="8"/>
      <c r="K59" s="21">
        <v>6177.3</v>
      </c>
      <c r="L59" s="20"/>
      <c r="M59" s="21">
        <f t="shared" si="22"/>
        <v>4626.1799700000001</v>
      </c>
      <c r="N59" s="58">
        <f t="shared" si="23"/>
        <v>-11938.826863333332</v>
      </c>
      <c r="O59" s="21">
        <f t="shared" si="24"/>
        <v>1551.12003</v>
      </c>
      <c r="P59" s="20"/>
      <c r="R59" s="23">
        <f t="shared" si="20"/>
        <v>0</v>
      </c>
      <c r="S59" s="23">
        <f t="shared" si="21"/>
        <v>0</v>
      </c>
    </row>
    <row r="60" spans="1:19" x14ac:dyDescent="0.25">
      <c r="A60" s="7" t="s">
        <v>36</v>
      </c>
      <c r="B60" s="19" t="s">
        <v>13</v>
      </c>
      <c r="C60" s="20" t="s">
        <v>37</v>
      </c>
      <c r="D60" s="21">
        <f>SUM('[3]Paste Special WA 5yr'!D18)/12</f>
        <v>25420.995500000001</v>
      </c>
      <c r="E60" s="20"/>
      <c r="F60" s="21">
        <f>SUM('[3]Paste Special WA 5yr'!F18)/12</f>
        <v>18246.845166666666</v>
      </c>
      <c r="G60" s="21"/>
      <c r="H60" s="21">
        <f>SUM('[3]Paste Special WA 5yr'!H18)/12</f>
        <v>7174.1503333333339</v>
      </c>
      <c r="I60" s="20"/>
      <c r="J60" s="8"/>
      <c r="K60" s="21">
        <v>3508.43</v>
      </c>
      <c r="L60" s="20"/>
      <c r="M60" s="21">
        <f t="shared" si="22"/>
        <v>2627.4632269999997</v>
      </c>
      <c r="N60" s="58">
        <f t="shared" si="23"/>
        <v>-15619.381939666666</v>
      </c>
      <c r="O60" s="21">
        <f t="shared" si="24"/>
        <v>880.96677299999988</v>
      </c>
      <c r="P60" s="20"/>
      <c r="R60" s="23">
        <f t="shared" si="20"/>
        <v>0</v>
      </c>
      <c r="S60" s="23">
        <f t="shared" si="21"/>
        <v>0</v>
      </c>
    </row>
    <row r="61" spans="1:19" x14ac:dyDescent="0.25">
      <c r="A61" s="7" t="s">
        <v>38</v>
      </c>
      <c r="B61" s="19" t="s">
        <v>13</v>
      </c>
      <c r="C61" s="20" t="s">
        <v>39</v>
      </c>
      <c r="D61" s="21">
        <f>SUM('[3]Paste Special WA 5yr'!D19)/12</f>
        <v>335.31433333333331</v>
      </c>
      <c r="E61" s="20"/>
      <c r="F61" s="21">
        <f>SUM('[3]Paste Special WA 5yr'!F19)/12</f>
        <v>255.99350000000001</v>
      </c>
      <c r="G61" s="21"/>
      <c r="H61" s="21">
        <f>SUM('[3]Paste Special WA 5yr'!H19)/12</f>
        <v>79.32083333333334</v>
      </c>
      <c r="I61" s="24">
        <f>SUM(H56:H61)</f>
        <v>19324.238666666672</v>
      </c>
      <c r="J61" s="8"/>
      <c r="K61" s="21">
        <v>0</v>
      </c>
      <c r="L61" s="24">
        <f>SUM(K56:K61)</f>
        <v>9904.82</v>
      </c>
      <c r="M61" s="21">
        <f t="shared" si="22"/>
        <v>0</v>
      </c>
      <c r="N61" s="58">
        <f t="shared" si="23"/>
        <v>-255.99350000000001</v>
      </c>
      <c r="O61" s="21">
        <f t="shared" si="24"/>
        <v>0</v>
      </c>
      <c r="P61" s="24">
        <f>SUM(O56:O61)</f>
        <v>2487.1003019999998</v>
      </c>
      <c r="R61" s="23">
        <f t="shared" si="20"/>
        <v>0</v>
      </c>
      <c r="S61" s="23">
        <f t="shared" si="21"/>
        <v>0</v>
      </c>
    </row>
    <row r="62" spans="1:19" x14ac:dyDescent="0.25">
      <c r="A62" s="7"/>
      <c r="B62" s="7"/>
      <c r="D62" s="2"/>
      <c r="F62" s="2"/>
      <c r="G62" s="25"/>
      <c r="H62" s="2"/>
      <c r="J62" s="8"/>
      <c r="K62" s="2"/>
      <c r="L62" s="26">
        <f>L61-E61</f>
        <v>9904.82</v>
      </c>
      <c r="M62" s="2"/>
      <c r="N62" s="59">
        <f>SUM(N56:N61)</f>
        <v>-42233.868968666662</v>
      </c>
      <c r="O62" s="2"/>
      <c r="P62" s="26">
        <f>P61-I61</f>
        <v>-16837.138364666673</v>
      </c>
      <c r="R62" s="23"/>
      <c r="S62" s="23"/>
    </row>
    <row r="63" spans="1:19" x14ac:dyDescent="0.25">
      <c r="A63" s="7"/>
      <c r="B63" s="7"/>
      <c r="D63" s="2"/>
      <c r="F63" s="2"/>
      <c r="G63" s="25"/>
      <c r="H63" s="2"/>
      <c r="J63" s="8"/>
      <c r="K63" s="2"/>
      <c r="L63" s="28"/>
      <c r="M63" s="25"/>
      <c r="N63" s="59"/>
      <c r="O63" s="2"/>
      <c r="P63" s="2"/>
      <c r="R63" s="23"/>
      <c r="S63" s="23"/>
    </row>
    <row r="64" spans="1:19" x14ac:dyDescent="0.25">
      <c r="A64" s="7" t="s">
        <v>40</v>
      </c>
      <c r="B64" s="29" t="s">
        <v>13</v>
      </c>
      <c r="C64" s="30" t="s">
        <v>41</v>
      </c>
      <c r="D64" s="31">
        <f>SUM('[3]Paste Special WA 5yr'!D22)/12</f>
        <v>235.60100000000003</v>
      </c>
      <c r="E64" s="30"/>
      <c r="F64" s="31">
        <f>SUM('[3]Paste Special WA 5yr'!F22)/12</f>
        <v>178.32866666666669</v>
      </c>
      <c r="G64" s="30"/>
      <c r="H64" s="31">
        <f>SUM('[3]Paste Special WA 5yr'!H22)/12</f>
        <v>57.272333333333329</v>
      </c>
      <c r="I64" s="30"/>
      <c r="J64" s="8"/>
      <c r="K64" s="31">
        <v>0</v>
      </c>
      <c r="L64" s="30"/>
      <c r="M64" s="31">
        <f>SUM(K64*$M$54)</f>
        <v>0</v>
      </c>
      <c r="N64" s="58">
        <f>M64-F64</f>
        <v>-178.32866666666669</v>
      </c>
      <c r="O64" s="31">
        <f>SUM(K64*$O$54)</f>
        <v>0</v>
      </c>
      <c r="P64" s="30"/>
      <c r="R64" s="23">
        <f t="shared" ref="R64:R69" si="25">D64-F64-H64</f>
        <v>0</v>
      </c>
      <c r="S64" s="23">
        <f t="shared" ref="S64:S69" si="26">K64-M64-O64</f>
        <v>0</v>
      </c>
    </row>
    <row r="65" spans="1:26" x14ac:dyDescent="0.25">
      <c r="A65" s="7" t="s">
        <v>42</v>
      </c>
      <c r="B65" s="29" t="s">
        <v>13</v>
      </c>
      <c r="C65" s="30" t="s">
        <v>43</v>
      </c>
      <c r="D65" s="31">
        <f>SUM('[3]Paste Special WA 5yr'!D23)/12</f>
        <v>98.616666666666674</v>
      </c>
      <c r="E65" s="30"/>
      <c r="F65" s="31">
        <f>SUM('[3]Paste Special WA 5yr'!F23)/12</f>
        <v>97.95</v>
      </c>
      <c r="G65" s="30"/>
      <c r="H65" s="31">
        <f>SUM('[3]Paste Special WA 5yr'!H23)/12</f>
        <v>0.66666666666666663</v>
      </c>
      <c r="I65" s="30"/>
      <c r="J65" s="8"/>
      <c r="K65" s="31">
        <v>0</v>
      </c>
      <c r="L65" s="30"/>
      <c r="M65" s="31">
        <f t="shared" ref="M65:M69" si="27">SUM(K65*$M$54)</f>
        <v>0</v>
      </c>
      <c r="N65" s="58">
        <f t="shared" ref="N65:N69" si="28">M65-F65</f>
        <v>-97.95</v>
      </c>
      <c r="O65" s="31">
        <f t="shared" ref="O65:O69" si="29">SUM(K65*$O$54)</f>
        <v>0</v>
      </c>
      <c r="P65" s="30"/>
      <c r="R65" s="23">
        <f t="shared" si="25"/>
        <v>4.7739590058881731E-15</v>
      </c>
      <c r="S65" s="23">
        <f t="shared" si="26"/>
        <v>0</v>
      </c>
    </row>
    <row r="66" spans="1:26" x14ac:dyDescent="0.25">
      <c r="A66" s="7" t="s">
        <v>44</v>
      </c>
      <c r="B66" s="29" t="s">
        <v>13</v>
      </c>
      <c r="C66" s="30" t="s">
        <v>45</v>
      </c>
      <c r="D66" s="31">
        <f>SUM('[3]Paste Special WA 5yr'!D24)/12</f>
        <v>9038.3494999999984</v>
      </c>
      <c r="E66" s="30"/>
      <c r="F66" s="31">
        <f>SUM('[3]Paste Special WA 5yr'!F24)/12</f>
        <v>6827.0563333333339</v>
      </c>
      <c r="G66" s="30"/>
      <c r="H66" s="31">
        <f>SUM('[3]Paste Special WA 5yr'!H24)/12</f>
        <v>2211.2931666666668</v>
      </c>
      <c r="I66" s="30"/>
      <c r="J66" s="8"/>
      <c r="K66" s="31">
        <v>7952.46</v>
      </c>
      <c r="L66" s="30"/>
      <c r="M66" s="31">
        <f t="shared" si="27"/>
        <v>5955.5972940000001</v>
      </c>
      <c r="N66" s="58">
        <f t="shared" si="28"/>
        <v>-871.45903933333375</v>
      </c>
      <c r="O66" s="31">
        <f t="shared" si="29"/>
        <v>1996.8627059999999</v>
      </c>
      <c r="P66" s="30"/>
      <c r="R66" s="23">
        <f t="shared" si="25"/>
        <v>0</v>
      </c>
      <c r="S66" s="23">
        <f t="shared" si="26"/>
        <v>0</v>
      </c>
    </row>
    <row r="67" spans="1:26" x14ac:dyDescent="0.25">
      <c r="A67" s="7" t="s">
        <v>46</v>
      </c>
      <c r="B67" s="29" t="s">
        <v>13</v>
      </c>
      <c r="C67" s="30" t="s">
        <v>47</v>
      </c>
      <c r="D67" s="31">
        <f>SUM('[3]Paste Special WA 5yr'!D25)/12</f>
        <v>479.02249999999998</v>
      </c>
      <c r="E67" s="30"/>
      <c r="F67" s="31">
        <f>SUM('[3]Paste Special WA 5yr'!F25)/12</f>
        <v>362.63016666666664</v>
      </c>
      <c r="G67" s="30"/>
      <c r="H67" s="31">
        <f>SUM('[3]Paste Special WA 5yr'!H25)/12</f>
        <v>116.39233333333334</v>
      </c>
      <c r="I67" s="30"/>
      <c r="J67" s="8"/>
      <c r="K67" s="31">
        <v>0</v>
      </c>
      <c r="L67" s="30"/>
      <c r="M67" s="31">
        <f t="shared" si="27"/>
        <v>0</v>
      </c>
      <c r="N67" s="58">
        <f t="shared" si="28"/>
        <v>-362.63016666666664</v>
      </c>
      <c r="O67" s="31">
        <f t="shared" si="29"/>
        <v>0</v>
      </c>
      <c r="P67" s="30"/>
      <c r="R67" s="23">
        <f t="shared" si="25"/>
        <v>0</v>
      </c>
      <c r="S67" s="23">
        <f t="shared" si="26"/>
        <v>0</v>
      </c>
    </row>
    <row r="68" spans="1:26" x14ac:dyDescent="0.25">
      <c r="A68" s="7" t="s">
        <v>48</v>
      </c>
      <c r="B68" s="29" t="s">
        <v>13</v>
      </c>
      <c r="C68" s="30" t="s">
        <v>49</v>
      </c>
      <c r="D68" s="31">
        <f>SUM('[3]Paste Special WA 5yr'!D26)/12</f>
        <v>12340.912666666665</v>
      </c>
      <c r="E68" s="30"/>
      <c r="F68" s="31">
        <f>SUM('[3]Paste Special WA 5yr'!F26)/12</f>
        <v>8779.150333333333</v>
      </c>
      <c r="G68" s="30"/>
      <c r="H68" s="31">
        <f>SUM('[3]Paste Special WA 5yr'!H26)/12</f>
        <v>3561.7623333333336</v>
      </c>
      <c r="I68" s="30"/>
      <c r="J68" s="8"/>
      <c r="K68" s="31">
        <v>12283.56</v>
      </c>
      <c r="L68" s="30"/>
      <c r="M68" s="31">
        <f t="shared" si="27"/>
        <v>9199.1580840000006</v>
      </c>
      <c r="N68" s="58">
        <f t="shared" si="28"/>
        <v>420.00775066666756</v>
      </c>
      <c r="O68" s="31">
        <f t="shared" si="29"/>
        <v>3084.4019159999998</v>
      </c>
      <c r="P68" s="30"/>
      <c r="R68" s="23">
        <f t="shared" si="25"/>
        <v>0</v>
      </c>
      <c r="S68" s="23">
        <f t="shared" si="26"/>
        <v>0</v>
      </c>
    </row>
    <row r="69" spans="1:26" x14ac:dyDescent="0.25">
      <c r="A69" s="7" t="s">
        <v>50</v>
      </c>
      <c r="B69" s="29" t="s">
        <v>13</v>
      </c>
      <c r="C69" s="30" t="s">
        <v>51</v>
      </c>
      <c r="D69" s="31">
        <f>SUM('[3]Paste Special WA 5yr'!D27)/12</f>
        <v>1336.7904999999998</v>
      </c>
      <c r="E69" s="30"/>
      <c r="F69" s="31">
        <f>SUM('[3]Paste Special WA 5yr'!F27)/12</f>
        <v>1078.6363333333334</v>
      </c>
      <c r="G69" s="30"/>
      <c r="H69" s="31">
        <f>SUM('[3]Paste Special WA 5yr'!H27)/12</f>
        <v>258.15416666666664</v>
      </c>
      <c r="I69" s="32">
        <f>SUM(H64:H69)</f>
        <v>6205.5410000000002</v>
      </c>
      <c r="J69" s="8"/>
      <c r="K69" s="31">
        <v>0</v>
      </c>
      <c r="L69" s="32">
        <f>SUM(K64:K69)</f>
        <v>20236.02</v>
      </c>
      <c r="M69" s="31">
        <f t="shared" si="27"/>
        <v>0</v>
      </c>
      <c r="N69" s="58">
        <f t="shared" si="28"/>
        <v>-1078.6363333333334</v>
      </c>
      <c r="O69" s="31">
        <f t="shared" si="29"/>
        <v>0</v>
      </c>
      <c r="P69" s="32">
        <f>SUM(O64:O69)</f>
        <v>5081.2646219999997</v>
      </c>
      <c r="R69" s="23">
        <f t="shared" si="25"/>
        <v>0</v>
      </c>
      <c r="S69" s="23">
        <f t="shared" si="26"/>
        <v>0</v>
      </c>
    </row>
    <row r="70" spans="1:26" x14ac:dyDescent="0.25">
      <c r="A70" s="7"/>
      <c r="B70" s="7"/>
      <c r="D70" s="25"/>
      <c r="E70" s="23"/>
      <c r="F70" s="25"/>
      <c r="G70" s="25"/>
      <c r="H70" s="25"/>
      <c r="J70" s="8"/>
      <c r="K70" s="25"/>
      <c r="L70" s="33">
        <f>L69-E69</f>
        <v>20236.02</v>
      </c>
      <c r="M70" s="25"/>
      <c r="N70" s="59">
        <f>SUM(N64:N69)</f>
        <v>-2168.996455333333</v>
      </c>
      <c r="O70" s="25"/>
      <c r="P70" s="33">
        <f>P69-I69</f>
        <v>-1124.2763780000005</v>
      </c>
      <c r="R70" s="23"/>
      <c r="S70" s="23"/>
    </row>
    <row r="71" spans="1:26" x14ac:dyDescent="0.25">
      <c r="A71" s="7"/>
      <c r="B71" s="7"/>
      <c r="D71" s="25"/>
      <c r="E71" s="23"/>
      <c r="F71" s="25"/>
      <c r="G71" s="25"/>
      <c r="H71" s="25"/>
      <c r="J71" s="8"/>
      <c r="K71" s="25"/>
      <c r="L71" s="28"/>
      <c r="M71" s="25"/>
      <c r="N71" s="58"/>
      <c r="O71" s="25"/>
      <c r="P71" s="25"/>
      <c r="R71" s="23"/>
      <c r="S71" s="23"/>
    </row>
    <row r="72" spans="1:26" x14ac:dyDescent="0.25">
      <c r="A72" s="7" t="s">
        <v>52</v>
      </c>
      <c r="B72" s="35" t="s">
        <v>13</v>
      </c>
      <c r="C72" s="36" t="s">
        <v>53</v>
      </c>
      <c r="D72" s="37">
        <f>SUM('[3]Paste Special WA 5yr'!D30)/12</f>
        <v>30235.661500000002</v>
      </c>
      <c r="E72" s="36"/>
      <c r="F72" s="37">
        <f>SUM('[3]Paste Special WA 5yr'!F30)/12</f>
        <v>22754.826499999999</v>
      </c>
      <c r="G72" s="36"/>
      <c r="H72" s="37">
        <f>SUM('[3]Paste Special WA 5yr'!H30)/12</f>
        <v>7480.835</v>
      </c>
      <c r="I72" s="36"/>
      <c r="J72" s="8"/>
      <c r="K72" s="37">
        <v>35751.360000000001</v>
      </c>
      <c r="L72" s="36"/>
      <c r="M72" s="37">
        <f t="shared" ref="M72" si="30">SUM(K72*$M$54)</f>
        <v>26774.193504000003</v>
      </c>
      <c r="N72" s="58">
        <f t="shared" ref="N72" si="31">M72-F72</f>
        <v>4019.3670040000034</v>
      </c>
      <c r="O72" s="37">
        <f t="shared" ref="O72" si="32">SUM(K72*$O$54)</f>
        <v>8977.1664959999998</v>
      </c>
      <c r="P72" s="36"/>
      <c r="R72" s="23">
        <f>D72-F72-H72</f>
        <v>0</v>
      </c>
      <c r="S72" s="23">
        <f>K72-M72-O72</f>
        <v>0</v>
      </c>
    </row>
    <row r="73" spans="1:26" x14ac:dyDescent="0.25">
      <c r="A73" s="7"/>
      <c r="B73" s="7"/>
      <c r="D73" s="25"/>
      <c r="F73" s="25"/>
      <c r="G73" s="25"/>
      <c r="H73" s="25"/>
      <c r="J73" s="8"/>
      <c r="K73" s="25"/>
      <c r="L73" s="38">
        <f>K72-D72</f>
        <v>5515.6984999999986</v>
      </c>
      <c r="M73" s="25"/>
      <c r="N73" s="59">
        <f>SUM(N72)</f>
        <v>4019.3670040000034</v>
      </c>
      <c r="O73" s="25"/>
      <c r="P73" s="38">
        <f>O72-H72</f>
        <v>1496.3314959999998</v>
      </c>
      <c r="Q73" s="28"/>
      <c r="R73" s="23"/>
      <c r="S73" s="23"/>
    </row>
    <row r="74" spans="1:26" x14ac:dyDescent="0.25">
      <c r="A74" s="7"/>
      <c r="B74" s="7"/>
      <c r="D74" s="25"/>
      <c r="F74" s="25"/>
      <c r="G74" s="25"/>
      <c r="H74" s="25"/>
      <c r="J74" s="8"/>
      <c r="K74" s="25"/>
      <c r="L74" s="28"/>
      <c r="M74" s="25"/>
      <c r="N74" s="59"/>
      <c r="O74" s="25"/>
      <c r="P74" s="2"/>
      <c r="Q74" s="28"/>
      <c r="R74" s="23"/>
      <c r="S74" s="23"/>
    </row>
    <row r="75" spans="1:26" x14ac:dyDescent="0.25">
      <c r="A75" s="7" t="s">
        <v>54</v>
      </c>
      <c r="B75" s="39" t="s">
        <v>13</v>
      </c>
      <c r="C75" s="40" t="s">
        <v>55</v>
      </c>
      <c r="D75" s="41">
        <f>SUM('[3]Paste Special WA 5yr'!D33)/12</f>
        <v>158545.38866666667</v>
      </c>
      <c r="E75" s="40"/>
      <c r="F75" s="41">
        <f>SUM('[3]Paste Special WA 5yr'!F33)/12</f>
        <v>117254.6565</v>
      </c>
      <c r="G75" s="40"/>
      <c r="H75" s="41">
        <f>SUM('[3]Paste Special WA 5yr'!H33)/12</f>
        <v>41290.732166666668</v>
      </c>
      <c r="I75" s="40"/>
      <c r="J75" s="8"/>
      <c r="K75" s="41">
        <v>185122.35</v>
      </c>
      <c r="L75" s="40"/>
      <c r="M75" s="41">
        <f t="shared" ref="M75" si="33">SUM(K75*$M$54)</f>
        <v>138638.12791500002</v>
      </c>
      <c r="N75" s="60">
        <v>-6092.3722222222223</v>
      </c>
      <c r="O75" s="41">
        <f t="shared" ref="O75" si="34">SUM(K75*$O$54)</f>
        <v>46484.222085000001</v>
      </c>
      <c r="P75" s="40"/>
      <c r="R75" s="23">
        <f>D75-F75-H75</f>
        <v>0</v>
      </c>
      <c r="S75" s="23">
        <f>K75-M75-O75</f>
        <v>0</v>
      </c>
      <c r="T75" s="43" t="s">
        <v>56</v>
      </c>
      <c r="U75" s="43"/>
      <c r="V75" s="44"/>
      <c r="W75" s="44"/>
      <c r="X75" s="44"/>
      <c r="Y75" s="44"/>
      <c r="Z75" s="44"/>
    </row>
    <row r="76" spans="1:26" x14ac:dyDescent="0.25">
      <c r="A76" s="7"/>
      <c r="B76" s="7"/>
      <c r="D76" s="25"/>
      <c r="E76" s="23"/>
      <c r="F76" s="25"/>
      <c r="G76" s="25"/>
      <c r="H76" s="25"/>
      <c r="J76" s="8"/>
      <c r="K76" s="25"/>
      <c r="L76" s="45">
        <f>K75-D75</f>
        <v>26576.96133333334</v>
      </c>
      <c r="M76" s="25"/>
      <c r="N76" s="59">
        <f>SUM(N75)</f>
        <v>-6092.3722222222223</v>
      </c>
      <c r="O76" s="25"/>
      <c r="P76" s="45">
        <f>O75-H75</f>
        <v>5193.4899183333328</v>
      </c>
      <c r="Q76" s="28"/>
      <c r="R76" s="23"/>
      <c r="S76" s="23"/>
      <c r="T76" s="44" t="s">
        <v>57</v>
      </c>
      <c r="U76" s="44"/>
      <c r="V76" s="44"/>
    </row>
    <row r="77" spans="1:26" x14ac:dyDescent="0.25">
      <c r="A77" s="7"/>
      <c r="B77" s="7"/>
      <c r="D77" s="25"/>
      <c r="E77" s="23"/>
      <c r="F77" s="25"/>
      <c r="G77" s="25"/>
      <c r="H77" s="25"/>
      <c r="J77" s="8"/>
      <c r="K77" s="25"/>
      <c r="L77" s="28"/>
      <c r="M77" s="25"/>
      <c r="N77" s="59"/>
      <c r="O77" s="25"/>
      <c r="P77" s="2"/>
      <c r="Q77" s="28"/>
      <c r="R77" s="23"/>
      <c r="S77" s="23"/>
    </row>
    <row r="78" spans="1:26" x14ac:dyDescent="0.25">
      <c r="A78" s="7" t="s">
        <v>58</v>
      </c>
      <c r="B78" s="46" t="s">
        <v>13</v>
      </c>
      <c r="C78" s="47" t="s">
        <v>59</v>
      </c>
      <c r="D78" s="48">
        <f>SUM('[3]Paste Special WA 5yr'!D36)/12</f>
        <v>21244.650333333335</v>
      </c>
      <c r="E78" s="48"/>
      <c r="F78" s="48">
        <f>SUM('[3]Paste Special WA 5yr'!F36)/12</f>
        <v>16000.9475</v>
      </c>
      <c r="G78" s="48"/>
      <c r="H78" s="48">
        <f>SUM('[3]Paste Special WA 5yr'!H36)/12</f>
        <v>5243.7028333333328</v>
      </c>
      <c r="I78" s="47"/>
      <c r="J78" s="8"/>
      <c r="K78" s="48">
        <v>12859.96</v>
      </c>
      <c r="L78" s="47"/>
      <c r="M78" s="48">
        <f t="shared" ref="M78" si="35">SUM(K78*$M$54)</f>
        <v>9630.824043999999</v>
      </c>
      <c r="N78" s="58">
        <f t="shared" ref="N78" si="36">M78-F78</f>
        <v>-6370.1234560000012</v>
      </c>
      <c r="O78" s="48">
        <f t="shared" ref="O78" si="37">SUM(K78*$O$54)</f>
        <v>3229.1359559999996</v>
      </c>
      <c r="P78" s="47"/>
      <c r="R78" s="23">
        <f>D78-F78-H78</f>
        <v>0</v>
      </c>
      <c r="S78" s="23">
        <f t="shared" ref="S78" si="38">K78-M78-O78</f>
        <v>0</v>
      </c>
    </row>
    <row r="79" spans="1:26" x14ac:dyDescent="0.25">
      <c r="A79" s="7"/>
      <c r="B79" s="7"/>
      <c r="D79" s="2"/>
      <c r="F79" s="2"/>
      <c r="G79" s="25"/>
      <c r="H79" s="2"/>
      <c r="J79" s="8"/>
      <c r="K79" s="2"/>
      <c r="L79" s="49">
        <f>K78-D78</f>
        <v>-8384.6903333333357</v>
      </c>
      <c r="M79" s="2"/>
      <c r="N79" s="59">
        <f>SUM(N78)</f>
        <v>-6370.1234560000012</v>
      </c>
      <c r="O79" s="2"/>
      <c r="P79" s="49">
        <f>O78-H78</f>
        <v>-2014.5668773333332</v>
      </c>
      <c r="Q79" s="28"/>
      <c r="R79" s="23"/>
      <c r="S79" s="23"/>
    </row>
    <row r="80" spans="1:26" x14ac:dyDescent="0.25">
      <c r="H80" s="23" t="s">
        <v>60</v>
      </c>
      <c r="K80" s="50">
        <v>80959.37</v>
      </c>
      <c r="M80" s="2"/>
      <c r="N80" s="59">
        <f>-K80*M54</f>
        <v>-60630.472192999994</v>
      </c>
      <c r="O80" s="2"/>
      <c r="R80" s="23"/>
      <c r="S80" s="23" t="s">
        <v>60</v>
      </c>
    </row>
    <row r="81" spans="11:14" x14ac:dyDescent="0.25">
      <c r="K81" s="16"/>
      <c r="N81" s="51">
        <f>N62+N70+N73+N76+N79+N80</f>
        <v>-113476.4662912222</v>
      </c>
    </row>
  </sheetData>
  <mergeCells count="4">
    <mergeCell ref="D11:F11"/>
    <mergeCell ref="K11:O11"/>
    <mergeCell ref="D53:F54"/>
    <mergeCell ref="K53:O53"/>
  </mergeCells>
  <pageMargins left="0.7" right="0.7" top="0.75" bottom="0.75" header="0.3" footer="0.3"/>
  <pageSetup scale="3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AB89"/>
  <sheetViews>
    <sheetView showGridLines="0" view="pageBreakPreview" topLeftCell="A18" zoomScale="85" zoomScaleNormal="100" zoomScaleSheetLayoutView="85" workbookViewId="0">
      <selection activeCell="G18" sqref="G18"/>
    </sheetView>
  </sheetViews>
  <sheetFormatPr defaultRowHeight="15" x14ac:dyDescent="0.25"/>
  <cols>
    <col min="1" max="1" width="8.25" style="61" customWidth="1"/>
    <col min="2" max="2" width="2.5" style="5" customWidth="1"/>
    <col min="3" max="3" width="29.875" style="5" customWidth="1"/>
    <col min="4" max="4" width="11.625" style="5" bestFit="1" customWidth="1"/>
    <col min="5" max="5" width="10.125" style="5" hidden="1" customWidth="1"/>
    <col min="6" max="6" width="11.625" style="5" bestFit="1" customWidth="1"/>
    <col min="7" max="7" width="10.125" style="5" hidden="1" customWidth="1"/>
    <col min="8" max="8" width="11.125" style="5" customWidth="1"/>
    <col min="9" max="9" width="10.125" style="5" hidden="1" customWidth="1"/>
    <col min="10" max="10" width="3.125" style="5" customWidth="1"/>
    <col min="11" max="11" width="11.75" style="5" bestFit="1" customWidth="1"/>
    <col min="12" max="12" width="11.125" style="5" hidden="1" customWidth="1"/>
    <col min="13" max="13" width="11.625" style="5" bestFit="1" customWidth="1"/>
    <col min="14" max="14" width="12.875" style="5" customWidth="1"/>
    <col min="15" max="15" width="11.375" style="5" customWidth="1"/>
    <col min="16" max="16" width="12.625" style="5" customWidth="1"/>
    <col min="17" max="17" width="10.75" style="5" hidden="1" customWidth="1"/>
    <col min="18" max="18" width="12.5" style="5" customWidth="1"/>
    <col min="19" max="19" width="8" style="5" customWidth="1"/>
    <col min="20" max="20" width="9.5" style="5" bestFit="1" customWidth="1"/>
    <col min="21" max="21" width="5.25" style="5" bestFit="1" customWidth="1"/>
    <col min="22" max="22" width="11.75" style="5" bestFit="1" customWidth="1"/>
    <col min="23" max="23" width="9.75" style="5" bestFit="1" customWidth="1"/>
    <col min="24" max="24" width="10.625" style="5" bestFit="1" customWidth="1"/>
    <col min="25" max="16384" width="9" style="5"/>
  </cols>
  <sheetData>
    <row r="2" spans="1:21" x14ac:dyDescent="0.25">
      <c r="C2" s="6" t="s">
        <v>0</v>
      </c>
      <c r="D2" s="7" t="s">
        <v>1</v>
      </c>
      <c r="F2" s="62" t="s">
        <v>2</v>
      </c>
      <c r="G2" s="62"/>
      <c r="H2" s="62" t="s">
        <v>3</v>
      </c>
      <c r="K2" s="7" t="s">
        <v>1</v>
      </c>
      <c r="M2" s="62" t="s">
        <v>2</v>
      </c>
      <c r="N2" s="62"/>
      <c r="O2" s="62"/>
      <c r="P2" s="62" t="s">
        <v>3</v>
      </c>
    </row>
    <row r="3" spans="1:21" x14ac:dyDescent="0.25">
      <c r="C3" s="6" t="s">
        <v>4</v>
      </c>
      <c r="D3" s="52" t="s">
        <v>81</v>
      </c>
      <c r="K3" s="54" t="s">
        <v>22</v>
      </c>
    </row>
    <row r="4" spans="1:21" x14ac:dyDescent="0.25">
      <c r="C4" s="6" t="s">
        <v>5</v>
      </c>
      <c r="D4" s="7" t="s">
        <v>6</v>
      </c>
      <c r="K4" s="7" t="s">
        <v>6</v>
      </c>
    </row>
    <row r="5" spans="1:21" x14ac:dyDescent="0.25">
      <c r="C5" s="6" t="s">
        <v>7</v>
      </c>
      <c r="D5" s="54" t="s">
        <v>24</v>
      </c>
      <c r="K5" s="52" t="s">
        <v>24</v>
      </c>
    </row>
    <row r="6" spans="1:21" x14ac:dyDescent="0.25">
      <c r="C6" s="6" t="s">
        <v>8</v>
      </c>
      <c r="D6" s="7" t="s">
        <v>9</v>
      </c>
      <c r="K6" s="7" t="s">
        <v>9</v>
      </c>
    </row>
    <row r="7" spans="1:21" x14ac:dyDescent="0.25">
      <c r="C7" s="6" t="s">
        <v>11</v>
      </c>
      <c r="D7" s="7" t="s">
        <v>12</v>
      </c>
      <c r="K7" s="7" t="s">
        <v>12</v>
      </c>
    </row>
    <row r="8" spans="1:21" x14ac:dyDescent="0.25">
      <c r="C8" s="6" t="s">
        <v>10</v>
      </c>
      <c r="D8" s="12" t="s">
        <v>13</v>
      </c>
      <c r="K8" s="12" t="s">
        <v>13</v>
      </c>
    </row>
    <row r="9" spans="1:21" x14ac:dyDescent="0.25">
      <c r="D9" s="62" t="s">
        <v>25</v>
      </c>
      <c r="K9" s="63" t="s">
        <v>25</v>
      </c>
    </row>
    <row r="10" spans="1:21" x14ac:dyDescent="0.25">
      <c r="D10" s="62" t="str">
        <f t="shared" ref="D10" si="0">TEXT(D5&amp;"/1/"&amp;D3,"mmm yy")</f>
        <v>Mar 19</v>
      </c>
      <c r="K10" s="63" t="str">
        <f t="shared" ref="K10" si="1">TEXT(K5&amp;"/1/"&amp;K3,"mmm yy")</f>
        <v>Mar 21</v>
      </c>
    </row>
    <row r="11" spans="1:21" x14ac:dyDescent="0.25">
      <c r="D11" s="15"/>
      <c r="F11" s="15"/>
      <c r="G11" s="16"/>
      <c r="H11" s="15"/>
      <c r="K11" s="15"/>
      <c r="M11" s="15"/>
      <c r="N11" s="16"/>
      <c r="O11" s="16"/>
      <c r="P11" s="15"/>
    </row>
    <row r="12" spans="1:21" x14ac:dyDescent="0.25">
      <c r="D12" s="15"/>
      <c r="E12" s="15"/>
      <c r="F12" s="15"/>
      <c r="G12" s="16"/>
      <c r="H12" s="15"/>
    </row>
    <row r="13" spans="1:21" x14ac:dyDescent="0.25">
      <c r="D13" s="15"/>
      <c r="F13" s="15"/>
      <c r="G13" s="16"/>
      <c r="H13" s="15"/>
      <c r="K13" s="284" t="s">
        <v>18</v>
      </c>
      <c r="L13" s="284"/>
      <c r="M13" s="284"/>
      <c r="N13" s="284"/>
      <c r="O13" s="17"/>
      <c r="T13" s="5" t="s">
        <v>17</v>
      </c>
    </row>
    <row r="14" spans="1:21" ht="23.25" x14ac:dyDescent="0.35">
      <c r="K14" s="15">
        <v>2021</v>
      </c>
      <c r="M14" s="17">
        <v>0.74890000000000001</v>
      </c>
      <c r="N14" s="17">
        <v>0.25109999999999999</v>
      </c>
      <c r="O14" s="154" t="s">
        <v>101</v>
      </c>
    </row>
    <row r="15" spans="1:21" x14ac:dyDescent="0.25">
      <c r="A15" s="4" t="s">
        <v>66</v>
      </c>
      <c r="B15" s="5" t="s">
        <v>27</v>
      </c>
      <c r="D15" s="4">
        <v>2019</v>
      </c>
      <c r="F15" s="4" t="s">
        <v>19</v>
      </c>
      <c r="G15" s="4"/>
      <c r="H15" s="4" t="s">
        <v>20</v>
      </c>
      <c r="K15" s="4" t="s">
        <v>67</v>
      </c>
      <c r="M15" s="64" t="s">
        <v>19</v>
      </c>
      <c r="N15" s="64" t="s">
        <v>20</v>
      </c>
      <c r="O15" s="151" t="s">
        <v>16</v>
      </c>
      <c r="P15" s="72" t="s">
        <v>16</v>
      </c>
      <c r="R15" s="142" t="s">
        <v>16</v>
      </c>
    </row>
    <row r="16" spans="1:21" x14ac:dyDescent="0.25">
      <c r="A16" s="66" t="s">
        <v>28</v>
      </c>
      <c r="B16" s="7" t="s">
        <v>13</v>
      </c>
      <c r="C16" s="20" t="s">
        <v>29</v>
      </c>
      <c r="D16" s="21">
        <v>17495.63</v>
      </c>
      <c r="E16" s="20"/>
      <c r="F16" s="21">
        <v>11787.55</v>
      </c>
      <c r="G16" s="21"/>
      <c r="H16" s="21">
        <v>5708.08</v>
      </c>
      <c r="I16" s="20"/>
      <c r="J16" s="67"/>
      <c r="K16" s="21">
        <v>211.82</v>
      </c>
      <c r="L16" s="20"/>
      <c r="M16" s="21">
        <f t="shared" ref="M16:M21" si="2">SUM(K16*$M$14)</f>
        <v>158.63199800000001</v>
      </c>
      <c r="N16" s="21">
        <f t="shared" ref="N16:N21" si="3">SUM(K16*$N$14)</f>
        <v>53.188001999999997</v>
      </c>
      <c r="O16" s="22">
        <v>-5913.1319979999998</v>
      </c>
      <c r="P16" s="22">
        <f>N16-H16</f>
        <v>-5654.8919980000001</v>
      </c>
      <c r="R16" s="143">
        <v>-5654.8919980000001</v>
      </c>
      <c r="T16" s="23">
        <f t="shared" ref="T16:T21" si="4">D16-F16-H16</f>
        <v>0</v>
      </c>
      <c r="U16" s="23">
        <f t="shared" ref="U16:U21" si="5">K16-M16-N16</f>
        <v>0</v>
      </c>
    </row>
    <row r="17" spans="1:24" x14ac:dyDescent="0.25">
      <c r="A17" s="66" t="s">
        <v>30</v>
      </c>
      <c r="B17" s="7" t="s">
        <v>13</v>
      </c>
      <c r="C17" s="20" t="s">
        <v>31</v>
      </c>
      <c r="D17" s="21">
        <v>2245.4899999999998</v>
      </c>
      <c r="E17" s="20"/>
      <c r="F17" s="21">
        <v>1687.93</v>
      </c>
      <c r="G17" s="21"/>
      <c r="H17" s="21">
        <v>557.55999999999995</v>
      </c>
      <c r="I17" s="20"/>
      <c r="J17" s="67"/>
      <c r="K17" s="21">
        <v>0</v>
      </c>
      <c r="L17" s="20"/>
      <c r="M17" s="21">
        <f t="shared" si="2"/>
        <v>0</v>
      </c>
      <c r="N17" s="21">
        <f t="shared" si="3"/>
        <v>0</v>
      </c>
      <c r="O17" s="22">
        <v>-528.55999999999995</v>
      </c>
      <c r="P17" s="22">
        <f>N17-H17</f>
        <v>-557.55999999999995</v>
      </c>
      <c r="R17" s="143">
        <v>-557.55999999999995</v>
      </c>
      <c r="T17" s="23">
        <f t="shared" si="4"/>
        <v>0</v>
      </c>
      <c r="U17" s="23">
        <f t="shared" si="5"/>
        <v>0</v>
      </c>
    </row>
    <row r="18" spans="1:24" x14ac:dyDescent="0.25">
      <c r="A18" s="66" t="s">
        <v>32</v>
      </c>
      <c r="B18" s="7" t="s">
        <v>13</v>
      </c>
      <c r="C18" s="20" t="s">
        <v>33</v>
      </c>
      <c r="D18" s="21">
        <v>917.64</v>
      </c>
      <c r="E18" s="20"/>
      <c r="F18" s="21">
        <v>288.36</v>
      </c>
      <c r="G18" s="21"/>
      <c r="H18" s="21">
        <v>629.28</v>
      </c>
      <c r="I18" s="20"/>
      <c r="J18" s="67"/>
      <c r="K18" s="21">
        <v>7.27</v>
      </c>
      <c r="L18" s="20"/>
      <c r="M18" s="21">
        <f t="shared" si="2"/>
        <v>5.4445030000000001</v>
      </c>
      <c r="N18" s="21">
        <f t="shared" si="3"/>
        <v>1.8254969999999999</v>
      </c>
      <c r="O18" s="22">
        <v>-156.01450299999999</v>
      </c>
      <c r="P18" s="22">
        <f>N18-H18</f>
        <v>-627.45450299999993</v>
      </c>
      <c r="R18" s="143">
        <v>-627.45450299999993</v>
      </c>
      <c r="T18" s="23">
        <f t="shared" si="4"/>
        <v>0</v>
      </c>
      <c r="U18" s="23">
        <f t="shared" si="5"/>
        <v>0</v>
      </c>
    </row>
    <row r="19" spans="1:24" x14ac:dyDescent="0.25">
      <c r="A19" s="66" t="s">
        <v>34</v>
      </c>
      <c r="B19" s="7" t="s">
        <v>13</v>
      </c>
      <c r="C19" s="20" t="s">
        <v>35</v>
      </c>
      <c r="D19" s="21">
        <v>24993.61</v>
      </c>
      <c r="E19" s="20"/>
      <c r="F19" s="21">
        <v>16925.91</v>
      </c>
      <c r="G19" s="21"/>
      <c r="H19" s="21">
        <f>8067.7</f>
        <v>8067.7</v>
      </c>
      <c r="I19" s="20"/>
      <c r="J19" s="67"/>
      <c r="K19" s="21">
        <v>6177.3</v>
      </c>
      <c r="L19" s="20"/>
      <c r="M19" s="21">
        <f t="shared" si="2"/>
        <v>4626.1799700000001</v>
      </c>
      <c r="N19" s="21">
        <f t="shared" si="3"/>
        <v>1551.12003</v>
      </c>
      <c r="O19" s="22">
        <v>-3534.7849850000002</v>
      </c>
      <c r="P19" s="22">
        <f>SUM(N19-H19)/2</f>
        <v>-3258.2899849999999</v>
      </c>
      <c r="R19" s="143">
        <v>-3258.2899849999999</v>
      </c>
      <c r="T19" s="23">
        <f t="shared" si="4"/>
        <v>0</v>
      </c>
      <c r="U19" s="23">
        <f t="shared" si="5"/>
        <v>0</v>
      </c>
      <c r="V19" s="25">
        <f>+H19/2</f>
        <v>4033.85</v>
      </c>
      <c r="W19" s="25">
        <f>+N19/2</f>
        <v>775.56001500000002</v>
      </c>
      <c r="X19" s="25">
        <f>+W19-V19</f>
        <v>-3258.2899849999999</v>
      </c>
    </row>
    <row r="20" spans="1:24" x14ac:dyDescent="0.25">
      <c r="A20" s="66" t="s">
        <v>36</v>
      </c>
      <c r="B20" s="7" t="s">
        <v>13</v>
      </c>
      <c r="C20" s="20" t="s">
        <v>37</v>
      </c>
      <c r="D20" s="21">
        <v>31790.43</v>
      </c>
      <c r="E20" s="20"/>
      <c r="F20" s="21">
        <v>22366.48</v>
      </c>
      <c r="G20" s="21"/>
      <c r="H20" s="21">
        <v>9423.9500000000007</v>
      </c>
      <c r="I20" s="20"/>
      <c r="J20" s="67"/>
      <c r="K20" s="21">
        <v>3508.43</v>
      </c>
      <c r="L20" s="20"/>
      <c r="M20" s="21">
        <f t="shared" si="2"/>
        <v>2627.4632269999997</v>
      </c>
      <c r="N20" s="21">
        <f t="shared" si="3"/>
        <v>880.96677299999988</v>
      </c>
      <c r="O20" s="22">
        <v>-4542.6932269999998</v>
      </c>
      <c r="P20" s="22">
        <f>N20-H20</f>
        <v>-8542.9832270000006</v>
      </c>
      <c r="R20" s="143">
        <v>-8542.9832270000006</v>
      </c>
      <c r="T20" s="23">
        <f t="shared" si="4"/>
        <v>0</v>
      </c>
      <c r="U20" s="23">
        <f t="shared" si="5"/>
        <v>0</v>
      </c>
      <c r="V20" s="25">
        <v>158000</v>
      </c>
    </row>
    <row r="21" spans="1:24" x14ac:dyDescent="0.25">
      <c r="A21" s="66" t="s">
        <v>38</v>
      </c>
      <c r="B21" s="7" t="s">
        <v>13</v>
      </c>
      <c r="C21" s="20" t="s">
        <v>39</v>
      </c>
      <c r="D21" s="21">
        <v>0</v>
      </c>
      <c r="E21" s="20"/>
      <c r="F21" s="21">
        <v>0</v>
      </c>
      <c r="G21" s="20"/>
      <c r="H21" s="21">
        <v>0</v>
      </c>
      <c r="I21" s="20"/>
      <c r="J21" s="67"/>
      <c r="K21" s="21">
        <v>0</v>
      </c>
      <c r="L21" s="20"/>
      <c r="M21" s="21">
        <f t="shared" si="2"/>
        <v>0</v>
      </c>
      <c r="N21" s="21">
        <f t="shared" si="3"/>
        <v>0</v>
      </c>
      <c r="O21" s="22">
        <v>0</v>
      </c>
      <c r="P21" s="22">
        <f>N21-H21</f>
        <v>0</v>
      </c>
      <c r="R21" s="143">
        <v>0</v>
      </c>
      <c r="T21" s="23">
        <f t="shared" si="4"/>
        <v>0</v>
      </c>
      <c r="U21" s="23">
        <f t="shared" si="5"/>
        <v>0</v>
      </c>
      <c r="V21" s="25">
        <f>+V20/12</f>
        <v>13166.666666666666</v>
      </c>
    </row>
    <row r="22" spans="1:24" x14ac:dyDescent="0.25">
      <c r="A22" s="66"/>
      <c r="B22" s="7"/>
      <c r="D22" s="23">
        <f>SUM(D16:D21)</f>
        <v>77442.8</v>
      </c>
      <c r="F22" s="23">
        <f>SUM(F16:F21)</f>
        <v>53056.229999999996</v>
      </c>
      <c r="G22" s="25"/>
      <c r="H22" s="23">
        <f>SUM(H16:H21)</f>
        <v>24386.57</v>
      </c>
      <c r="J22" s="8"/>
      <c r="K22" s="23">
        <f>SUM(K16:K21)</f>
        <v>9904.82</v>
      </c>
      <c r="M22" s="23">
        <f>SUM(M16:M21)</f>
        <v>7417.7196980000008</v>
      </c>
      <c r="N22" s="23">
        <f>SUM(N16:N21)</f>
        <v>2487.1003019999998</v>
      </c>
      <c r="O22" s="27">
        <f>SUM(O16:O21)</f>
        <v>-14675.184713000001</v>
      </c>
      <c r="P22" s="27">
        <f>SUM(P16:P21)</f>
        <v>-18641.179713000001</v>
      </c>
      <c r="R22" s="144">
        <v>-18641.179713000001</v>
      </c>
      <c r="T22" s="23"/>
      <c r="U22" s="23"/>
    </row>
    <row r="23" spans="1:24" x14ac:dyDescent="0.25">
      <c r="A23" s="66"/>
      <c r="B23" s="7"/>
      <c r="D23" s="25"/>
      <c r="F23" s="25"/>
      <c r="G23" s="25"/>
      <c r="H23" s="25"/>
      <c r="J23" s="8"/>
      <c r="K23" s="23">
        <f>K22-D22</f>
        <v>-67537.98000000001</v>
      </c>
      <c r="L23" s="23"/>
      <c r="M23" s="23">
        <f>M22-F22</f>
        <v>-45638.510301999995</v>
      </c>
      <c r="N23" s="28">
        <f>N22-H22+((H19-N19)/2)</f>
        <v>-18641.179713000001</v>
      </c>
      <c r="O23" s="27"/>
      <c r="P23" s="27"/>
      <c r="R23" s="144"/>
      <c r="T23" s="23"/>
      <c r="U23" s="23"/>
    </row>
    <row r="24" spans="1:24" x14ac:dyDescent="0.25">
      <c r="A24" s="66"/>
      <c r="B24" s="7"/>
      <c r="D24" s="25"/>
      <c r="F24" s="25"/>
      <c r="G24" s="25"/>
      <c r="H24" s="25"/>
      <c r="J24" s="8"/>
      <c r="K24" s="28"/>
      <c r="L24" s="28"/>
      <c r="M24" s="28"/>
      <c r="N24" s="28"/>
      <c r="O24" s="27">
        <v>0</v>
      </c>
      <c r="P24" s="27"/>
      <c r="R24" s="144"/>
      <c r="T24" s="23"/>
      <c r="U24" s="23"/>
    </row>
    <row r="25" spans="1:24" x14ac:dyDescent="0.25">
      <c r="A25" s="66" t="s">
        <v>40</v>
      </c>
      <c r="B25" s="7" t="s">
        <v>13</v>
      </c>
      <c r="C25" s="30" t="s">
        <v>41</v>
      </c>
      <c r="D25" s="31">
        <v>0</v>
      </c>
      <c r="E25" s="30"/>
      <c r="F25" s="31">
        <v>0</v>
      </c>
      <c r="G25" s="30"/>
      <c r="H25" s="31">
        <v>0</v>
      </c>
      <c r="I25" s="30"/>
      <c r="J25" s="67"/>
      <c r="K25" s="31">
        <v>0</v>
      </c>
      <c r="L25" s="30"/>
      <c r="M25" s="31">
        <f t="shared" ref="M25:M30" si="6">SUM(K25*$M$14)</f>
        <v>0</v>
      </c>
      <c r="N25" s="31">
        <f t="shared" ref="N25:N30" si="7">SUM(K25*$N$14)</f>
        <v>0</v>
      </c>
      <c r="O25" s="22">
        <v>0</v>
      </c>
      <c r="P25" s="22">
        <f t="shared" ref="P25:P30" si="8">N25-H25</f>
        <v>0</v>
      </c>
      <c r="R25" s="143">
        <v>0</v>
      </c>
      <c r="T25" s="23">
        <f t="shared" ref="T25:T30" si="9">D25-F25-H25</f>
        <v>0</v>
      </c>
      <c r="U25" s="23">
        <f t="shared" ref="U25:U30" si="10">K25-M25-N25</f>
        <v>0</v>
      </c>
    </row>
    <row r="26" spans="1:24" x14ac:dyDescent="0.25">
      <c r="A26" s="66" t="s">
        <v>42</v>
      </c>
      <c r="B26" s="7" t="s">
        <v>13</v>
      </c>
      <c r="C26" s="30" t="s">
        <v>43</v>
      </c>
      <c r="D26" s="31">
        <v>0</v>
      </c>
      <c r="E26" s="30"/>
      <c r="F26" s="31">
        <v>0</v>
      </c>
      <c r="G26" s="30"/>
      <c r="H26" s="31">
        <v>0</v>
      </c>
      <c r="I26" s="30"/>
      <c r="J26" s="67"/>
      <c r="K26" s="31">
        <v>0</v>
      </c>
      <c r="L26" s="30"/>
      <c r="M26" s="31">
        <f t="shared" si="6"/>
        <v>0</v>
      </c>
      <c r="N26" s="31">
        <f t="shared" si="7"/>
        <v>0</v>
      </c>
      <c r="O26" s="22">
        <v>-553.63729400000011</v>
      </c>
      <c r="P26" s="22">
        <f t="shared" si="8"/>
        <v>0</v>
      </c>
      <c r="R26" s="143">
        <v>0</v>
      </c>
      <c r="T26" s="23">
        <f t="shared" si="9"/>
        <v>0</v>
      </c>
      <c r="U26" s="23">
        <f t="shared" si="10"/>
        <v>0</v>
      </c>
    </row>
    <row r="27" spans="1:24" x14ac:dyDescent="0.25">
      <c r="A27" s="66" t="s">
        <v>44</v>
      </c>
      <c r="B27" s="7" t="s">
        <v>13</v>
      </c>
      <c r="C27" s="30" t="s">
        <v>45</v>
      </c>
      <c r="D27" s="31">
        <v>6931.56</v>
      </c>
      <c r="E27" s="30"/>
      <c r="F27" s="31">
        <v>5071.6899999999996</v>
      </c>
      <c r="G27" s="30"/>
      <c r="H27" s="31">
        <v>1859.87</v>
      </c>
      <c r="I27" s="30"/>
      <c r="J27" s="67"/>
      <c r="K27" s="31">
        <v>7952.46</v>
      </c>
      <c r="L27" s="30"/>
      <c r="M27" s="31">
        <f t="shared" si="6"/>
        <v>5955.5972940000001</v>
      </c>
      <c r="N27" s="31">
        <f t="shared" si="7"/>
        <v>1996.8627059999999</v>
      </c>
      <c r="O27" s="22">
        <v>0</v>
      </c>
      <c r="P27" s="22">
        <f t="shared" si="8"/>
        <v>136.992706</v>
      </c>
      <c r="R27" s="143">
        <v>136.992706</v>
      </c>
      <c r="T27" s="23">
        <f t="shared" si="9"/>
        <v>0</v>
      </c>
      <c r="U27" s="23">
        <f t="shared" si="10"/>
        <v>0</v>
      </c>
    </row>
    <row r="28" spans="1:24" x14ac:dyDescent="0.25">
      <c r="A28" s="66" t="s">
        <v>46</v>
      </c>
      <c r="B28" s="7" t="s">
        <v>13</v>
      </c>
      <c r="C28" s="30" t="s">
        <v>47</v>
      </c>
      <c r="D28" s="31">
        <v>0</v>
      </c>
      <c r="E28" s="30"/>
      <c r="F28" s="31">
        <v>0</v>
      </c>
      <c r="G28" s="30"/>
      <c r="H28" s="31">
        <v>0</v>
      </c>
      <c r="I28" s="30"/>
      <c r="J28" s="67"/>
      <c r="K28" s="31">
        <v>0</v>
      </c>
      <c r="L28" s="30"/>
      <c r="M28" s="31">
        <f t="shared" si="6"/>
        <v>0</v>
      </c>
      <c r="N28" s="31">
        <f t="shared" si="7"/>
        <v>0</v>
      </c>
      <c r="O28" s="22">
        <v>373.56191599999966</v>
      </c>
      <c r="P28" s="22">
        <f t="shared" si="8"/>
        <v>0</v>
      </c>
      <c r="R28" s="143">
        <v>0</v>
      </c>
      <c r="T28" s="23">
        <f t="shared" si="9"/>
        <v>0</v>
      </c>
      <c r="U28" s="23">
        <f t="shared" si="10"/>
        <v>0</v>
      </c>
    </row>
    <row r="29" spans="1:24" x14ac:dyDescent="0.25">
      <c r="A29" s="66" t="s">
        <v>48</v>
      </c>
      <c r="B29" s="7" t="s">
        <v>13</v>
      </c>
      <c r="C29" s="30" t="s">
        <v>49</v>
      </c>
      <c r="D29" s="31">
        <v>14185.9</v>
      </c>
      <c r="E29" s="30"/>
      <c r="F29" s="31">
        <v>8876.33</v>
      </c>
      <c r="G29" s="30"/>
      <c r="H29" s="31">
        <v>5309.57</v>
      </c>
      <c r="I29" s="30"/>
      <c r="J29" s="67"/>
      <c r="K29" s="31">
        <v>12283.56</v>
      </c>
      <c r="L29" s="30"/>
      <c r="M29" s="31">
        <f t="shared" si="6"/>
        <v>9199.1580840000006</v>
      </c>
      <c r="N29" s="31">
        <f t="shared" si="7"/>
        <v>3084.4019159999998</v>
      </c>
      <c r="O29" s="22">
        <v>-623.77</v>
      </c>
      <c r="P29" s="22">
        <f t="shared" si="8"/>
        <v>-2225.1680839999999</v>
      </c>
      <c r="R29" s="143">
        <v>-2225.1680839999999</v>
      </c>
      <c r="T29" s="23">
        <f t="shared" si="9"/>
        <v>0</v>
      </c>
      <c r="U29" s="23">
        <f t="shared" si="10"/>
        <v>0</v>
      </c>
    </row>
    <row r="30" spans="1:24" x14ac:dyDescent="0.25">
      <c r="A30" s="66" t="s">
        <v>50</v>
      </c>
      <c r="B30" s="7" t="s">
        <v>13</v>
      </c>
      <c r="C30" s="30" t="s">
        <v>51</v>
      </c>
      <c r="D30" s="31">
        <v>0</v>
      </c>
      <c r="E30" s="30"/>
      <c r="F30" s="31">
        <v>0</v>
      </c>
      <c r="G30" s="30"/>
      <c r="H30" s="31">
        <v>0</v>
      </c>
      <c r="I30" s="32"/>
      <c r="J30" s="67"/>
      <c r="K30" s="31">
        <v>0</v>
      </c>
      <c r="L30" s="30"/>
      <c r="M30" s="31">
        <f t="shared" si="6"/>
        <v>0</v>
      </c>
      <c r="N30" s="31">
        <f t="shared" si="7"/>
        <v>0</v>
      </c>
      <c r="O30" s="22"/>
      <c r="P30" s="22">
        <f t="shared" si="8"/>
        <v>0</v>
      </c>
      <c r="R30" s="143">
        <v>0</v>
      </c>
      <c r="T30" s="23">
        <f t="shared" si="9"/>
        <v>0</v>
      </c>
      <c r="U30" s="23">
        <f t="shared" si="10"/>
        <v>0</v>
      </c>
    </row>
    <row r="31" spans="1:24" x14ac:dyDescent="0.25">
      <c r="A31" s="66"/>
      <c r="B31" s="7"/>
      <c r="D31" s="23">
        <f>SUM(D25:D30)</f>
        <v>21117.46</v>
      </c>
      <c r="E31" s="23"/>
      <c r="F31" s="23">
        <f>SUM(F25:F30)</f>
        <v>13948.02</v>
      </c>
      <c r="G31" s="25"/>
      <c r="H31" s="23">
        <f>SUM(H25:H30)</f>
        <v>7169.44</v>
      </c>
      <c r="J31" s="8"/>
      <c r="K31" s="23">
        <f>SUM(K25:K30)</f>
        <v>20236.02</v>
      </c>
      <c r="M31" s="23">
        <f>SUM(M25:M30)</f>
        <v>15154.755378000002</v>
      </c>
      <c r="N31" s="23">
        <f>SUM(N25:N30)</f>
        <v>5081.2646219999997</v>
      </c>
      <c r="O31" s="27">
        <f>SUM(O25:O30)</f>
        <v>-803.84537800000044</v>
      </c>
      <c r="P31" s="27">
        <f>SUM(P25:P30)</f>
        <v>-2088.1753779999999</v>
      </c>
      <c r="R31" s="144">
        <v>-2088.1753779999999</v>
      </c>
      <c r="T31" s="23"/>
      <c r="U31" s="23"/>
    </row>
    <row r="32" spans="1:24" x14ac:dyDescent="0.25">
      <c r="A32" s="66"/>
      <c r="B32" s="7"/>
      <c r="D32" s="25"/>
      <c r="E32" s="23"/>
      <c r="F32" s="25"/>
      <c r="G32" s="25"/>
      <c r="H32" s="25"/>
      <c r="J32" s="8"/>
      <c r="K32" s="23">
        <f>K31-D31</f>
        <v>-881.43999999999869</v>
      </c>
      <c r="L32" s="23"/>
      <c r="M32" s="23">
        <f>M31-F31</f>
        <v>1206.7353780000012</v>
      </c>
      <c r="N32" s="28">
        <f>N31-H31</f>
        <v>-2088.1753779999999</v>
      </c>
      <c r="O32" s="27"/>
      <c r="P32" s="27"/>
      <c r="R32" s="144"/>
      <c r="T32" s="23"/>
      <c r="U32" s="23"/>
    </row>
    <row r="33" spans="1:28" x14ac:dyDescent="0.25">
      <c r="A33" s="66"/>
      <c r="B33" s="7"/>
      <c r="D33" s="25"/>
      <c r="E33" s="23"/>
      <c r="F33" s="25"/>
      <c r="G33" s="25"/>
      <c r="H33" s="25"/>
      <c r="J33" s="8"/>
      <c r="K33" s="28"/>
      <c r="L33" s="28"/>
      <c r="M33" s="28"/>
      <c r="N33" s="28"/>
      <c r="O33" s="27"/>
      <c r="P33" s="27"/>
      <c r="R33" s="144"/>
      <c r="T33" s="23"/>
      <c r="U33" s="23"/>
    </row>
    <row r="34" spans="1:28" x14ac:dyDescent="0.25">
      <c r="A34" s="66" t="s">
        <v>52</v>
      </c>
      <c r="B34" s="7" t="s">
        <v>13</v>
      </c>
      <c r="C34" s="36" t="s">
        <v>53</v>
      </c>
      <c r="D34" s="37">
        <v>39863.24</v>
      </c>
      <c r="E34" s="36"/>
      <c r="F34" s="37">
        <v>29965.200000000001</v>
      </c>
      <c r="G34" s="37"/>
      <c r="H34" s="37">
        <v>9898.0400000000009</v>
      </c>
      <c r="I34" s="36"/>
      <c r="J34" s="8"/>
      <c r="K34" s="37">
        <v>35751.360000000001</v>
      </c>
      <c r="L34" s="36"/>
      <c r="M34" s="37">
        <f>SUM(K34*$M$14)</f>
        <v>26774.193504000003</v>
      </c>
      <c r="N34" s="37">
        <f>SUM(K34*$N$14)</f>
        <v>8977.1664959999998</v>
      </c>
      <c r="O34" s="22">
        <v>3346.8364999999999</v>
      </c>
      <c r="P34" s="22">
        <f>N34-H34</f>
        <v>-920.87350400000105</v>
      </c>
      <c r="R34" s="143">
        <v>-920.87350400000105</v>
      </c>
      <c r="T34" s="23">
        <f>D34-F34-H34</f>
        <v>0</v>
      </c>
      <c r="U34" s="23">
        <f>K34-M34-N34</f>
        <v>0</v>
      </c>
    </row>
    <row r="35" spans="1:28" x14ac:dyDescent="0.25">
      <c r="A35" s="66"/>
      <c r="B35" s="7"/>
      <c r="D35" s="25"/>
      <c r="F35" s="25"/>
      <c r="G35" s="25"/>
      <c r="H35" s="25"/>
      <c r="J35" s="8"/>
      <c r="K35" s="23">
        <f>K34-D34</f>
        <v>-4111.8799999999974</v>
      </c>
      <c r="M35" s="23">
        <f>M34-F34</f>
        <v>-3191.0064959999982</v>
      </c>
      <c r="N35" s="28">
        <f>N34-H34</f>
        <v>-920.87350400000105</v>
      </c>
      <c r="O35" s="27">
        <f>O34-I34</f>
        <v>3346.8364999999999</v>
      </c>
      <c r="P35" s="27"/>
      <c r="R35" s="144"/>
      <c r="T35" s="23"/>
      <c r="U35" s="23"/>
    </row>
    <row r="36" spans="1:28" x14ac:dyDescent="0.25">
      <c r="A36" s="66"/>
      <c r="B36" s="7"/>
      <c r="D36" s="25"/>
      <c r="F36" s="25"/>
      <c r="G36" s="25"/>
      <c r="H36" s="25"/>
      <c r="J36" s="8"/>
      <c r="K36" s="25"/>
      <c r="L36" s="28"/>
      <c r="M36" s="2"/>
      <c r="N36" s="2"/>
      <c r="O36" s="27"/>
      <c r="P36" s="27"/>
      <c r="R36" s="144"/>
      <c r="T36" s="23"/>
      <c r="U36" s="23"/>
    </row>
    <row r="37" spans="1:28" x14ac:dyDescent="0.25">
      <c r="A37" s="66" t="s">
        <v>54</v>
      </c>
      <c r="B37" s="7" t="s">
        <v>13</v>
      </c>
      <c r="C37" s="40" t="s">
        <v>55</v>
      </c>
      <c r="D37" s="41">
        <v>223770.54</v>
      </c>
      <c r="E37" s="40"/>
      <c r="F37" s="41">
        <v>169013.71</v>
      </c>
      <c r="G37" s="41"/>
      <c r="H37" s="41">
        <v>54756.83</v>
      </c>
      <c r="I37" s="40"/>
      <c r="J37" s="67"/>
      <c r="K37" s="41">
        <v>185122.35</v>
      </c>
      <c r="L37" s="40"/>
      <c r="M37" s="41">
        <f>SUM(K37*$M$14)</f>
        <v>138638.12791500002</v>
      </c>
      <c r="N37" s="41">
        <f>SUM(K37*$N$14)</f>
        <v>46484.222085000001</v>
      </c>
      <c r="O37" s="60">
        <v>-1715.7</v>
      </c>
      <c r="P37" s="60">
        <v>-8834.6200000000008</v>
      </c>
      <c r="R37" s="145">
        <v>-8834.6200000000008</v>
      </c>
      <c r="T37" s="23">
        <f>D37-F37-H37</f>
        <v>0</v>
      </c>
      <c r="U37" s="23">
        <f>K37-M37-N37</f>
        <v>0</v>
      </c>
      <c r="V37" s="43" t="s">
        <v>56</v>
      </c>
      <c r="W37" s="43"/>
      <c r="X37" s="44"/>
      <c r="Y37" s="44"/>
      <c r="Z37" s="44"/>
      <c r="AA37" s="44"/>
      <c r="AB37" s="44"/>
    </row>
    <row r="38" spans="1:28" x14ac:dyDescent="0.25">
      <c r="A38" s="66"/>
      <c r="B38" s="7"/>
      <c r="D38" s="25"/>
      <c r="E38" s="23"/>
      <c r="F38" s="25"/>
      <c r="G38" s="25"/>
      <c r="H38" s="25"/>
      <c r="J38" s="8"/>
      <c r="K38" s="23">
        <f>K37-D37</f>
        <v>-38648.19</v>
      </c>
      <c r="M38" s="23">
        <f>M37-F37</f>
        <v>-30375.582084999973</v>
      </c>
      <c r="N38" s="23">
        <f>N37-H37</f>
        <v>-8272.6079150000005</v>
      </c>
      <c r="O38" s="27">
        <f>O37-I37</f>
        <v>-1715.7</v>
      </c>
      <c r="P38" s="27"/>
      <c r="R38" s="144"/>
      <c r="T38" s="23"/>
      <c r="U38" s="23"/>
      <c r="V38" s="44" t="s">
        <v>57</v>
      </c>
      <c r="W38" s="44"/>
      <c r="X38" s="44"/>
    </row>
    <row r="39" spans="1:28" x14ac:dyDescent="0.25">
      <c r="A39" s="66"/>
      <c r="B39" s="7"/>
      <c r="D39" s="25"/>
      <c r="E39" s="23"/>
      <c r="F39" s="25"/>
      <c r="G39" s="25"/>
      <c r="H39" s="25"/>
      <c r="J39" s="8"/>
      <c r="K39" s="25"/>
      <c r="L39" s="28"/>
      <c r="M39" s="2"/>
      <c r="N39" s="2"/>
      <c r="O39" s="27"/>
      <c r="P39" s="27"/>
      <c r="R39" s="144"/>
      <c r="T39" s="23"/>
      <c r="U39" s="23"/>
    </row>
    <row r="40" spans="1:28" x14ac:dyDescent="0.25">
      <c r="A40" s="66" t="s">
        <v>58</v>
      </c>
      <c r="B40" s="7" t="s">
        <v>13</v>
      </c>
      <c r="C40" s="47" t="s">
        <v>59</v>
      </c>
      <c r="D40" s="48"/>
      <c r="E40" s="47"/>
      <c r="F40" s="48"/>
      <c r="G40" s="48"/>
      <c r="H40" s="48">
        <v>5849.6263888888889</v>
      </c>
      <c r="I40" s="47"/>
      <c r="J40" s="8"/>
      <c r="K40" s="48">
        <v>12859.96</v>
      </c>
      <c r="L40" s="47"/>
      <c r="M40" s="48">
        <f>SUM(K40*$M$14)</f>
        <v>9630.824043999999</v>
      </c>
      <c r="N40" s="48">
        <f>SUM(K40*$N$14)</f>
        <v>3229.1359559999996</v>
      </c>
      <c r="O40" s="27">
        <v>-984.39400000000001</v>
      </c>
      <c r="P40" s="27">
        <f>N40-H40</f>
        <v>-2620.4904328888892</v>
      </c>
      <c r="R40" s="144">
        <v>-2620.4904328888892</v>
      </c>
      <c r="T40" s="23">
        <f>D40-F40-H40</f>
        <v>-5849.6263888888889</v>
      </c>
      <c r="U40" s="23">
        <f>K40-M40-N40</f>
        <v>0</v>
      </c>
    </row>
    <row r="41" spans="1:28" x14ac:dyDescent="0.25">
      <c r="A41" s="66"/>
      <c r="B41" s="7"/>
      <c r="C41" s="16" t="s">
        <v>82</v>
      </c>
      <c r="D41" s="2"/>
      <c r="F41" s="2"/>
      <c r="G41" s="25"/>
      <c r="H41" s="2"/>
      <c r="J41" s="8"/>
      <c r="K41" s="23">
        <f>K40-D40</f>
        <v>12859.96</v>
      </c>
      <c r="M41" s="23">
        <f>M40-F40</f>
        <v>9630.824043999999</v>
      </c>
      <c r="N41" s="28">
        <f>N40-H40</f>
        <v>-2620.4904328888892</v>
      </c>
      <c r="O41" s="27"/>
      <c r="P41" s="27"/>
      <c r="R41" s="144"/>
      <c r="T41" s="23"/>
      <c r="U41" s="23"/>
    </row>
    <row r="42" spans="1:28" x14ac:dyDescent="0.25">
      <c r="A42" s="66"/>
      <c r="B42" s="7"/>
      <c r="D42" s="2"/>
      <c r="F42" s="23" t="s">
        <v>60</v>
      </c>
      <c r="G42" s="25"/>
      <c r="J42" s="8"/>
      <c r="K42" s="50">
        <v>80959.37</v>
      </c>
      <c r="M42" s="2"/>
      <c r="N42" s="25"/>
      <c r="O42" s="27">
        <v>-20328.900000000001</v>
      </c>
      <c r="P42" s="27">
        <f>-K42*N14</f>
        <v>-20328.897806999998</v>
      </c>
      <c r="R42" s="144">
        <v>-20328.897806999998</v>
      </c>
      <c r="T42" s="23"/>
      <c r="U42" s="23"/>
      <c r="V42" s="5" t="s">
        <v>83</v>
      </c>
    </row>
    <row r="43" spans="1:28" ht="18.75" x14ac:dyDescent="0.3">
      <c r="A43" s="66"/>
      <c r="B43" s="7"/>
      <c r="D43" s="2"/>
      <c r="F43" s="2"/>
      <c r="G43" s="25"/>
      <c r="H43" s="160" t="s">
        <v>131</v>
      </c>
      <c r="L43" s="159"/>
      <c r="M43" s="160"/>
      <c r="N43" s="160"/>
      <c r="O43" s="51">
        <f>O22+O31+O34+O37+O40+O42</f>
        <v>-35161.187591000002</v>
      </c>
      <c r="P43" s="51">
        <f>P22+P31+P34+P37+P40+P42</f>
        <v>-53434.236834888885</v>
      </c>
      <c r="R43" s="146">
        <v>-53434.236834888885</v>
      </c>
      <c r="S43" s="5" t="s">
        <v>63</v>
      </c>
      <c r="T43" s="23"/>
      <c r="U43" s="23"/>
    </row>
    <row r="44" spans="1:28" x14ac:dyDescent="0.25">
      <c r="Q44" s="2"/>
      <c r="R44" s="2"/>
    </row>
    <row r="47" spans="1:28" x14ac:dyDescent="0.25">
      <c r="C47" s="6" t="s">
        <v>0</v>
      </c>
      <c r="D47" s="7" t="s">
        <v>1</v>
      </c>
      <c r="F47" s="62" t="s">
        <v>2</v>
      </c>
      <c r="G47" s="7"/>
      <c r="H47" s="62" t="s">
        <v>3</v>
      </c>
      <c r="K47" s="7" t="s">
        <v>1</v>
      </c>
      <c r="M47" s="62" t="s">
        <v>2</v>
      </c>
      <c r="N47" s="62"/>
      <c r="O47" s="62"/>
      <c r="P47" s="62" t="s">
        <v>3</v>
      </c>
    </row>
    <row r="48" spans="1:28" x14ac:dyDescent="0.25">
      <c r="C48" s="6" t="s">
        <v>4</v>
      </c>
      <c r="D48" s="52"/>
      <c r="F48" s="62"/>
      <c r="K48" s="54" t="s">
        <v>22</v>
      </c>
    </row>
    <row r="49" spans="1:21" x14ac:dyDescent="0.25">
      <c r="C49" s="6" t="s">
        <v>5</v>
      </c>
      <c r="D49" s="7"/>
      <c r="K49" s="7" t="s">
        <v>6</v>
      </c>
    </row>
    <row r="50" spans="1:21" x14ac:dyDescent="0.25">
      <c r="C50" s="6" t="s">
        <v>7</v>
      </c>
      <c r="D50" s="54"/>
      <c r="K50" s="52" t="s">
        <v>24</v>
      </c>
    </row>
    <row r="51" spans="1:21" x14ac:dyDescent="0.25">
      <c r="C51" s="6" t="s">
        <v>8</v>
      </c>
      <c r="D51" s="7"/>
      <c r="K51" s="7" t="s">
        <v>9</v>
      </c>
    </row>
    <row r="52" spans="1:21" x14ac:dyDescent="0.25">
      <c r="C52" s="6" t="s">
        <v>11</v>
      </c>
      <c r="D52" s="7"/>
      <c r="K52" s="7" t="s">
        <v>12</v>
      </c>
    </row>
    <row r="53" spans="1:21" x14ac:dyDescent="0.25">
      <c r="C53" s="6" t="s">
        <v>10</v>
      </c>
      <c r="D53" s="12"/>
      <c r="K53" s="12" t="s">
        <v>13</v>
      </c>
    </row>
    <row r="54" spans="1:21" x14ac:dyDescent="0.25">
      <c r="D54" s="55"/>
      <c r="K54" s="63" t="s">
        <v>25</v>
      </c>
    </row>
    <row r="55" spans="1:21" x14ac:dyDescent="0.25">
      <c r="D55" s="63" t="s">
        <v>61</v>
      </c>
      <c r="K55" s="63" t="str">
        <f t="shared" ref="K55" si="11">TEXT(K50&amp;"/1/"&amp;K48,"mmm yy")</f>
        <v>Mar 21</v>
      </c>
    </row>
    <row r="56" spans="1:21" x14ac:dyDescent="0.25">
      <c r="D56" s="15"/>
      <c r="F56" s="15"/>
      <c r="G56" s="16"/>
      <c r="H56" s="15"/>
      <c r="K56" s="15"/>
      <c r="M56" s="15"/>
      <c r="N56" s="16"/>
      <c r="O56" s="16"/>
      <c r="P56" s="15"/>
    </row>
    <row r="57" spans="1:21" x14ac:dyDescent="0.25">
      <c r="D57" s="285" t="s">
        <v>62</v>
      </c>
      <c r="E57" s="285"/>
      <c r="F57" s="285"/>
      <c r="G57" s="16"/>
      <c r="H57" s="15"/>
      <c r="K57" s="282" t="s">
        <v>18</v>
      </c>
      <c r="L57" s="282"/>
      <c r="M57" s="282"/>
      <c r="N57" s="282"/>
      <c r="O57" s="282"/>
      <c r="P57" s="282"/>
    </row>
    <row r="58" spans="1:21" ht="23.25" x14ac:dyDescent="0.35">
      <c r="D58" s="285"/>
      <c r="E58" s="285"/>
      <c r="F58" s="285"/>
      <c r="G58" s="16"/>
      <c r="H58" s="15"/>
      <c r="K58" s="15">
        <v>2021</v>
      </c>
      <c r="M58" s="17">
        <f>+M14</f>
        <v>0.74890000000000001</v>
      </c>
      <c r="N58" s="154" t="s">
        <v>101</v>
      </c>
      <c r="O58" s="16"/>
      <c r="R58" s="17">
        <f>+N14</f>
        <v>0.25109999999999999</v>
      </c>
      <c r="T58" s="5" t="s">
        <v>17</v>
      </c>
    </row>
    <row r="59" spans="1:21" x14ac:dyDescent="0.25">
      <c r="A59" s="4" t="s">
        <v>66</v>
      </c>
      <c r="B59" s="5" t="s">
        <v>27</v>
      </c>
      <c r="D59" s="4" t="s">
        <v>68</v>
      </c>
      <c r="F59" s="4" t="s">
        <v>19</v>
      </c>
      <c r="H59" s="4" t="s">
        <v>20</v>
      </c>
      <c r="K59" s="4" t="s">
        <v>68</v>
      </c>
      <c r="M59" s="4" t="s">
        <v>19</v>
      </c>
      <c r="N59" s="155" t="s">
        <v>15</v>
      </c>
      <c r="O59" s="68" t="s">
        <v>15</v>
      </c>
      <c r="R59" s="4" t="s">
        <v>20</v>
      </c>
    </row>
    <row r="60" spans="1:21" x14ac:dyDescent="0.25">
      <c r="A60" s="66" t="s">
        <v>28</v>
      </c>
      <c r="B60" s="7" t="s">
        <v>13</v>
      </c>
      <c r="C60" s="20" t="s">
        <v>29</v>
      </c>
      <c r="D60" s="21">
        <f>SUM('[4]Paste Special WA 5yr'!D14)/12</f>
        <v>14761.550000000001</v>
      </c>
      <c r="E60" s="20"/>
      <c r="F60" s="21">
        <f>SUM('[4]Paste Special WA 5yr'!F14)/12</f>
        <v>10845.024666666666</v>
      </c>
      <c r="G60" s="21"/>
      <c r="H60" s="21">
        <f>SUM('[4]Paste Special WA 5yr'!H14)/12</f>
        <v>3916.5253333333335</v>
      </c>
      <c r="I60" s="20"/>
      <c r="J60" s="67"/>
      <c r="K60" s="21">
        <v>211.82</v>
      </c>
      <c r="L60" s="20"/>
      <c r="M60" s="21">
        <f>SUM(K60*$M$58)</f>
        <v>158.63199800000001</v>
      </c>
      <c r="N60" s="156">
        <v>-10686.392668666665</v>
      </c>
      <c r="O60" s="58">
        <f t="shared" ref="O60:O65" si="12">M60-F60</f>
        <v>-10686.392668666665</v>
      </c>
      <c r="Q60" s="20"/>
      <c r="R60" s="21">
        <f t="shared" ref="R60:R65" si="13">SUM(K60*$R$58)</f>
        <v>53.188001999999997</v>
      </c>
      <c r="T60" s="23">
        <f t="shared" ref="T60:T65" si="14">D60-F60-H60</f>
        <v>0</v>
      </c>
      <c r="U60" s="23">
        <f t="shared" ref="U60:U65" si="15">K60-M60-R60</f>
        <v>0</v>
      </c>
    </row>
    <row r="61" spans="1:21" x14ac:dyDescent="0.25">
      <c r="A61" s="66" t="s">
        <v>30</v>
      </c>
      <c r="B61" s="7" t="s">
        <v>13</v>
      </c>
      <c r="C61" s="20" t="s">
        <v>31</v>
      </c>
      <c r="D61" s="21">
        <f>SUM('[4]Paste Special WA 5yr'!D15)/12</f>
        <v>3779.2791666666667</v>
      </c>
      <c r="E61" s="20"/>
      <c r="F61" s="21">
        <f>SUM('[4]Paste Special WA 5yr'!F15)/12</f>
        <v>2797.3644999999997</v>
      </c>
      <c r="G61" s="21"/>
      <c r="H61" s="21">
        <f>SUM('[4]Paste Special WA 5yr'!H15)/12</f>
        <v>981.91466666666656</v>
      </c>
      <c r="I61" s="20"/>
      <c r="J61" s="67"/>
      <c r="K61" s="21">
        <v>0</v>
      </c>
      <c r="L61" s="20"/>
      <c r="M61" s="21">
        <f t="shared" ref="M61:M65" si="16">SUM(K61*$M$58)</f>
        <v>0</v>
      </c>
      <c r="N61" s="157">
        <v>-2797.3644999999997</v>
      </c>
      <c r="O61" s="58">
        <f t="shared" si="12"/>
        <v>-2797.3644999999997</v>
      </c>
      <c r="Q61" s="20"/>
      <c r="R61" s="21">
        <f t="shared" si="13"/>
        <v>0</v>
      </c>
      <c r="T61" s="23">
        <f t="shared" si="14"/>
        <v>0</v>
      </c>
      <c r="U61" s="23">
        <f t="shared" si="15"/>
        <v>0</v>
      </c>
    </row>
    <row r="62" spans="1:21" x14ac:dyDescent="0.25">
      <c r="A62" s="66" t="s">
        <v>32</v>
      </c>
      <c r="B62" s="7" t="s">
        <v>13</v>
      </c>
      <c r="C62" s="20" t="s">
        <v>33</v>
      </c>
      <c r="D62" s="21">
        <f>SUM('[4]Paste Special WA 5yr'!D16)/12</f>
        <v>1259.5603333333331</v>
      </c>
      <c r="E62" s="20"/>
      <c r="F62" s="21">
        <f>SUM('[4]Paste Special WA 5yr'!F16)/12</f>
        <v>941.35399999999993</v>
      </c>
      <c r="G62" s="21"/>
      <c r="H62" s="21">
        <f>SUM('[4]Paste Special WA 5yr'!H16)/12</f>
        <v>318.20633333333336</v>
      </c>
      <c r="I62" s="20"/>
      <c r="J62" s="67"/>
      <c r="K62" s="21">
        <v>7.27</v>
      </c>
      <c r="L62" s="20"/>
      <c r="M62" s="21">
        <f t="shared" si="16"/>
        <v>5.4445030000000001</v>
      </c>
      <c r="N62" s="157">
        <v>-935.90949699999987</v>
      </c>
      <c r="O62" s="58">
        <f t="shared" si="12"/>
        <v>-935.90949699999987</v>
      </c>
      <c r="Q62" s="20"/>
      <c r="R62" s="21">
        <f t="shared" si="13"/>
        <v>1.8254969999999999</v>
      </c>
      <c r="T62" s="23">
        <f t="shared" si="14"/>
        <v>0</v>
      </c>
      <c r="U62" s="23">
        <f t="shared" si="15"/>
        <v>0</v>
      </c>
    </row>
    <row r="63" spans="1:21" x14ac:dyDescent="0.25">
      <c r="A63" s="66" t="s">
        <v>34</v>
      </c>
      <c r="B63" s="7" t="s">
        <v>13</v>
      </c>
      <c r="C63" s="20" t="s">
        <v>35</v>
      </c>
      <c r="D63" s="21">
        <f>SUM('[4]Paste Special WA 5yr'!D17)/12</f>
        <v>23419.128000000001</v>
      </c>
      <c r="E63" s="20"/>
      <c r="F63" s="21">
        <f>SUM('[4]Paste Special WA 5yr'!F17)/12</f>
        <v>16565.006833333333</v>
      </c>
      <c r="G63" s="21"/>
      <c r="H63" s="21">
        <f>SUM('[4]Paste Special WA 5yr'!H17)/12</f>
        <v>6854.1211666666668</v>
      </c>
      <c r="I63" s="20"/>
      <c r="J63" s="67"/>
      <c r="K63" s="21">
        <v>6177.3</v>
      </c>
      <c r="L63" s="20"/>
      <c r="M63" s="21">
        <f t="shared" si="16"/>
        <v>4626.1799700000001</v>
      </c>
      <c r="N63" s="157">
        <v>-11938.826863333332</v>
      </c>
      <c r="O63" s="58">
        <f t="shared" si="12"/>
        <v>-11938.826863333332</v>
      </c>
      <c r="Q63" s="20"/>
      <c r="R63" s="21">
        <f t="shared" si="13"/>
        <v>1551.12003</v>
      </c>
      <c r="T63" s="23">
        <f t="shared" si="14"/>
        <v>0</v>
      </c>
      <c r="U63" s="23">
        <f t="shared" si="15"/>
        <v>0</v>
      </c>
    </row>
    <row r="64" spans="1:21" x14ac:dyDescent="0.25">
      <c r="A64" s="66" t="s">
        <v>36</v>
      </c>
      <c r="B64" s="7" t="s">
        <v>13</v>
      </c>
      <c r="C64" s="20" t="s">
        <v>37</v>
      </c>
      <c r="D64" s="21">
        <f>SUM('[4]Paste Special WA 5yr'!D18)/12</f>
        <v>25420.995500000001</v>
      </c>
      <c r="E64" s="20"/>
      <c r="F64" s="21">
        <f>SUM('[4]Paste Special WA 5yr'!F18)/12</f>
        <v>18246.845166666666</v>
      </c>
      <c r="G64" s="21"/>
      <c r="H64" s="21">
        <f>SUM('[4]Paste Special WA 5yr'!H18)/12</f>
        <v>7174.1503333333339</v>
      </c>
      <c r="I64" s="20"/>
      <c r="J64" s="67"/>
      <c r="K64" s="21">
        <v>3508.43</v>
      </c>
      <c r="L64" s="20"/>
      <c r="M64" s="21">
        <f t="shared" si="16"/>
        <v>2627.4632269999997</v>
      </c>
      <c r="N64" s="157">
        <v>-15619.381939666666</v>
      </c>
      <c r="O64" s="58">
        <f t="shared" si="12"/>
        <v>-15619.381939666666</v>
      </c>
      <c r="Q64" s="20"/>
      <c r="R64" s="21">
        <f t="shared" si="13"/>
        <v>880.96677299999988</v>
      </c>
      <c r="T64" s="23">
        <f t="shared" si="14"/>
        <v>0</v>
      </c>
      <c r="U64" s="23">
        <f t="shared" si="15"/>
        <v>0</v>
      </c>
    </row>
    <row r="65" spans="1:21" x14ac:dyDescent="0.25">
      <c r="A65" s="66" t="s">
        <v>38</v>
      </c>
      <c r="B65" s="7" t="s">
        <v>13</v>
      </c>
      <c r="C65" s="20" t="s">
        <v>39</v>
      </c>
      <c r="D65" s="21">
        <f>SUM('[4]Paste Special WA 5yr'!D19)/12</f>
        <v>335.31433333333331</v>
      </c>
      <c r="E65" s="20"/>
      <c r="F65" s="21">
        <f>SUM('[4]Paste Special WA 5yr'!F19)/12</f>
        <v>255.99350000000001</v>
      </c>
      <c r="G65" s="21"/>
      <c r="H65" s="21">
        <f>SUM('[4]Paste Special WA 5yr'!H19)/12</f>
        <v>79.32083333333334</v>
      </c>
      <c r="I65" s="20"/>
      <c r="J65" s="67"/>
      <c r="K65" s="21">
        <v>0</v>
      </c>
      <c r="L65" s="24"/>
      <c r="M65" s="21">
        <f t="shared" si="16"/>
        <v>0</v>
      </c>
      <c r="N65" s="157">
        <v>-255.99350000000001</v>
      </c>
      <c r="O65" s="58">
        <f t="shared" si="12"/>
        <v>-255.99350000000001</v>
      </c>
      <c r="Q65" s="20"/>
      <c r="R65" s="21">
        <f t="shared" si="13"/>
        <v>0</v>
      </c>
      <c r="T65" s="23">
        <f t="shared" si="14"/>
        <v>0</v>
      </c>
      <c r="U65" s="23">
        <f t="shared" si="15"/>
        <v>0</v>
      </c>
    </row>
    <row r="66" spans="1:21" x14ac:dyDescent="0.25">
      <c r="A66" s="66"/>
      <c r="B66" s="7"/>
      <c r="D66" s="23">
        <f>SUM(D60:D65)</f>
        <v>68975.827333333335</v>
      </c>
      <c r="F66" s="23">
        <f>SUM(F60:F65)</f>
        <v>49651.588666666663</v>
      </c>
      <c r="G66" s="25"/>
      <c r="H66" s="23">
        <f>SUM(H60:H65)</f>
        <v>19324.238666666672</v>
      </c>
      <c r="J66" s="67"/>
      <c r="K66" s="23">
        <f>SUM(K60:K65)</f>
        <v>9904.82</v>
      </c>
      <c r="L66" s="23"/>
      <c r="M66" s="23">
        <f>SUM(M60:M65)</f>
        <v>7417.7196980000008</v>
      </c>
      <c r="N66" s="157">
        <v>-42233.868968666662</v>
      </c>
      <c r="O66" s="59">
        <f>SUM(O60:O65)</f>
        <v>-42233.868968666662</v>
      </c>
      <c r="R66" s="2">
        <f>SUM(R60:R65)</f>
        <v>2487.1003019999998</v>
      </c>
      <c r="T66" s="23"/>
      <c r="U66" s="23"/>
    </row>
    <row r="67" spans="1:21" x14ac:dyDescent="0.25">
      <c r="A67" s="66"/>
      <c r="B67" s="7"/>
      <c r="D67" s="23"/>
      <c r="F67" s="23"/>
      <c r="G67" s="25"/>
      <c r="H67" s="23"/>
      <c r="J67" s="67"/>
      <c r="K67" s="23">
        <f>K66-D66</f>
        <v>-59071.007333333335</v>
      </c>
      <c r="L67" s="23"/>
      <c r="M67" s="28">
        <f>M66-F66</f>
        <v>-42233.868968666662</v>
      </c>
      <c r="N67" s="156"/>
      <c r="O67" s="59"/>
      <c r="Q67" s="2"/>
      <c r="R67" s="2">
        <f>R66-H66</f>
        <v>-16837.138364666673</v>
      </c>
      <c r="T67" s="23"/>
      <c r="U67" s="23"/>
    </row>
    <row r="68" spans="1:21" x14ac:dyDescent="0.25">
      <c r="A68" s="66"/>
      <c r="B68" s="7"/>
      <c r="D68" s="23"/>
      <c r="F68" s="23"/>
      <c r="G68" s="25"/>
      <c r="H68" s="23"/>
      <c r="J68" s="67"/>
      <c r="K68" s="23"/>
      <c r="L68" s="23"/>
      <c r="M68" s="23"/>
      <c r="N68" s="156">
        <v>-178.32866666666669</v>
      </c>
      <c r="O68" s="59"/>
      <c r="Q68" s="2"/>
      <c r="R68" s="2"/>
      <c r="T68" s="23"/>
      <c r="U68" s="23"/>
    </row>
    <row r="69" spans="1:21" x14ac:dyDescent="0.25">
      <c r="A69" s="66"/>
      <c r="B69" s="7"/>
      <c r="D69" s="4" t="s">
        <v>68</v>
      </c>
      <c r="F69" s="4" t="s">
        <v>19</v>
      </c>
      <c r="H69" s="4" t="s">
        <v>20</v>
      </c>
      <c r="J69" s="67"/>
      <c r="K69" s="4" t="s">
        <v>68</v>
      </c>
      <c r="M69" s="4" t="s">
        <v>19</v>
      </c>
      <c r="N69" s="157">
        <v>-97.95</v>
      </c>
      <c r="O69" s="59"/>
      <c r="Q69" s="2"/>
      <c r="R69" s="4" t="s">
        <v>20</v>
      </c>
      <c r="T69" s="23"/>
      <c r="U69" s="23"/>
    </row>
    <row r="70" spans="1:21" x14ac:dyDescent="0.25">
      <c r="A70" s="66" t="s">
        <v>40</v>
      </c>
      <c r="B70" s="7" t="s">
        <v>13</v>
      </c>
      <c r="C70" s="30" t="s">
        <v>41</v>
      </c>
      <c r="D70" s="31">
        <f>SUM('[4]Paste Special WA 5yr'!D22)/12</f>
        <v>235.60100000000003</v>
      </c>
      <c r="E70" s="30"/>
      <c r="F70" s="31">
        <f>SUM('[4]Paste Special WA 5yr'!F22)/12</f>
        <v>178.32866666666669</v>
      </c>
      <c r="G70" s="30"/>
      <c r="H70" s="31">
        <f>SUM('[4]Paste Special WA 5yr'!H22)/12</f>
        <v>57.272333333333329</v>
      </c>
      <c r="I70" s="30"/>
      <c r="J70" s="67"/>
      <c r="K70" s="31">
        <v>0</v>
      </c>
      <c r="L70" s="30"/>
      <c r="M70" s="31">
        <f>SUM(K70*$M$58)</f>
        <v>0</v>
      </c>
      <c r="N70" s="157">
        <v>-871.45903933333375</v>
      </c>
      <c r="O70" s="58">
        <f t="shared" ref="O70:O75" si="17">M70-F70</f>
        <v>-178.32866666666669</v>
      </c>
      <c r="Q70" s="30"/>
      <c r="R70" s="31">
        <f t="shared" ref="R70:R75" si="18">SUM(K70*$R$58)</f>
        <v>0</v>
      </c>
      <c r="T70" s="23">
        <f>D70-F70-H70</f>
        <v>0</v>
      </c>
      <c r="U70" s="23">
        <f t="shared" ref="U70:U75" si="19">K70-M70-R70</f>
        <v>0</v>
      </c>
    </row>
    <row r="71" spans="1:21" x14ac:dyDescent="0.25">
      <c r="A71" s="66" t="s">
        <v>42</v>
      </c>
      <c r="B71" s="7" t="s">
        <v>13</v>
      </c>
      <c r="C71" s="30" t="s">
        <v>43</v>
      </c>
      <c r="D71" s="31">
        <f>SUM('[4]Paste Special WA 5yr'!D23)/12</f>
        <v>98.616666666666674</v>
      </c>
      <c r="E71" s="30"/>
      <c r="F71" s="31">
        <f>SUM('[4]Paste Special WA 5yr'!F23)/12</f>
        <v>97.95</v>
      </c>
      <c r="G71" s="30"/>
      <c r="H71" s="31">
        <f>SUM('[4]Paste Special WA 5yr'!H23)/12</f>
        <v>0.66666666666666663</v>
      </c>
      <c r="I71" s="30"/>
      <c r="J71" s="67"/>
      <c r="K71" s="31">
        <v>0</v>
      </c>
      <c r="L71" s="30"/>
      <c r="M71" s="31">
        <f t="shared" ref="M71:M75" si="20">SUM(K71*$M$58)</f>
        <v>0</v>
      </c>
      <c r="N71" s="157">
        <v>-362.63016666666664</v>
      </c>
      <c r="O71" s="58">
        <f t="shared" si="17"/>
        <v>-97.95</v>
      </c>
      <c r="Q71" s="30"/>
      <c r="R71" s="31">
        <f t="shared" si="18"/>
        <v>0</v>
      </c>
      <c r="T71" s="23">
        <f>ROUND(D71-F71-H71,2)</f>
        <v>0</v>
      </c>
      <c r="U71" s="23">
        <f t="shared" si="19"/>
        <v>0</v>
      </c>
    </row>
    <row r="72" spans="1:21" x14ac:dyDescent="0.25">
      <c r="A72" s="66" t="s">
        <v>44</v>
      </c>
      <c r="B72" s="7" t="s">
        <v>13</v>
      </c>
      <c r="C72" s="30" t="s">
        <v>45</v>
      </c>
      <c r="D72" s="31">
        <f>SUM('[4]Paste Special WA 5yr'!D24)/12</f>
        <v>9038.3494999999984</v>
      </c>
      <c r="E72" s="30"/>
      <c r="F72" s="31">
        <f>SUM('[4]Paste Special WA 5yr'!F24)/12</f>
        <v>6827.0563333333339</v>
      </c>
      <c r="G72" s="30"/>
      <c r="H72" s="31">
        <f>SUM('[4]Paste Special WA 5yr'!H24)/12</f>
        <v>2211.2931666666668</v>
      </c>
      <c r="I72" s="30"/>
      <c r="J72" s="67"/>
      <c r="K72" s="31">
        <v>7952.46</v>
      </c>
      <c r="L72" s="30"/>
      <c r="M72" s="31">
        <f t="shared" si="20"/>
        <v>5955.5972940000001</v>
      </c>
      <c r="N72" s="157">
        <v>420.00775066666756</v>
      </c>
      <c r="O72" s="58">
        <f t="shared" si="17"/>
        <v>-871.45903933333375</v>
      </c>
      <c r="Q72" s="30"/>
      <c r="R72" s="31">
        <f t="shared" si="18"/>
        <v>1996.8627059999999</v>
      </c>
      <c r="T72" s="23">
        <f>D72-F72-H72</f>
        <v>0</v>
      </c>
      <c r="U72" s="23">
        <f t="shared" si="19"/>
        <v>0</v>
      </c>
    </row>
    <row r="73" spans="1:21" x14ac:dyDescent="0.25">
      <c r="A73" s="66" t="s">
        <v>46</v>
      </c>
      <c r="B73" s="7" t="s">
        <v>13</v>
      </c>
      <c r="C73" s="30" t="s">
        <v>47</v>
      </c>
      <c r="D73" s="31">
        <f>SUM('[4]Paste Special WA 5yr'!D25)/12</f>
        <v>479.02249999999998</v>
      </c>
      <c r="E73" s="30"/>
      <c r="F73" s="31">
        <f>SUM('[4]Paste Special WA 5yr'!F25)/12</f>
        <v>362.63016666666664</v>
      </c>
      <c r="G73" s="30"/>
      <c r="H73" s="31">
        <f>SUM('[4]Paste Special WA 5yr'!H25)/12</f>
        <v>116.39233333333334</v>
      </c>
      <c r="I73" s="30"/>
      <c r="J73" s="67"/>
      <c r="K73" s="31">
        <v>0</v>
      </c>
      <c r="L73" s="30"/>
      <c r="M73" s="31">
        <f t="shared" si="20"/>
        <v>0</v>
      </c>
      <c r="N73" s="157">
        <v>-1078.6363333333334</v>
      </c>
      <c r="O73" s="58">
        <f t="shared" si="17"/>
        <v>-362.63016666666664</v>
      </c>
      <c r="Q73" s="30"/>
      <c r="R73" s="31">
        <f t="shared" si="18"/>
        <v>0</v>
      </c>
      <c r="T73" s="23">
        <f>D73-F73-H73</f>
        <v>0</v>
      </c>
      <c r="U73" s="23">
        <f t="shared" si="19"/>
        <v>0</v>
      </c>
    </row>
    <row r="74" spans="1:21" x14ac:dyDescent="0.25">
      <c r="A74" s="66" t="s">
        <v>48</v>
      </c>
      <c r="B74" s="7" t="s">
        <v>13</v>
      </c>
      <c r="C74" s="30" t="s">
        <v>49</v>
      </c>
      <c r="D74" s="31">
        <f>SUM('[4]Paste Special WA 5yr'!D26)/12</f>
        <v>12340.912666666665</v>
      </c>
      <c r="E74" s="30"/>
      <c r="F74" s="31">
        <f>SUM('[4]Paste Special WA 5yr'!F26)/12</f>
        <v>8779.150333333333</v>
      </c>
      <c r="G74" s="30"/>
      <c r="H74" s="31">
        <f>SUM('[4]Paste Special WA 5yr'!H26)/12</f>
        <v>3561.7623333333336</v>
      </c>
      <c r="I74" s="30"/>
      <c r="J74" s="67"/>
      <c r="K74" s="31">
        <v>12283.56</v>
      </c>
      <c r="L74" s="30"/>
      <c r="M74" s="31">
        <f t="shared" si="20"/>
        <v>9199.1580840000006</v>
      </c>
      <c r="N74" s="157">
        <v>-2168.996455333333</v>
      </c>
      <c r="O74" s="58">
        <f t="shared" si="17"/>
        <v>420.00775066666756</v>
      </c>
      <c r="Q74" s="30"/>
      <c r="R74" s="31">
        <f t="shared" si="18"/>
        <v>3084.4019159999998</v>
      </c>
      <c r="T74" s="23">
        <f>D74-F74-H74</f>
        <v>0</v>
      </c>
      <c r="U74" s="23">
        <f t="shared" si="19"/>
        <v>0</v>
      </c>
    </row>
    <row r="75" spans="1:21" x14ac:dyDescent="0.25">
      <c r="A75" s="66" t="s">
        <v>50</v>
      </c>
      <c r="B75" s="7" t="s">
        <v>13</v>
      </c>
      <c r="C75" s="30" t="s">
        <v>51</v>
      </c>
      <c r="D75" s="31">
        <f>SUM('[4]Paste Special WA 5yr'!D27)/12</f>
        <v>1336.7904999999998</v>
      </c>
      <c r="E75" s="30"/>
      <c r="F75" s="31">
        <f>SUM('[4]Paste Special WA 5yr'!F27)/12</f>
        <v>1078.6363333333334</v>
      </c>
      <c r="G75" s="30"/>
      <c r="H75" s="31">
        <f>SUM('[4]Paste Special WA 5yr'!H27)/12</f>
        <v>258.15416666666664</v>
      </c>
      <c r="I75" s="30"/>
      <c r="J75" s="67"/>
      <c r="K75" s="31">
        <v>0</v>
      </c>
      <c r="L75" s="30"/>
      <c r="M75" s="31">
        <f t="shared" si="20"/>
        <v>0</v>
      </c>
      <c r="N75" s="156"/>
      <c r="O75" s="58">
        <f t="shared" si="17"/>
        <v>-1078.6363333333334</v>
      </c>
      <c r="Q75" s="30"/>
      <c r="R75" s="31">
        <f t="shared" si="18"/>
        <v>0</v>
      </c>
      <c r="T75" s="23">
        <f>D75-F75-H75</f>
        <v>0</v>
      </c>
      <c r="U75" s="23">
        <f t="shared" si="19"/>
        <v>0</v>
      </c>
    </row>
    <row r="76" spans="1:21" x14ac:dyDescent="0.25">
      <c r="A76" s="66"/>
      <c r="B76" s="7"/>
      <c r="D76" s="23">
        <f>SUM(D70:D75)</f>
        <v>23529.292833333329</v>
      </c>
      <c r="E76" s="23"/>
      <c r="F76" s="23">
        <f>SUM(F70:F75)</f>
        <v>17323.751833333332</v>
      </c>
      <c r="G76" s="25"/>
      <c r="H76" s="23">
        <f>SUM(H70:H75)</f>
        <v>6205.5410000000002</v>
      </c>
      <c r="J76" s="67"/>
      <c r="K76" s="23">
        <f>SUM(K70:K75)</f>
        <v>20236.02</v>
      </c>
      <c r="M76" s="23">
        <f>SUM(M70:M75)</f>
        <v>15154.755378000002</v>
      </c>
      <c r="N76" s="157">
        <v>4019.3670040000034</v>
      </c>
      <c r="O76" s="59">
        <f>SUM(O70:O75)</f>
        <v>-2168.996455333333</v>
      </c>
      <c r="R76" s="23">
        <f>SUM(R70:R75)</f>
        <v>5081.2646219999997</v>
      </c>
      <c r="T76" s="23"/>
      <c r="U76" s="23"/>
    </row>
    <row r="77" spans="1:21" x14ac:dyDescent="0.25">
      <c r="A77" s="66"/>
      <c r="B77" s="7"/>
      <c r="D77" s="25"/>
      <c r="E77" s="23"/>
      <c r="F77" s="25"/>
      <c r="G77" s="25"/>
      <c r="H77" s="25"/>
      <c r="J77" s="67"/>
      <c r="K77" s="23">
        <f>K76-D76</f>
        <v>-3293.2728333333289</v>
      </c>
      <c r="L77" s="28"/>
      <c r="M77" s="28">
        <f>M76-F76</f>
        <v>-2168.9964553333302</v>
      </c>
      <c r="N77" s="157">
        <v>4019.3670040000034</v>
      </c>
      <c r="O77" s="58"/>
      <c r="Q77" s="25"/>
      <c r="R77" s="23">
        <f>R76-H76</f>
        <v>-1124.2763780000005</v>
      </c>
      <c r="T77" s="23"/>
      <c r="U77" s="23"/>
    </row>
    <row r="78" spans="1:21" x14ac:dyDescent="0.25">
      <c r="A78" s="66"/>
      <c r="B78" s="7"/>
      <c r="D78" s="25"/>
      <c r="E78" s="23"/>
      <c r="F78" s="25"/>
      <c r="G78" s="25"/>
      <c r="H78" s="25"/>
      <c r="J78" s="67"/>
      <c r="K78" s="23"/>
      <c r="L78" s="28"/>
      <c r="M78" s="25"/>
      <c r="N78" s="156"/>
      <c r="O78" s="58"/>
      <c r="Q78" s="25"/>
      <c r="R78" s="25"/>
      <c r="T78" s="23"/>
      <c r="U78" s="23"/>
    </row>
    <row r="79" spans="1:21" x14ac:dyDescent="0.25">
      <c r="A79" s="66" t="s">
        <v>52</v>
      </c>
      <c r="B79" s="7" t="s">
        <v>13</v>
      </c>
      <c r="C79" s="36" t="s">
        <v>53</v>
      </c>
      <c r="D79" s="37">
        <f>SUM('[4]Paste Special WA 5yr'!D30)/12</f>
        <v>30235.661500000002</v>
      </c>
      <c r="E79" s="36"/>
      <c r="F79" s="37">
        <f>SUM('[4]Paste Special WA 5yr'!F30)/12</f>
        <v>22754.826499999999</v>
      </c>
      <c r="G79" s="36"/>
      <c r="H79" s="37">
        <f>SUM('[4]Paste Special WA 5yr'!H30)/12</f>
        <v>7480.835</v>
      </c>
      <c r="I79" s="36"/>
      <c r="J79" s="67"/>
      <c r="K79" s="37">
        <v>35751.360000000001</v>
      </c>
      <c r="L79" s="36"/>
      <c r="M79" s="37">
        <f t="shared" ref="M79" si="21">SUM(K79*$M$58)</f>
        <v>26774.193504000003</v>
      </c>
      <c r="N79" s="156">
        <v>-6092.3722222222223</v>
      </c>
      <c r="O79" s="69">
        <f>M79-F79</f>
        <v>4019.3670040000034</v>
      </c>
      <c r="Q79" s="36"/>
      <c r="R79" s="37">
        <f>SUM(K79*$R$58)</f>
        <v>8977.1664959999998</v>
      </c>
      <c r="T79" s="23">
        <f>D79-F79-H79</f>
        <v>0</v>
      </c>
      <c r="U79" s="23">
        <f>K79-M79-R79</f>
        <v>0</v>
      </c>
    </row>
    <row r="80" spans="1:21" x14ac:dyDescent="0.25">
      <c r="A80" s="66"/>
      <c r="B80" s="7"/>
      <c r="D80" s="25"/>
      <c r="F80" s="25"/>
      <c r="G80" s="25"/>
      <c r="H80" s="25"/>
      <c r="J80" s="67"/>
      <c r="K80" s="23">
        <f>K79-D79</f>
        <v>5515.6984999999986</v>
      </c>
      <c r="M80" s="28">
        <f>M79-F79</f>
        <v>4019.3670040000034</v>
      </c>
      <c r="N80" s="59"/>
      <c r="O80" s="59"/>
      <c r="R80" s="23">
        <f>R79-H79</f>
        <v>1496.3314959999998</v>
      </c>
      <c r="S80" s="28"/>
      <c r="T80" s="23"/>
      <c r="U80" s="23"/>
    </row>
    <row r="81" spans="1:28" x14ac:dyDescent="0.25">
      <c r="A81" s="66"/>
      <c r="B81" s="7"/>
      <c r="D81" s="25"/>
      <c r="F81" s="25"/>
      <c r="G81" s="25"/>
      <c r="H81" s="25"/>
      <c r="J81" s="67"/>
      <c r="K81" s="25"/>
      <c r="L81" s="28"/>
      <c r="M81" s="25"/>
      <c r="N81" s="59"/>
      <c r="O81" s="59"/>
      <c r="Q81" s="2"/>
      <c r="R81" s="25"/>
      <c r="S81" s="28"/>
      <c r="T81" s="23"/>
      <c r="U81" s="23"/>
    </row>
    <row r="82" spans="1:28" x14ac:dyDescent="0.25">
      <c r="A82" s="66" t="s">
        <v>54</v>
      </c>
      <c r="B82" s="7" t="s">
        <v>13</v>
      </c>
      <c r="C82" s="40" t="s">
        <v>55</v>
      </c>
      <c r="D82" s="41">
        <f>SUM('[4]Paste Special WA 5yr'!D33)/12</f>
        <v>158545.38866666667</v>
      </c>
      <c r="E82" s="40"/>
      <c r="F82" s="41">
        <f>SUM('[4]Paste Special WA 5yr'!F33)/12</f>
        <v>117254.6565</v>
      </c>
      <c r="G82" s="40"/>
      <c r="H82" s="41">
        <f>SUM('[4]Paste Special WA 5yr'!H33)/12</f>
        <v>41290.732166666668</v>
      </c>
      <c r="I82" s="40"/>
      <c r="J82" s="67"/>
      <c r="K82" s="41">
        <v>185122.35</v>
      </c>
      <c r="L82" s="40"/>
      <c r="M82" s="41">
        <f t="shared" ref="M82" si="22">SUM(K82*$M$58)</f>
        <v>138638.12791500002</v>
      </c>
      <c r="N82" s="158">
        <v>-6092.3722222222223</v>
      </c>
      <c r="O82" s="60">
        <v>-6553.88</v>
      </c>
      <c r="Q82" s="40"/>
      <c r="R82" s="41">
        <f>SUM(K82*$R$58)</f>
        <v>46484.222085000001</v>
      </c>
      <c r="T82" s="23">
        <f>D82-F82-H82</f>
        <v>0</v>
      </c>
      <c r="U82" s="23">
        <f>K82-M82-R82</f>
        <v>0</v>
      </c>
      <c r="V82" s="43" t="s">
        <v>56</v>
      </c>
      <c r="W82" s="43"/>
      <c r="X82" s="44"/>
      <c r="Y82" s="44"/>
      <c r="Z82" s="44"/>
      <c r="AA82" s="44"/>
      <c r="AB82" s="44"/>
    </row>
    <row r="83" spans="1:28" x14ac:dyDescent="0.25">
      <c r="A83" s="66"/>
      <c r="B83" s="7"/>
      <c r="D83" s="25"/>
      <c r="E83" s="23"/>
      <c r="F83" s="25"/>
      <c r="G83" s="25"/>
      <c r="H83" s="25"/>
      <c r="J83" s="8"/>
      <c r="K83" s="23">
        <f>K82-D82</f>
        <v>26576.96133333334</v>
      </c>
      <c r="M83" s="23">
        <f>M82-F82</f>
        <v>21383.471415000022</v>
      </c>
      <c r="N83" s="156"/>
      <c r="O83" s="59"/>
      <c r="R83" s="28">
        <f>R82-H82</f>
        <v>5193.4899183333328</v>
      </c>
      <c r="S83" s="28"/>
      <c r="T83" s="23"/>
      <c r="U83" s="23"/>
      <c r="V83" s="44" t="s">
        <v>57</v>
      </c>
      <c r="W83" s="44"/>
      <c r="X83" s="44"/>
    </row>
    <row r="84" spans="1:28" x14ac:dyDescent="0.25">
      <c r="A84" s="66"/>
      <c r="B84" s="7"/>
      <c r="D84" s="25"/>
      <c r="E84" s="23"/>
      <c r="F84" s="25"/>
      <c r="G84" s="25"/>
      <c r="H84" s="25"/>
      <c r="J84" s="8"/>
      <c r="K84" s="70"/>
      <c r="L84" s="28"/>
      <c r="M84" s="25"/>
      <c r="N84" s="156">
        <v>-6370.1234560000012</v>
      </c>
      <c r="O84" s="59"/>
      <c r="Q84" s="2"/>
      <c r="R84" s="25"/>
      <c r="S84" s="28"/>
      <c r="T84" s="23"/>
      <c r="U84" s="23"/>
    </row>
    <row r="85" spans="1:28" x14ac:dyDescent="0.25">
      <c r="A85" s="66" t="s">
        <v>58</v>
      </c>
      <c r="B85" s="7" t="s">
        <v>13</v>
      </c>
      <c r="C85" s="47" t="s">
        <v>59</v>
      </c>
      <c r="D85" s="48">
        <f>SUM('[4]Paste Special WA 5yr'!D36)/12</f>
        <v>21244.650333333335</v>
      </c>
      <c r="E85" s="48"/>
      <c r="F85" s="48">
        <f>SUM('[4]Paste Special WA 5yr'!F36)/12</f>
        <v>16000.9475</v>
      </c>
      <c r="G85" s="48"/>
      <c r="H85" s="48">
        <f>SUM('[4]Paste Special WA 5yr'!H36)/12</f>
        <v>5243.7028333333328</v>
      </c>
      <c r="I85" s="47"/>
      <c r="J85" s="8"/>
      <c r="K85" s="48">
        <v>12859.96</v>
      </c>
      <c r="L85" s="47"/>
      <c r="M85" s="48">
        <f t="shared" ref="M85" si="23">SUM(K85*$M$58)</f>
        <v>9630.824043999999</v>
      </c>
      <c r="N85" s="157">
        <v>-6370.1234560000012</v>
      </c>
      <c r="O85" s="69">
        <f>M85-F85</f>
        <v>-6370.1234560000012</v>
      </c>
      <c r="Q85" s="47"/>
      <c r="R85" s="48">
        <f>SUM(K85*$R$58)</f>
        <v>3229.1359559999996</v>
      </c>
      <c r="T85" s="23">
        <f>D85-F85-H85</f>
        <v>0</v>
      </c>
      <c r="U85" s="23">
        <f>K85-M85-R85</f>
        <v>0</v>
      </c>
    </row>
    <row r="86" spans="1:28" x14ac:dyDescent="0.25">
      <c r="A86" s="66"/>
      <c r="B86" s="7"/>
      <c r="D86" s="2"/>
      <c r="F86" s="2"/>
      <c r="G86" s="25"/>
      <c r="H86" s="2"/>
      <c r="K86" s="23">
        <f>K85-D85</f>
        <v>-8384.6903333333357</v>
      </c>
      <c r="M86" s="28">
        <f>M85-F85</f>
        <v>-6370.1234560000012</v>
      </c>
      <c r="N86" s="156">
        <v>-60630.472192999994</v>
      </c>
      <c r="O86" s="59"/>
      <c r="R86" s="28">
        <f>R85-H85</f>
        <v>-2014.5668773333332</v>
      </c>
      <c r="S86" s="28"/>
      <c r="T86" s="23"/>
      <c r="U86" s="23"/>
    </row>
    <row r="87" spans="1:28" x14ac:dyDescent="0.25">
      <c r="H87" s="23" t="s">
        <v>60</v>
      </c>
      <c r="K87" s="50">
        <v>80959.37</v>
      </c>
      <c r="N87" s="156">
        <v>-113476.4662912222</v>
      </c>
      <c r="O87" s="59">
        <f>-K87*M58</f>
        <v>-60630.472192999994</v>
      </c>
    </row>
    <row r="88" spans="1:28" x14ac:dyDescent="0.25">
      <c r="O88" s="51">
        <f>O66+O76+O79+O82+O85+O87</f>
        <v>-113937.97406899999</v>
      </c>
      <c r="P88" s="5" t="s">
        <v>63</v>
      </c>
    </row>
    <row r="89" spans="1:28" ht="18.75" x14ac:dyDescent="0.3">
      <c r="H89" s="160" t="s">
        <v>131</v>
      </c>
      <c r="I89" s="159"/>
      <c r="J89" s="160"/>
      <c r="K89" s="160"/>
      <c r="L89" s="160"/>
      <c r="O89" s="159">
        <f>+O88-N87</f>
        <v>-461.50777777779149</v>
      </c>
    </row>
  </sheetData>
  <mergeCells count="3">
    <mergeCell ref="K13:N13"/>
    <mergeCell ref="D57:F58"/>
    <mergeCell ref="K57:P57"/>
  </mergeCells>
  <pageMargins left="0.7" right="0.7" top="0.75" bottom="0.75" header="0.3" footer="0.3"/>
  <pageSetup scale="52" orientation="portrait" r:id="rId1"/>
  <colBreaks count="1" manualBreakCount="1">
    <brk id="22" min="1" max="87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Z88"/>
  <sheetViews>
    <sheetView showGridLines="0" view="pageBreakPreview" topLeftCell="A22" zoomScale="85" zoomScaleNormal="100" zoomScaleSheetLayoutView="85" workbookViewId="0">
      <selection activeCell="G18" sqref="G18"/>
    </sheetView>
  </sheetViews>
  <sheetFormatPr defaultRowHeight="15" x14ac:dyDescent="0.25"/>
  <cols>
    <col min="1" max="1" width="8.25" style="61" customWidth="1"/>
    <col min="2" max="2" width="2.5" style="5" customWidth="1"/>
    <col min="3" max="3" width="29.875" style="5" customWidth="1"/>
    <col min="4" max="4" width="11.625" style="5" bestFit="1" customWidth="1"/>
    <col min="5" max="5" width="10.125" style="5" hidden="1" customWidth="1"/>
    <col min="6" max="6" width="11.625" style="5" bestFit="1" customWidth="1"/>
    <col min="7" max="7" width="10.125" style="5" hidden="1" customWidth="1"/>
    <col min="8" max="8" width="11.125" style="5" customWidth="1"/>
    <col min="9" max="9" width="10.125" style="5" hidden="1" customWidth="1"/>
    <col min="10" max="10" width="3.125" style="5" customWidth="1"/>
    <col min="11" max="11" width="11.375" style="5" bestFit="1" customWidth="1"/>
    <col min="12" max="12" width="11.125" style="5" hidden="1" customWidth="1"/>
    <col min="13" max="13" width="11.625" style="5" bestFit="1" customWidth="1"/>
    <col min="14" max="14" width="11.375" style="5" bestFit="1" customWidth="1"/>
    <col min="15" max="15" width="11.125" style="5" customWidth="1"/>
    <col min="16" max="16" width="10.75" style="5" hidden="1" customWidth="1"/>
    <col min="17" max="17" width="8" style="5" customWidth="1"/>
    <col min="18" max="18" width="9" style="5" bestFit="1" customWidth="1"/>
    <col min="19" max="19" width="5.25" style="5" bestFit="1" customWidth="1"/>
    <col min="20" max="16384" width="9" style="5"/>
  </cols>
  <sheetData>
    <row r="2" spans="1:19" x14ac:dyDescent="0.25">
      <c r="C2" s="6" t="s">
        <v>0</v>
      </c>
      <c r="D2" s="7" t="s">
        <v>1</v>
      </c>
      <c r="F2" s="62" t="s">
        <v>2</v>
      </c>
      <c r="G2" s="62"/>
      <c r="H2" s="62" t="s">
        <v>3</v>
      </c>
      <c r="K2" s="7" t="s">
        <v>1</v>
      </c>
      <c r="M2" s="62" t="s">
        <v>2</v>
      </c>
      <c r="N2" s="62"/>
      <c r="O2" s="62" t="s">
        <v>3</v>
      </c>
    </row>
    <row r="3" spans="1:19" x14ac:dyDescent="0.25">
      <c r="C3" s="6" t="s">
        <v>4</v>
      </c>
      <c r="D3" s="52" t="s">
        <v>81</v>
      </c>
      <c r="K3" s="54" t="s">
        <v>22</v>
      </c>
    </row>
    <row r="4" spans="1:19" x14ac:dyDescent="0.25">
      <c r="C4" s="6" t="s">
        <v>5</v>
      </c>
      <c r="D4" s="7" t="s">
        <v>6</v>
      </c>
      <c r="K4" s="7" t="s">
        <v>6</v>
      </c>
    </row>
    <row r="5" spans="1:19" x14ac:dyDescent="0.25">
      <c r="C5" s="6" t="s">
        <v>7</v>
      </c>
      <c r="D5" s="94" t="s">
        <v>86</v>
      </c>
      <c r="K5" s="94" t="s">
        <v>86</v>
      </c>
    </row>
    <row r="6" spans="1:19" x14ac:dyDescent="0.25">
      <c r="C6" s="6" t="s">
        <v>8</v>
      </c>
      <c r="D6" s="7" t="s">
        <v>9</v>
      </c>
      <c r="K6" s="7" t="s">
        <v>9</v>
      </c>
    </row>
    <row r="7" spans="1:19" x14ac:dyDescent="0.25">
      <c r="C7" s="6" t="s">
        <v>11</v>
      </c>
      <c r="D7" s="7" t="s">
        <v>12</v>
      </c>
      <c r="K7" s="7" t="s">
        <v>12</v>
      </c>
    </row>
    <row r="8" spans="1:19" x14ac:dyDescent="0.25">
      <c r="C8" s="6" t="s">
        <v>10</v>
      </c>
      <c r="D8" s="12" t="s">
        <v>13</v>
      </c>
      <c r="K8" s="12" t="s">
        <v>13</v>
      </c>
    </row>
    <row r="9" spans="1:19" x14ac:dyDescent="0.25">
      <c r="D9" s="62" t="s">
        <v>25</v>
      </c>
      <c r="K9" s="63" t="s">
        <v>25</v>
      </c>
    </row>
    <row r="10" spans="1:19" x14ac:dyDescent="0.25">
      <c r="D10" s="62" t="str">
        <f t="shared" ref="D10" si="0">TEXT(D5&amp;"/1/"&amp;D3,"mmm yy")</f>
        <v>Apr 19</v>
      </c>
      <c r="K10" s="63" t="str">
        <f t="shared" ref="K10" si="1">TEXT(K5&amp;"/1/"&amp;K3,"mmm yy")</f>
        <v>Apr 21</v>
      </c>
    </row>
    <row r="11" spans="1:19" x14ac:dyDescent="0.25">
      <c r="D11" s="15"/>
      <c r="F11" s="15"/>
      <c r="G11" s="16"/>
      <c r="H11" s="15"/>
      <c r="K11" s="15"/>
      <c r="M11" s="15"/>
      <c r="N11" s="16"/>
      <c r="O11" s="15"/>
    </row>
    <row r="12" spans="1:19" x14ac:dyDescent="0.25">
      <c r="D12" s="15"/>
      <c r="E12" s="15"/>
      <c r="F12" s="15"/>
      <c r="G12" s="16"/>
      <c r="H12" s="15"/>
    </row>
    <row r="13" spans="1:19" x14ac:dyDescent="0.25">
      <c r="D13" s="15"/>
      <c r="F13" s="15"/>
      <c r="G13" s="16"/>
      <c r="H13" s="15"/>
      <c r="K13" s="284" t="s">
        <v>18</v>
      </c>
      <c r="L13" s="284"/>
      <c r="M13" s="284"/>
      <c r="N13" s="284"/>
      <c r="R13" s="5" t="s">
        <v>17</v>
      </c>
    </row>
    <row r="14" spans="1:19" x14ac:dyDescent="0.25">
      <c r="K14" s="15">
        <v>2021</v>
      </c>
      <c r="M14" s="17">
        <v>0.74890000000000001</v>
      </c>
      <c r="N14" s="17">
        <v>0.25109999999999999</v>
      </c>
    </row>
    <row r="15" spans="1:19" x14ac:dyDescent="0.25">
      <c r="A15" s="4" t="s">
        <v>66</v>
      </c>
      <c r="B15" s="5" t="s">
        <v>27</v>
      </c>
      <c r="D15" s="4">
        <v>2017</v>
      </c>
      <c r="K15" s="4" t="s">
        <v>67</v>
      </c>
      <c r="M15" s="64" t="s">
        <v>19</v>
      </c>
      <c r="N15" s="64" t="s">
        <v>20</v>
      </c>
      <c r="O15" s="72" t="s">
        <v>16</v>
      </c>
    </row>
    <row r="16" spans="1:19" x14ac:dyDescent="0.25">
      <c r="A16" s="66" t="s">
        <v>28</v>
      </c>
      <c r="B16" s="7" t="s">
        <v>13</v>
      </c>
      <c r="C16" s="20" t="s">
        <v>29</v>
      </c>
      <c r="D16" s="21">
        <v>11720.91</v>
      </c>
      <c r="E16" s="20"/>
      <c r="F16" s="21">
        <v>8881.09</v>
      </c>
      <c r="G16" s="21"/>
      <c r="H16" s="21">
        <v>2839.82</v>
      </c>
      <c r="I16" s="20"/>
      <c r="J16" s="67"/>
      <c r="K16" s="21">
        <v>1921.3</v>
      </c>
      <c r="L16" s="20"/>
      <c r="M16" s="21">
        <f t="shared" ref="M16:M21" si="2">SUM(K16*$M$14)</f>
        <v>1438.86157</v>
      </c>
      <c r="N16" s="21">
        <f t="shared" ref="N16:N21" si="3">SUM(K16*$N$14)</f>
        <v>482.43842999999998</v>
      </c>
      <c r="O16" s="22">
        <f>N16-H16</f>
        <v>-2357.38157</v>
      </c>
      <c r="R16" s="23">
        <f t="shared" ref="R16:R21" si="4">D16-F16-H16</f>
        <v>0</v>
      </c>
      <c r="S16" s="23">
        <f t="shared" ref="S16:S21" si="5">K16-M16-N16</f>
        <v>0</v>
      </c>
    </row>
    <row r="17" spans="1:19" x14ac:dyDescent="0.25">
      <c r="A17" s="66" t="s">
        <v>30</v>
      </c>
      <c r="B17" s="7" t="s">
        <v>13</v>
      </c>
      <c r="C17" s="20" t="s">
        <v>31</v>
      </c>
      <c r="D17" s="21">
        <v>2520.83</v>
      </c>
      <c r="E17" s="20"/>
      <c r="F17" s="21">
        <v>1894.9</v>
      </c>
      <c r="G17" s="21"/>
      <c r="H17" s="21">
        <v>625.92999999999995</v>
      </c>
      <c r="I17" s="20"/>
      <c r="J17" s="67"/>
      <c r="K17" s="21">
        <v>0</v>
      </c>
      <c r="L17" s="20"/>
      <c r="M17" s="21">
        <f t="shared" si="2"/>
        <v>0</v>
      </c>
      <c r="N17" s="21">
        <f t="shared" si="3"/>
        <v>0</v>
      </c>
      <c r="O17" s="22">
        <f>N17-H17</f>
        <v>-625.92999999999995</v>
      </c>
      <c r="R17" s="23">
        <f t="shared" si="4"/>
        <v>0</v>
      </c>
      <c r="S17" s="23">
        <f t="shared" si="5"/>
        <v>0</v>
      </c>
    </row>
    <row r="18" spans="1:19" x14ac:dyDescent="0.25">
      <c r="A18" s="66" t="s">
        <v>32</v>
      </c>
      <c r="B18" s="7" t="s">
        <v>13</v>
      </c>
      <c r="C18" s="20" t="s">
        <v>33</v>
      </c>
      <c r="D18" s="21">
        <v>1034.8900000000001</v>
      </c>
      <c r="E18" s="20"/>
      <c r="F18" s="21">
        <v>611.04</v>
      </c>
      <c r="G18" s="21"/>
      <c r="H18" s="21">
        <v>423.85</v>
      </c>
      <c r="I18" s="20"/>
      <c r="J18" s="67"/>
      <c r="K18" s="21">
        <v>0</v>
      </c>
      <c r="L18" s="20"/>
      <c r="M18" s="21">
        <f t="shared" si="2"/>
        <v>0</v>
      </c>
      <c r="N18" s="21">
        <f t="shared" si="3"/>
        <v>0</v>
      </c>
      <c r="O18" s="22">
        <f>N18-H18</f>
        <v>-423.85</v>
      </c>
      <c r="R18" s="23">
        <f t="shared" si="4"/>
        <v>0</v>
      </c>
      <c r="S18" s="23">
        <f t="shared" si="5"/>
        <v>0</v>
      </c>
    </row>
    <row r="19" spans="1:19" x14ac:dyDescent="0.25">
      <c r="A19" s="66" t="s">
        <v>34</v>
      </c>
      <c r="B19" s="7" t="s">
        <v>13</v>
      </c>
      <c r="C19" s="20" t="s">
        <v>35</v>
      </c>
      <c r="D19" s="21">
        <v>27962.66</v>
      </c>
      <c r="E19" s="20"/>
      <c r="F19" s="21">
        <v>20765.189999999999</v>
      </c>
      <c r="G19" s="21"/>
      <c r="H19" s="21">
        <v>7197.47</v>
      </c>
      <c r="I19" s="20"/>
      <c r="J19" s="67"/>
      <c r="K19" s="21">
        <v>6857.8</v>
      </c>
      <c r="L19" s="20"/>
      <c r="M19" s="21">
        <f t="shared" si="2"/>
        <v>5135.8064199999999</v>
      </c>
      <c r="N19" s="21">
        <f t="shared" si="3"/>
        <v>1721.9935800000001</v>
      </c>
      <c r="O19" s="22">
        <f>SUM(N19-H19)/2</f>
        <v>-2737.73821</v>
      </c>
      <c r="R19" s="23">
        <f t="shared" si="4"/>
        <v>0</v>
      </c>
      <c r="S19" s="23">
        <f t="shared" si="5"/>
        <v>0</v>
      </c>
    </row>
    <row r="20" spans="1:19" x14ac:dyDescent="0.25">
      <c r="A20" s="66" t="s">
        <v>36</v>
      </c>
      <c r="B20" s="7" t="s">
        <v>13</v>
      </c>
      <c r="C20" s="20" t="s">
        <v>37</v>
      </c>
      <c r="D20" s="21">
        <v>28379.21</v>
      </c>
      <c r="E20" s="20"/>
      <c r="F20" s="21">
        <v>21978.18</v>
      </c>
      <c r="G20" s="21"/>
      <c r="H20" s="21">
        <v>6401.03</v>
      </c>
      <c r="I20" s="20"/>
      <c r="J20" s="67"/>
      <c r="K20" s="21">
        <v>7581.55</v>
      </c>
      <c r="L20" s="20"/>
      <c r="M20" s="21">
        <f t="shared" si="2"/>
        <v>5677.822795</v>
      </c>
      <c r="N20" s="21">
        <f t="shared" si="3"/>
        <v>1903.7272049999999</v>
      </c>
      <c r="O20" s="22">
        <f>N20-H20</f>
        <v>-4497.3027949999996</v>
      </c>
      <c r="R20" s="23">
        <f t="shared" si="4"/>
        <v>0</v>
      </c>
      <c r="S20" s="23">
        <f t="shared" si="5"/>
        <v>0</v>
      </c>
    </row>
    <row r="21" spans="1:19" x14ac:dyDescent="0.25">
      <c r="A21" s="66" t="s">
        <v>38</v>
      </c>
      <c r="B21" s="7" t="s">
        <v>13</v>
      </c>
      <c r="C21" s="20" t="s">
        <v>39</v>
      </c>
      <c r="D21" s="21">
        <v>0</v>
      </c>
      <c r="E21" s="20"/>
      <c r="F21" s="21">
        <v>0</v>
      </c>
      <c r="G21" s="20"/>
      <c r="H21" s="21">
        <v>0</v>
      </c>
      <c r="I21" s="20"/>
      <c r="J21" s="67"/>
      <c r="K21" s="21">
        <v>0</v>
      </c>
      <c r="L21" s="20"/>
      <c r="M21" s="21">
        <f t="shared" si="2"/>
        <v>0</v>
      </c>
      <c r="N21" s="21">
        <f t="shared" si="3"/>
        <v>0</v>
      </c>
      <c r="O21" s="22">
        <f>N21-H21</f>
        <v>0</v>
      </c>
      <c r="R21" s="23">
        <f t="shared" si="4"/>
        <v>0</v>
      </c>
      <c r="S21" s="23">
        <f t="shared" si="5"/>
        <v>0</v>
      </c>
    </row>
    <row r="22" spans="1:19" x14ac:dyDescent="0.25">
      <c r="A22" s="66"/>
      <c r="B22" s="7"/>
      <c r="D22" s="23">
        <f>SUM(D16:D21)</f>
        <v>71618.5</v>
      </c>
      <c r="F22" s="23">
        <f>SUM(F16:F21)</f>
        <v>54130.399999999994</v>
      </c>
      <c r="G22" s="25"/>
      <c r="H22" s="23">
        <f>SUM(H16:H21)</f>
        <v>17488.099999999999</v>
      </c>
      <c r="J22" s="8"/>
      <c r="K22" s="23">
        <f>SUM(K16:K21)</f>
        <v>16360.650000000001</v>
      </c>
      <c r="M22" s="23">
        <f>SUM(M16:M21)</f>
        <v>12252.490785</v>
      </c>
      <c r="N22" s="23">
        <f>SUM(N16:N21)</f>
        <v>4108.1592149999997</v>
      </c>
      <c r="O22" s="27">
        <f>SUM(O16:O21)</f>
        <v>-10642.202574999999</v>
      </c>
      <c r="R22" s="23"/>
      <c r="S22" s="23"/>
    </row>
    <row r="23" spans="1:19" x14ac:dyDescent="0.25">
      <c r="A23" s="66"/>
      <c r="B23" s="7"/>
      <c r="D23" s="25"/>
      <c r="F23" s="25"/>
      <c r="G23" s="25"/>
      <c r="H23" s="25"/>
      <c r="J23" s="8"/>
      <c r="K23" s="23">
        <f>K22-D22</f>
        <v>-55257.85</v>
      </c>
      <c r="L23" s="23"/>
      <c r="M23" s="23">
        <f>M22-F22</f>
        <v>-41877.909214999992</v>
      </c>
      <c r="N23" s="28">
        <f>N22-H22+((H19-N19)/2)</f>
        <v>-10642.202574999999</v>
      </c>
      <c r="O23" s="27"/>
      <c r="R23" s="23"/>
      <c r="S23" s="23"/>
    </row>
    <row r="24" spans="1:19" x14ac:dyDescent="0.25">
      <c r="A24" s="66"/>
      <c r="B24" s="7"/>
      <c r="D24" s="25"/>
      <c r="F24" s="25"/>
      <c r="G24" s="25"/>
      <c r="H24" s="25"/>
      <c r="J24" s="8"/>
      <c r="K24" s="28"/>
      <c r="L24" s="28"/>
      <c r="M24" s="28"/>
      <c r="N24" s="28"/>
      <c r="O24" s="27"/>
      <c r="R24" s="23"/>
      <c r="S24" s="23"/>
    </row>
    <row r="25" spans="1:19" x14ac:dyDescent="0.25">
      <c r="A25" s="66" t="s">
        <v>40</v>
      </c>
      <c r="B25" s="7" t="s">
        <v>13</v>
      </c>
      <c r="C25" s="30" t="s">
        <v>41</v>
      </c>
      <c r="D25" s="31">
        <v>0</v>
      </c>
      <c r="E25" s="30"/>
      <c r="F25" s="31">
        <v>0</v>
      </c>
      <c r="G25" s="30"/>
      <c r="H25" s="31">
        <v>0</v>
      </c>
      <c r="I25" s="30"/>
      <c r="J25" s="67"/>
      <c r="K25" s="31">
        <v>0</v>
      </c>
      <c r="L25" s="30"/>
      <c r="M25" s="31">
        <f t="shared" ref="M25:M30" si="6">SUM(K25*$M$14)</f>
        <v>0</v>
      </c>
      <c r="N25" s="31">
        <f t="shared" ref="N25:N30" si="7">SUM(K25*$N$14)</f>
        <v>0</v>
      </c>
      <c r="O25" s="22">
        <f t="shared" ref="O25:O30" si="8">N25-H25</f>
        <v>0</v>
      </c>
      <c r="R25" s="23">
        <f t="shared" ref="R25:R30" si="9">D25-F25-H25</f>
        <v>0</v>
      </c>
      <c r="S25" s="23">
        <f t="shared" ref="S25:S30" si="10">K25-M25-N25</f>
        <v>0</v>
      </c>
    </row>
    <row r="26" spans="1:19" x14ac:dyDescent="0.25">
      <c r="A26" s="66" t="s">
        <v>42</v>
      </c>
      <c r="B26" s="7" t="s">
        <v>13</v>
      </c>
      <c r="C26" s="30" t="s">
        <v>43</v>
      </c>
      <c r="D26" s="31">
        <v>0</v>
      </c>
      <c r="E26" s="30"/>
      <c r="F26" s="31">
        <v>0</v>
      </c>
      <c r="G26" s="30"/>
      <c r="H26" s="31">
        <v>0</v>
      </c>
      <c r="I26" s="30"/>
      <c r="J26" s="67"/>
      <c r="K26" s="31">
        <v>0</v>
      </c>
      <c r="L26" s="30"/>
      <c r="M26" s="31">
        <f t="shared" si="6"/>
        <v>0</v>
      </c>
      <c r="N26" s="31">
        <f t="shared" si="7"/>
        <v>0</v>
      </c>
      <c r="O26" s="22">
        <f t="shared" si="8"/>
        <v>0</v>
      </c>
      <c r="R26" s="23">
        <f t="shared" si="9"/>
        <v>0</v>
      </c>
      <c r="S26" s="23">
        <f t="shared" si="10"/>
        <v>0</v>
      </c>
    </row>
    <row r="27" spans="1:19" x14ac:dyDescent="0.25">
      <c r="A27" s="66" t="s">
        <v>44</v>
      </c>
      <c r="B27" s="7" t="s">
        <v>13</v>
      </c>
      <c r="C27" s="30" t="s">
        <v>45</v>
      </c>
      <c r="D27" s="31">
        <v>7229.54</v>
      </c>
      <c r="E27" s="30"/>
      <c r="F27" s="31">
        <v>5513.76</v>
      </c>
      <c r="G27" s="30"/>
      <c r="H27" s="31">
        <v>1715.78</v>
      </c>
      <c r="I27" s="30"/>
      <c r="J27" s="67"/>
      <c r="K27" s="31">
        <v>7626.51</v>
      </c>
      <c r="L27" s="30"/>
      <c r="M27" s="31">
        <f t="shared" si="6"/>
        <v>5711.4933390000006</v>
      </c>
      <c r="N27" s="31">
        <f t="shared" si="7"/>
        <v>1915.0166609999999</v>
      </c>
      <c r="O27" s="22">
        <f t="shared" si="8"/>
        <v>199.23666099999991</v>
      </c>
      <c r="R27" s="23">
        <f t="shared" si="9"/>
        <v>0</v>
      </c>
      <c r="S27" s="23">
        <f t="shared" si="10"/>
        <v>0</v>
      </c>
    </row>
    <row r="28" spans="1:19" x14ac:dyDescent="0.25">
      <c r="A28" s="66" t="s">
        <v>46</v>
      </c>
      <c r="B28" s="7" t="s">
        <v>13</v>
      </c>
      <c r="C28" s="30" t="s">
        <v>47</v>
      </c>
      <c r="D28" s="31">
        <v>0</v>
      </c>
      <c r="E28" s="30"/>
      <c r="F28" s="31">
        <v>0</v>
      </c>
      <c r="G28" s="30"/>
      <c r="H28" s="31">
        <v>0</v>
      </c>
      <c r="I28" s="30"/>
      <c r="J28" s="67"/>
      <c r="K28" s="31">
        <v>0</v>
      </c>
      <c r="L28" s="30"/>
      <c r="M28" s="31">
        <f t="shared" si="6"/>
        <v>0</v>
      </c>
      <c r="N28" s="31">
        <f t="shared" si="7"/>
        <v>0</v>
      </c>
      <c r="O28" s="22">
        <f t="shared" si="8"/>
        <v>0</v>
      </c>
      <c r="R28" s="23">
        <f t="shared" si="9"/>
        <v>0</v>
      </c>
      <c r="S28" s="23">
        <f t="shared" si="10"/>
        <v>0</v>
      </c>
    </row>
    <row r="29" spans="1:19" x14ac:dyDescent="0.25">
      <c r="A29" s="66" t="s">
        <v>48</v>
      </c>
      <c r="B29" s="7" t="s">
        <v>13</v>
      </c>
      <c r="C29" s="30" t="s">
        <v>49</v>
      </c>
      <c r="D29" s="31">
        <v>13493.21</v>
      </c>
      <c r="E29" s="30"/>
      <c r="F29" s="31">
        <v>8988.4699999999993</v>
      </c>
      <c r="G29" s="30"/>
      <c r="H29" s="31">
        <v>4504.74</v>
      </c>
      <c r="I29" s="30"/>
      <c r="J29" s="67"/>
      <c r="K29" s="31">
        <v>12357.97</v>
      </c>
      <c r="L29" s="30"/>
      <c r="M29" s="31">
        <f t="shared" si="6"/>
        <v>9254.8837329999988</v>
      </c>
      <c r="N29" s="31">
        <f t="shared" si="7"/>
        <v>3103.0862669999997</v>
      </c>
      <c r="O29" s="22">
        <f t="shared" si="8"/>
        <v>-1401.6537330000001</v>
      </c>
      <c r="R29" s="23">
        <f t="shared" si="9"/>
        <v>0</v>
      </c>
      <c r="S29" s="23">
        <f t="shared" si="10"/>
        <v>0</v>
      </c>
    </row>
    <row r="30" spans="1:19" x14ac:dyDescent="0.25">
      <c r="A30" s="66" t="s">
        <v>50</v>
      </c>
      <c r="B30" s="7" t="s">
        <v>13</v>
      </c>
      <c r="C30" s="30" t="s">
        <v>51</v>
      </c>
      <c r="D30" s="31">
        <v>0</v>
      </c>
      <c r="E30" s="30"/>
      <c r="F30" s="31">
        <v>0</v>
      </c>
      <c r="G30" s="30"/>
      <c r="H30" s="31">
        <v>0</v>
      </c>
      <c r="I30" s="32"/>
      <c r="J30" s="67"/>
      <c r="K30" s="31">
        <v>0</v>
      </c>
      <c r="L30" s="30"/>
      <c r="M30" s="31">
        <f t="shared" si="6"/>
        <v>0</v>
      </c>
      <c r="N30" s="31">
        <f t="shared" si="7"/>
        <v>0</v>
      </c>
      <c r="O30" s="22">
        <f t="shared" si="8"/>
        <v>0</v>
      </c>
      <c r="R30" s="23">
        <f t="shared" si="9"/>
        <v>0</v>
      </c>
      <c r="S30" s="23">
        <f t="shared" si="10"/>
        <v>0</v>
      </c>
    </row>
    <row r="31" spans="1:19" x14ac:dyDescent="0.25">
      <c r="A31" s="66"/>
      <c r="B31" s="7"/>
      <c r="D31" s="23">
        <f>SUM(D25:D30)</f>
        <v>20722.75</v>
      </c>
      <c r="E31" s="23"/>
      <c r="F31" s="23">
        <f>SUM(F25:F30)</f>
        <v>14502.23</v>
      </c>
      <c r="G31" s="25"/>
      <c r="H31" s="23">
        <f>SUM(H25:H30)</f>
        <v>6220.5199999999995</v>
      </c>
      <c r="J31" s="8"/>
      <c r="K31" s="23">
        <f>SUM(K25:K30)</f>
        <v>19984.48</v>
      </c>
      <c r="M31" s="23">
        <f>SUM(M25:M30)</f>
        <v>14966.377071999999</v>
      </c>
      <c r="N31" s="23">
        <f>SUM(N25:N30)</f>
        <v>5018.1029279999993</v>
      </c>
      <c r="O31" s="27">
        <f>SUM(O25:O30)</f>
        <v>-1202.4170720000002</v>
      </c>
      <c r="R31" s="23"/>
      <c r="S31" s="23"/>
    </row>
    <row r="32" spans="1:19" x14ac:dyDescent="0.25">
      <c r="A32" s="66"/>
      <c r="B32" s="7"/>
      <c r="D32" s="25"/>
      <c r="E32" s="23"/>
      <c r="F32" s="25"/>
      <c r="G32" s="25"/>
      <c r="H32" s="25"/>
      <c r="J32" s="8"/>
      <c r="K32" s="23">
        <f>K31-D31</f>
        <v>-738.27000000000044</v>
      </c>
      <c r="L32" s="23"/>
      <c r="M32" s="23">
        <f>M31-F31</f>
        <v>464.14707199999975</v>
      </c>
      <c r="N32" s="28">
        <f>N31-H31</f>
        <v>-1202.4170720000002</v>
      </c>
      <c r="O32" s="27"/>
      <c r="R32" s="23"/>
      <c r="S32" s="23"/>
    </row>
    <row r="33" spans="1:26" x14ac:dyDescent="0.25">
      <c r="A33" s="66"/>
      <c r="B33" s="7"/>
      <c r="D33" s="25"/>
      <c r="E33" s="23"/>
      <c r="F33" s="25"/>
      <c r="G33" s="25"/>
      <c r="H33" s="25"/>
      <c r="J33" s="8"/>
      <c r="K33" s="28"/>
      <c r="L33" s="28"/>
      <c r="M33" s="28"/>
      <c r="N33" s="28"/>
      <c r="O33" s="27"/>
      <c r="R33" s="23"/>
      <c r="S33" s="23"/>
    </row>
    <row r="34" spans="1:26" x14ac:dyDescent="0.25">
      <c r="A34" s="66" t="s">
        <v>52</v>
      </c>
      <c r="B34" s="7" t="s">
        <v>13</v>
      </c>
      <c r="C34" s="36" t="s">
        <v>53</v>
      </c>
      <c r="D34" s="37">
        <v>27524.55</v>
      </c>
      <c r="E34" s="36"/>
      <c r="F34" s="37">
        <v>20690.21</v>
      </c>
      <c r="G34" s="37"/>
      <c r="H34" s="37">
        <v>6834.34</v>
      </c>
      <c r="I34" s="36"/>
      <c r="J34" s="8"/>
      <c r="K34" s="37">
        <v>28249.759999999998</v>
      </c>
      <c r="L34" s="36"/>
      <c r="M34" s="37">
        <f>SUM(K34*$M$14)</f>
        <v>21156.245263999997</v>
      </c>
      <c r="N34" s="37">
        <f>SUM(K34*$N$14)</f>
        <v>7093.5147359999992</v>
      </c>
      <c r="O34" s="22">
        <f>N34-H34</f>
        <v>259.17473599999903</v>
      </c>
      <c r="R34" s="23">
        <f>D34-F34-H34</f>
        <v>0</v>
      </c>
      <c r="S34" s="23">
        <f>K34-M34-N34</f>
        <v>0</v>
      </c>
    </row>
    <row r="35" spans="1:26" x14ac:dyDescent="0.25">
      <c r="A35" s="66"/>
      <c r="B35" s="7"/>
      <c r="D35" s="25"/>
      <c r="F35" s="25"/>
      <c r="G35" s="25"/>
      <c r="H35" s="25"/>
      <c r="J35" s="8"/>
      <c r="K35" s="23">
        <f>K34-D34</f>
        <v>725.20999999999913</v>
      </c>
      <c r="M35" s="23">
        <f>M34-F34</f>
        <v>466.03526399999828</v>
      </c>
      <c r="N35" s="28">
        <f>N34-H34</f>
        <v>259.17473599999903</v>
      </c>
      <c r="O35" s="27"/>
      <c r="R35" s="23"/>
      <c r="S35" s="23"/>
    </row>
    <row r="36" spans="1:26" x14ac:dyDescent="0.25">
      <c r="A36" s="66"/>
      <c r="B36" s="7"/>
      <c r="D36" s="25"/>
      <c r="F36" s="25"/>
      <c r="G36" s="25"/>
      <c r="H36" s="25"/>
      <c r="J36" s="8"/>
      <c r="K36" s="25"/>
      <c r="L36" s="28"/>
      <c r="M36" s="2"/>
      <c r="N36" s="2"/>
      <c r="O36" s="27"/>
      <c r="R36" s="23"/>
      <c r="S36" s="23"/>
    </row>
    <row r="37" spans="1:26" x14ac:dyDescent="0.25">
      <c r="A37" s="66" t="s">
        <v>54</v>
      </c>
      <c r="B37" s="7" t="s">
        <v>13</v>
      </c>
      <c r="C37" s="40" t="s">
        <v>55</v>
      </c>
      <c r="D37" s="41">
        <v>176875.42</v>
      </c>
      <c r="E37" s="40"/>
      <c r="F37" s="41">
        <v>128191.3</v>
      </c>
      <c r="G37" s="41"/>
      <c r="H37" s="41">
        <v>48684.12</v>
      </c>
      <c r="I37" s="40"/>
      <c r="J37" s="67"/>
      <c r="K37" s="41">
        <v>182621.89</v>
      </c>
      <c r="L37" s="40"/>
      <c r="M37" s="41">
        <f>SUM(K37*$M$14)</f>
        <v>136765.533421</v>
      </c>
      <c r="N37" s="41">
        <f>SUM(K37*$N$14)</f>
        <v>45856.356578999999</v>
      </c>
      <c r="O37" s="60">
        <v>-4337.25</v>
      </c>
      <c r="R37" s="23">
        <f>D37-F37-H37</f>
        <v>0</v>
      </c>
      <c r="S37" s="23">
        <f>K37-M37-N37</f>
        <v>0</v>
      </c>
      <c r="T37" s="43" t="s">
        <v>56</v>
      </c>
      <c r="U37" s="43"/>
      <c r="V37" s="44"/>
      <c r="W37" s="44"/>
      <c r="X37" s="44"/>
      <c r="Y37" s="44"/>
      <c r="Z37" s="44"/>
    </row>
    <row r="38" spans="1:26" x14ac:dyDescent="0.25">
      <c r="A38" s="66"/>
      <c r="B38" s="7"/>
      <c r="D38" s="25"/>
      <c r="E38" s="23"/>
      <c r="F38" s="25"/>
      <c r="G38" s="25"/>
      <c r="H38" s="25"/>
      <c r="J38" s="8"/>
      <c r="K38" s="23">
        <f>K37-D37</f>
        <v>5746.4700000000012</v>
      </c>
      <c r="M38" s="23">
        <f>M37-F37</f>
        <v>8574.2334209999972</v>
      </c>
      <c r="N38" s="23">
        <f>N37-H37</f>
        <v>-2827.7634210000033</v>
      </c>
      <c r="O38" s="27"/>
      <c r="R38" s="23"/>
      <c r="S38" s="23"/>
      <c r="T38" s="44" t="s">
        <v>57</v>
      </c>
      <c r="U38" s="44"/>
      <c r="V38" s="44"/>
    </row>
    <row r="39" spans="1:26" x14ac:dyDescent="0.25">
      <c r="A39" s="66"/>
      <c r="B39" s="7"/>
      <c r="D39" s="25"/>
      <c r="E39" s="23"/>
      <c r="F39" s="25"/>
      <c r="G39" s="25"/>
      <c r="H39" s="25"/>
      <c r="J39" s="8"/>
      <c r="K39" s="25"/>
      <c r="L39" s="28"/>
      <c r="M39" s="2"/>
      <c r="N39" s="2"/>
      <c r="O39" s="27"/>
      <c r="R39" s="23"/>
      <c r="S39" s="23"/>
    </row>
    <row r="40" spans="1:26" x14ac:dyDescent="0.25">
      <c r="A40" s="66" t="s">
        <v>58</v>
      </c>
      <c r="B40" s="7" t="s">
        <v>13</v>
      </c>
      <c r="C40" s="47" t="s">
        <v>59</v>
      </c>
      <c r="D40" s="48"/>
      <c r="E40" s="47"/>
      <c r="F40" s="48"/>
      <c r="G40" s="48"/>
      <c r="H40" s="48">
        <f>('[5]Paste Special WA 5yr'!H38)/12</f>
        <v>5849.6263888888889</v>
      </c>
      <c r="I40" s="47"/>
      <c r="J40" s="8"/>
      <c r="K40" s="48">
        <v>14934.76</v>
      </c>
      <c r="L40" s="47"/>
      <c r="M40" s="48">
        <f>SUM(K40*$M$14)</f>
        <v>11184.641764</v>
      </c>
      <c r="N40" s="48">
        <f>SUM(K40*$N$14)</f>
        <v>3750.1182359999998</v>
      </c>
      <c r="O40" s="27">
        <f>N40-H40</f>
        <v>-2099.5081528888891</v>
      </c>
      <c r="R40" s="23">
        <v>0</v>
      </c>
      <c r="S40" s="23">
        <f>K40-M40-N40</f>
        <v>0</v>
      </c>
    </row>
    <row r="41" spans="1:26" x14ac:dyDescent="0.25">
      <c r="A41" s="66"/>
      <c r="B41" s="7"/>
      <c r="C41" s="16" t="s">
        <v>82</v>
      </c>
      <c r="D41" s="2"/>
      <c r="F41" s="2"/>
      <c r="G41" s="25"/>
      <c r="H41" s="2"/>
      <c r="J41" s="8"/>
      <c r="K41" s="23">
        <f>K40-D40</f>
        <v>14934.76</v>
      </c>
      <c r="M41" s="23">
        <f>M40-F40</f>
        <v>11184.641764</v>
      </c>
      <c r="N41" s="28">
        <f>N40-H40</f>
        <v>-2099.5081528888891</v>
      </c>
      <c r="O41" s="27"/>
      <c r="R41" s="23"/>
      <c r="S41" s="23"/>
      <c r="T41" s="5" t="s">
        <v>83</v>
      </c>
    </row>
    <row r="42" spans="1:26" x14ac:dyDescent="0.25">
      <c r="A42" s="66"/>
      <c r="B42" s="7"/>
      <c r="D42" s="2"/>
      <c r="F42" s="23" t="s">
        <v>60</v>
      </c>
      <c r="G42" s="25"/>
      <c r="J42" s="8"/>
      <c r="K42" s="50"/>
      <c r="M42" s="2"/>
      <c r="N42" s="25"/>
      <c r="O42" s="27">
        <f>-K42*N14</f>
        <v>0</v>
      </c>
      <c r="R42" s="23"/>
      <c r="S42" s="23"/>
    </row>
    <row r="43" spans="1:26" x14ac:dyDescent="0.25">
      <c r="A43" s="66"/>
      <c r="B43" s="7"/>
      <c r="D43" s="2"/>
      <c r="F43" s="2"/>
      <c r="G43" s="25"/>
      <c r="H43" s="2"/>
      <c r="K43" s="2"/>
      <c r="M43" s="2"/>
      <c r="N43" s="25"/>
      <c r="O43" s="51">
        <f>O22+O31+O34+O37+O40+O42</f>
        <v>-18022.20306388889</v>
      </c>
      <c r="R43" s="23"/>
      <c r="S43" s="23"/>
    </row>
    <row r="44" spans="1:26" x14ac:dyDescent="0.25">
      <c r="P44" s="2"/>
    </row>
    <row r="47" spans="1:26" x14ac:dyDescent="0.25">
      <c r="C47" s="6" t="s">
        <v>0</v>
      </c>
      <c r="D47" s="7" t="s">
        <v>1</v>
      </c>
      <c r="F47" s="62" t="s">
        <v>2</v>
      </c>
      <c r="G47" s="7"/>
      <c r="H47" s="62" t="s">
        <v>3</v>
      </c>
      <c r="K47" s="7" t="s">
        <v>1</v>
      </c>
      <c r="M47" s="62" t="s">
        <v>2</v>
      </c>
      <c r="N47" s="62"/>
      <c r="O47" s="62" t="s">
        <v>3</v>
      </c>
    </row>
    <row r="48" spans="1:26" x14ac:dyDescent="0.25">
      <c r="C48" s="6" t="s">
        <v>4</v>
      </c>
      <c r="D48" s="52"/>
      <c r="F48" s="62"/>
      <c r="K48" s="54" t="s">
        <v>22</v>
      </c>
    </row>
    <row r="49" spans="1:19" x14ac:dyDescent="0.25">
      <c r="C49" s="6" t="s">
        <v>5</v>
      </c>
      <c r="D49" s="7"/>
      <c r="K49" s="7" t="s">
        <v>6</v>
      </c>
    </row>
    <row r="50" spans="1:19" x14ac:dyDescent="0.25">
      <c r="C50" s="6" t="s">
        <v>7</v>
      </c>
      <c r="D50" s="54"/>
      <c r="K50" s="94" t="s">
        <v>86</v>
      </c>
    </row>
    <row r="51" spans="1:19" x14ac:dyDescent="0.25">
      <c r="C51" s="6" t="s">
        <v>8</v>
      </c>
      <c r="D51" s="7"/>
      <c r="K51" s="7" t="s">
        <v>9</v>
      </c>
    </row>
    <row r="52" spans="1:19" x14ac:dyDescent="0.25">
      <c r="C52" s="6" t="s">
        <v>11</v>
      </c>
      <c r="D52" s="7"/>
      <c r="K52" s="7" t="s">
        <v>12</v>
      </c>
    </row>
    <row r="53" spans="1:19" x14ac:dyDescent="0.25">
      <c r="C53" s="6" t="s">
        <v>10</v>
      </c>
      <c r="D53" s="12"/>
      <c r="K53" s="12" t="s">
        <v>13</v>
      </c>
    </row>
    <row r="54" spans="1:19" x14ac:dyDescent="0.25">
      <c r="D54" s="55"/>
      <c r="K54" s="63" t="s">
        <v>25</v>
      </c>
    </row>
    <row r="55" spans="1:19" x14ac:dyDescent="0.25">
      <c r="D55" s="63" t="s">
        <v>61</v>
      </c>
      <c r="K55" s="63" t="str">
        <f t="shared" ref="K55" si="11">TEXT(K50&amp;"/1/"&amp;K48,"mmm yy")</f>
        <v>Apr 21</v>
      </c>
    </row>
    <row r="56" spans="1:19" x14ac:dyDescent="0.25">
      <c r="D56" s="15"/>
      <c r="F56" s="15"/>
      <c r="G56" s="16"/>
      <c r="H56" s="15"/>
      <c r="K56" s="15"/>
      <c r="M56" s="15"/>
      <c r="N56" s="16"/>
      <c r="O56" s="15"/>
    </row>
    <row r="57" spans="1:19" x14ac:dyDescent="0.25">
      <c r="D57" s="285" t="s">
        <v>62</v>
      </c>
      <c r="E57" s="285"/>
      <c r="F57" s="285"/>
      <c r="G57" s="16"/>
      <c r="H57" s="15"/>
      <c r="K57" s="282" t="s">
        <v>18</v>
      </c>
      <c r="L57" s="282"/>
      <c r="M57" s="282"/>
      <c r="N57" s="282"/>
      <c r="O57" s="282"/>
    </row>
    <row r="58" spans="1:19" x14ac:dyDescent="0.25">
      <c r="D58" s="285"/>
      <c r="E58" s="285"/>
      <c r="F58" s="285"/>
      <c r="G58" s="16"/>
      <c r="H58" s="15"/>
      <c r="K58" s="15">
        <v>2021</v>
      </c>
      <c r="M58" s="17">
        <f>+M14</f>
        <v>0.74890000000000001</v>
      </c>
      <c r="N58" s="16"/>
      <c r="O58" s="17">
        <f>+N14</f>
        <v>0.25109999999999999</v>
      </c>
      <c r="R58" s="5" t="s">
        <v>17</v>
      </c>
    </row>
    <row r="59" spans="1:19" x14ac:dyDescent="0.25">
      <c r="A59" s="4" t="s">
        <v>66</v>
      </c>
      <c r="B59" s="5" t="s">
        <v>27</v>
      </c>
      <c r="D59" s="4" t="s">
        <v>68</v>
      </c>
      <c r="F59" s="4" t="s">
        <v>19</v>
      </c>
      <c r="H59" s="4" t="s">
        <v>20</v>
      </c>
      <c r="K59" s="4" t="s">
        <v>68</v>
      </c>
      <c r="M59" s="4" t="s">
        <v>19</v>
      </c>
      <c r="N59" s="68" t="s">
        <v>15</v>
      </c>
      <c r="O59" s="4" t="s">
        <v>20</v>
      </c>
    </row>
    <row r="60" spans="1:19" x14ac:dyDescent="0.25">
      <c r="A60" s="66" t="s">
        <v>28</v>
      </c>
      <c r="B60" s="7" t="s">
        <v>13</v>
      </c>
      <c r="C60" s="20" t="s">
        <v>29</v>
      </c>
      <c r="D60" s="21">
        <f>SUM('[5]Paste Special WA 5yr'!D15)/12</f>
        <v>14761.550000000001</v>
      </c>
      <c r="E60" s="20"/>
      <c r="F60" s="21">
        <f>SUM('[5]Paste Special WA 5yr'!F15)/12</f>
        <v>10845.024666666666</v>
      </c>
      <c r="G60" s="21"/>
      <c r="H60" s="21">
        <f>SUM('[5]Paste Special WA 5yr'!H15)/12</f>
        <v>3916.5253333333335</v>
      </c>
      <c r="I60" s="20"/>
      <c r="J60" s="67"/>
      <c r="K60" s="21">
        <v>1921.3</v>
      </c>
      <c r="L60" s="20"/>
      <c r="M60" s="21">
        <f>SUM(K60*$M$58)</f>
        <v>1438.86157</v>
      </c>
      <c r="N60" s="58">
        <f>M60-F60</f>
        <v>-9406.1630966666671</v>
      </c>
      <c r="O60" s="21">
        <f>SUM(K60*$O$58)</f>
        <v>482.43842999999998</v>
      </c>
      <c r="P60" s="20"/>
      <c r="R60" s="23">
        <f t="shared" ref="R60:R65" si="12">D60-F60-H60</f>
        <v>0</v>
      </c>
      <c r="S60" s="23">
        <f t="shared" ref="S60:S65" si="13">K60-M60-O60</f>
        <v>0</v>
      </c>
    </row>
    <row r="61" spans="1:19" x14ac:dyDescent="0.25">
      <c r="A61" s="66" t="s">
        <v>30</v>
      </c>
      <c r="B61" s="7" t="s">
        <v>13</v>
      </c>
      <c r="C61" s="20" t="s">
        <v>31</v>
      </c>
      <c r="D61" s="21">
        <f>SUM('[5]Paste Special WA 5yr'!D16)/12</f>
        <v>3779.2791666666667</v>
      </c>
      <c r="E61" s="20"/>
      <c r="F61" s="21">
        <f>SUM('[5]Paste Special WA 5yr'!F16)/12</f>
        <v>2797.3644999999997</v>
      </c>
      <c r="G61" s="21"/>
      <c r="H61" s="21">
        <f>SUM('[5]Paste Special WA 5yr'!H16)/12</f>
        <v>981.91466666666656</v>
      </c>
      <c r="I61" s="20"/>
      <c r="J61" s="67"/>
      <c r="K61" s="21">
        <v>0</v>
      </c>
      <c r="L61" s="20"/>
      <c r="M61" s="21">
        <f t="shared" ref="M61:M65" si="14">SUM(K61*$M$58)</f>
        <v>0</v>
      </c>
      <c r="N61" s="58">
        <f t="shared" ref="N61:N65" si="15">M61-F61</f>
        <v>-2797.3644999999997</v>
      </c>
      <c r="O61" s="21">
        <f t="shared" ref="O61:O65" si="16">SUM(K61*$O$58)</f>
        <v>0</v>
      </c>
      <c r="P61" s="20"/>
      <c r="R61" s="23">
        <f t="shared" si="12"/>
        <v>0</v>
      </c>
      <c r="S61" s="23">
        <f t="shared" si="13"/>
        <v>0</v>
      </c>
    </row>
    <row r="62" spans="1:19" x14ac:dyDescent="0.25">
      <c r="A62" s="66" t="s">
        <v>32</v>
      </c>
      <c r="B62" s="7" t="s">
        <v>13</v>
      </c>
      <c r="C62" s="20" t="s">
        <v>33</v>
      </c>
      <c r="D62" s="21">
        <f>SUM('[5]Paste Special WA 5yr'!D17)/12</f>
        <v>1259.5603333333331</v>
      </c>
      <c r="E62" s="20"/>
      <c r="F62" s="21">
        <f>SUM('[5]Paste Special WA 5yr'!F17)/12</f>
        <v>941.35399999999993</v>
      </c>
      <c r="G62" s="21"/>
      <c r="H62" s="21">
        <f>SUM('[5]Paste Special WA 5yr'!H17)/12</f>
        <v>318.20633333333336</v>
      </c>
      <c r="I62" s="20"/>
      <c r="J62" s="67"/>
      <c r="K62" s="21">
        <v>0</v>
      </c>
      <c r="L62" s="20"/>
      <c r="M62" s="21">
        <f t="shared" si="14"/>
        <v>0</v>
      </c>
      <c r="N62" s="58">
        <f t="shared" si="15"/>
        <v>-941.35399999999993</v>
      </c>
      <c r="O62" s="21">
        <f t="shared" si="16"/>
        <v>0</v>
      </c>
      <c r="P62" s="20"/>
      <c r="R62" s="23">
        <f t="shared" si="12"/>
        <v>0</v>
      </c>
      <c r="S62" s="23">
        <f t="shared" si="13"/>
        <v>0</v>
      </c>
    </row>
    <row r="63" spans="1:19" x14ac:dyDescent="0.25">
      <c r="A63" s="66" t="s">
        <v>34</v>
      </c>
      <c r="B63" s="7" t="s">
        <v>13</v>
      </c>
      <c r="C63" s="20" t="s">
        <v>35</v>
      </c>
      <c r="D63" s="21">
        <f>SUM('[5]Paste Special WA 5yr'!D18)/12</f>
        <v>23419.128000000001</v>
      </c>
      <c r="E63" s="20"/>
      <c r="F63" s="21">
        <f>SUM('[5]Paste Special WA 5yr'!F18)/12</f>
        <v>16565.006833333333</v>
      </c>
      <c r="G63" s="21"/>
      <c r="H63" s="21">
        <f>SUM('[5]Paste Special WA 5yr'!H18)/12</f>
        <v>6854.1211666666668</v>
      </c>
      <c r="I63" s="20"/>
      <c r="J63" s="67"/>
      <c r="K63" s="21">
        <v>6857.8</v>
      </c>
      <c r="L63" s="20"/>
      <c r="M63" s="21">
        <f t="shared" si="14"/>
        <v>5135.8064199999999</v>
      </c>
      <c r="N63" s="58">
        <f t="shared" si="15"/>
        <v>-11429.200413333332</v>
      </c>
      <c r="O63" s="21">
        <f t="shared" si="16"/>
        <v>1721.9935800000001</v>
      </c>
      <c r="P63" s="20"/>
      <c r="R63" s="23">
        <f t="shared" si="12"/>
        <v>0</v>
      </c>
      <c r="S63" s="23">
        <f t="shared" si="13"/>
        <v>0</v>
      </c>
    </row>
    <row r="64" spans="1:19" x14ac:dyDescent="0.25">
      <c r="A64" s="66" t="s">
        <v>36</v>
      </c>
      <c r="B64" s="7" t="s">
        <v>13</v>
      </c>
      <c r="C64" s="20" t="s">
        <v>37</v>
      </c>
      <c r="D64" s="21">
        <f>SUM('[5]Paste Special WA 5yr'!D19)/12</f>
        <v>25420.995500000001</v>
      </c>
      <c r="E64" s="20"/>
      <c r="F64" s="21">
        <f>SUM('[5]Paste Special WA 5yr'!F19)/12</f>
        <v>18246.845166666666</v>
      </c>
      <c r="G64" s="21"/>
      <c r="H64" s="21">
        <f>SUM('[5]Paste Special WA 5yr'!H19)/12</f>
        <v>7174.1503333333339</v>
      </c>
      <c r="I64" s="20"/>
      <c r="J64" s="67"/>
      <c r="K64" s="21">
        <v>7581.55</v>
      </c>
      <c r="L64" s="20"/>
      <c r="M64" s="21">
        <f t="shared" si="14"/>
        <v>5677.822795</v>
      </c>
      <c r="N64" s="58">
        <f t="shared" si="15"/>
        <v>-12569.022371666666</v>
      </c>
      <c r="O64" s="21">
        <f t="shared" si="16"/>
        <v>1903.7272049999999</v>
      </c>
      <c r="P64" s="20"/>
      <c r="R64" s="23">
        <f t="shared" si="12"/>
        <v>0</v>
      </c>
      <c r="S64" s="23">
        <f t="shared" si="13"/>
        <v>0</v>
      </c>
    </row>
    <row r="65" spans="1:19" x14ac:dyDescent="0.25">
      <c r="A65" s="66" t="s">
        <v>38</v>
      </c>
      <c r="B65" s="7" t="s">
        <v>13</v>
      </c>
      <c r="C65" s="20" t="s">
        <v>39</v>
      </c>
      <c r="D65" s="21">
        <f>SUM('[5]Paste Special WA 5yr'!D20)/12</f>
        <v>335.31433333333331</v>
      </c>
      <c r="E65" s="20"/>
      <c r="F65" s="21">
        <f>SUM('[5]Paste Special WA 5yr'!F20)/12</f>
        <v>255.99350000000001</v>
      </c>
      <c r="G65" s="21"/>
      <c r="H65" s="21">
        <f>SUM('[5]Paste Special WA 5yr'!H20)/12</f>
        <v>79.32083333333334</v>
      </c>
      <c r="I65" s="20"/>
      <c r="J65" s="67"/>
      <c r="K65" s="21">
        <v>0</v>
      </c>
      <c r="L65" s="24"/>
      <c r="M65" s="21">
        <f t="shared" si="14"/>
        <v>0</v>
      </c>
      <c r="N65" s="58">
        <f t="shared" si="15"/>
        <v>-255.99350000000001</v>
      </c>
      <c r="O65" s="21">
        <f t="shared" si="16"/>
        <v>0</v>
      </c>
      <c r="P65" s="20"/>
      <c r="R65" s="23">
        <f t="shared" si="12"/>
        <v>0</v>
      </c>
      <c r="S65" s="23">
        <f t="shared" si="13"/>
        <v>0</v>
      </c>
    </row>
    <row r="66" spans="1:19" x14ac:dyDescent="0.25">
      <c r="A66" s="66"/>
      <c r="B66" s="7"/>
      <c r="D66" s="23">
        <f>SUM(D60:D65)</f>
        <v>68975.827333333335</v>
      </c>
      <c r="F66" s="23">
        <f>SUM(F60:F65)</f>
        <v>49651.588666666663</v>
      </c>
      <c r="G66" s="25"/>
      <c r="H66" s="23">
        <f>SUM(H60:H65)</f>
        <v>19324.238666666672</v>
      </c>
      <c r="J66" s="67"/>
      <c r="K66" s="23">
        <f>SUM(K60:K65)</f>
        <v>16360.650000000001</v>
      </c>
      <c r="L66" s="23"/>
      <c r="M66" s="23">
        <f>SUM(M60:M65)</f>
        <v>12252.490785</v>
      </c>
      <c r="N66" s="59">
        <f>SUM(N60:N65)</f>
        <v>-37399.097881666661</v>
      </c>
      <c r="O66" s="2">
        <f>SUM(O60:O65)</f>
        <v>4108.1592149999997</v>
      </c>
      <c r="R66" s="23"/>
      <c r="S66" s="23"/>
    </row>
    <row r="67" spans="1:19" x14ac:dyDescent="0.25">
      <c r="A67" s="66"/>
      <c r="B67" s="7"/>
      <c r="D67" s="23"/>
      <c r="F67" s="23"/>
      <c r="G67" s="25"/>
      <c r="H67" s="23"/>
      <c r="J67" s="67"/>
      <c r="K67" s="23">
        <f>K66-D66</f>
        <v>-52615.177333333333</v>
      </c>
      <c r="L67" s="23"/>
      <c r="M67" s="28">
        <f>M66-F66</f>
        <v>-37399.097881666661</v>
      </c>
      <c r="N67" s="59"/>
      <c r="O67" s="2">
        <f>O66-H66</f>
        <v>-15216.079451666672</v>
      </c>
      <c r="P67" s="2"/>
      <c r="R67" s="23"/>
      <c r="S67" s="23"/>
    </row>
    <row r="68" spans="1:19" x14ac:dyDescent="0.25">
      <c r="A68" s="66"/>
      <c r="B68" s="7"/>
      <c r="D68" s="23"/>
      <c r="F68" s="23"/>
      <c r="G68" s="25"/>
      <c r="H68" s="23"/>
      <c r="J68" s="67"/>
      <c r="K68" s="23"/>
      <c r="L68" s="23"/>
      <c r="M68" s="23"/>
      <c r="N68" s="59"/>
      <c r="O68" s="2"/>
      <c r="P68" s="2"/>
      <c r="R68" s="23"/>
      <c r="S68" s="23"/>
    </row>
    <row r="69" spans="1:19" x14ac:dyDescent="0.25">
      <c r="A69" s="66"/>
      <c r="B69" s="7"/>
      <c r="D69" s="4" t="s">
        <v>68</v>
      </c>
      <c r="F69" s="4" t="s">
        <v>19</v>
      </c>
      <c r="H69" s="4" t="s">
        <v>20</v>
      </c>
      <c r="J69" s="67"/>
      <c r="K69" s="4" t="s">
        <v>68</v>
      </c>
      <c r="M69" s="4" t="s">
        <v>19</v>
      </c>
      <c r="N69" s="59"/>
      <c r="O69" s="4" t="s">
        <v>20</v>
      </c>
      <c r="P69" s="2"/>
      <c r="R69" s="23"/>
      <c r="S69" s="23"/>
    </row>
    <row r="70" spans="1:19" x14ac:dyDescent="0.25">
      <c r="A70" s="66" t="s">
        <v>40</v>
      </c>
      <c r="B70" s="7" t="s">
        <v>13</v>
      </c>
      <c r="C70" s="30" t="s">
        <v>41</v>
      </c>
      <c r="D70" s="31">
        <f>SUM('[5]Paste Special WA 5yr'!D23)/12</f>
        <v>235.60100000000003</v>
      </c>
      <c r="E70" s="30"/>
      <c r="F70" s="31">
        <f>SUM('[5]Paste Special WA 5yr'!F23)/12</f>
        <v>178.32866666666669</v>
      </c>
      <c r="G70" s="30"/>
      <c r="H70" s="31">
        <f>SUM('[5]Paste Special WA 5yr'!H23)/12</f>
        <v>57.272333333333329</v>
      </c>
      <c r="I70" s="30"/>
      <c r="J70" s="67"/>
      <c r="K70" s="31">
        <v>0</v>
      </c>
      <c r="L70" s="30"/>
      <c r="M70" s="31">
        <f>SUM(K70*$M$58)</f>
        <v>0</v>
      </c>
      <c r="N70" s="58">
        <f>M70-F70</f>
        <v>-178.32866666666669</v>
      </c>
      <c r="O70" s="31">
        <f>SUM(K70*$O$58)</f>
        <v>0</v>
      </c>
      <c r="P70" s="30"/>
      <c r="R70" s="23">
        <f t="shared" ref="R70:R75" si="17">D70-F70-H70</f>
        <v>0</v>
      </c>
      <c r="S70" s="23">
        <f t="shared" ref="S70:S75" si="18">K70-M70-O70</f>
        <v>0</v>
      </c>
    </row>
    <row r="71" spans="1:19" x14ac:dyDescent="0.25">
      <c r="A71" s="66" t="s">
        <v>42</v>
      </c>
      <c r="B71" s="7" t="s">
        <v>13</v>
      </c>
      <c r="C71" s="30" t="s">
        <v>43</v>
      </c>
      <c r="D71" s="31">
        <f>SUM('[5]Paste Special WA 5yr'!D24)/12</f>
        <v>98.616666666666674</v>
      </c>
      <c r="E71" s="30"/>
      <c r="F71" s="31">
        <f>SUM('[5]Paste Special WA 5yr'!F24)/12</f>
        <v>97.95</v>
      </c>
      <c r="G71" s="30"/>
      <c r="H71" s="31">
        <f>SUM('[5]Paste Special WA 5yr'!H24)/12</f>
        <v>0.66666666666666663</v>
      </c>
      <c r="I71" s="30"/>
      <c r="J71" s="67"/>
      <c r="K71" s="31">
        <v>0</v>
      </c>
      <c r="L71" s="30"/>
      <c r="M71" s="31">
        <f t="shared" ref="M71:M75" si="19">SUM(K71*$M$58)</f>
        <v>0</v>
      </c>
      <c r="N71" s="58">
        <f t="shared" ref="N71:N75" si="20">M71-F71</f>
        <v>-97.95</v>
      </c>
      <c r="O71" s="31">
        <f t="shared" ref="O71:O75" si="21">SUM(K71*$O$58)</f>
        <v>0</v>
      </c>
      <c r="P71" s="30"/>
      <c r="R71" s="23">
        <f>ROUND(D71-F71-H71,2)</f>
        <v>0</v>
      </c>
      <c r="S71" s="23">
        <f t="shared" si="18"/>
        <v>0</v>
      </c>
    </row>
    <row r="72" spans="1:19" x14ac:dyDescent="0.25">
      <c r="A72" s="66" t="s">
        <v>44</v>
      </c>
      <c r="B72" s="7" t="s">
        <v>13</v>
      </c>
      <c r="C72" s="30" t="s">
        <v>45</v>
      </c>
      <c r="D72" s="31">
        <f>SUM('[5]Paste Special WA 5yr'!D25)/12</f>
        <v>9038.3494999999984</v>
      </c>
      <c r="E72" s="30"/>
      <c r="F72" s="31">
        <f>SUM('[5]Paste Special WA 5yr'!F25)/12</f>
        <v>6827.0563333333339</v>
      </c>
      <c r="G72" s="30"/>
      <c r="H72" s="31">
        <f>SUM('[5]Paste Special WA 5yr'!H25)/12</f>
        <v>2211.2931666666668</v>
      </c>
      <c r="I72" s="30"/>
      <c r="J72" s="67"/>
      <c r="K72" s="31">
        <v>7626.51</v>
      </c>
      <c r="L72" s="30"/>
      <c r="M72" s="31">
        <f t="shared" si="19"/>
        <v>5711.4933390000006</v>
      </c>
      <c r="N72" s="58">
        <f t="shared" si="20"/>
        <v>-1115.5629943333333</v>
      </c>
      <c r="O72" s="31">
        <f t="shared" si="21"/>
        <v>1915.0166609999999</v>
      </c>
      <c r="P72" s="30"/>
      <c r="R72" s="23">
        <f t="shared" si="17"/>
        <v>0</v>
      </c>
      <c r="S72" s="23">
        <f t="shared" si="18"/>
        <v>0</v>
      </c>
    </row>
    <row r="73" spans="1:19" x14ac:dyDescent="0.25">
      <c r="A73" s="66" t="s">
        <v>46</v>
      </c>
      <c r="B73" s="7" t="s">
        <v>13</v>
      </c>
      <c r="C73" s="30" t="s">
        <v>47</v>
      </c>
      <c r="D73" s="31">
        <f>SUM('[5]Paste Special WA 5yr'!D26)/12</f>
        <v>479.02249999999998</v>
      </c>
      <c r="E73" s="30"/>
      <c r="F73" s="31">
        <f>SUM('[5]Paste Special WA 5yr'!F26)/12</f>
        <v>362.63016666666664</v>
      </c>
      <c r="G73" s="30"/>
      <c r="H73" s="31">
        <f>SUM('[5]Paste Special WA 5yr'!H26)/12</f>
        <v>116.39233333333334</v>
      </c>
      <c r="I73" s="30"/>
      <c r="J73" s="67"/>
      <c r="K73" s="31">
        <v>0</v>
      </c>
      <c r="L73" s="30"/>
      <c r="M73" s="31">
        <f t="shared" si="19"/>
        <v>0</v>
      </c>
      <c r="N73" s="58">
        <f t="shared" si="20"/>
        <v>-362.63016666666664</v>
      </c>
      <c r="O73" s="31">
        <f t="shared" si="21"/>
        <v>0</v>
      </c>
      <c r="P73" s="30"/>
      <c r="R73" s="23">
        <f t="shared" si="17"/>
        <v>0</v>
      </c>
      <c r="S73" s="23">
        <f t="shared" si="18"/>
        <v>0</v>
      </c>
    </row>
    <row r="74" spans="1:19" x14ac:dyDescent="0.25">
      <c r="A74" s="66" t="s">
        <v>48</v>
      </c>
      <c r="B74" s="7" t="s">
        <v>13</v>
      </c>
      <c r="C74" s="30" t="s">
        <v>49</v>
      </c>
      <c r="D74" s="31">
        <f>SUM('[5]Paste Special WA 5yr'!D27)/12</f>
        <v>12340.912666666665</v>
      </c>
      <c r="E74" s="30"/>
      <c r="F74" s="31">
        <f>SUM('[5]Paste Special WA 5yr'!F27)/12</f>
        <v>8779.150333333333</v>
      </c>
      <c r="G74" s="30"/>
      <c r="H74" s="31">
        <f>SUM('[5]Paste Special WA 5yr'!H27)/12</f>
        <v>3561.7623333333336</v>
      </c>
      <c r="I74" s="30"/>
      <c r="J74" s="67"/>
      <c r="K74" s="31">
        <v>12357.97</v>
      </c>
      <c r="L74" s="30"/>
      <c r="M74" s="31">
        <f t="shared" si="19"/>
        <v>9254.8837329999988</v>
      </c>
      <c r="N74" s="58">
        <f t="shared" si="20"/>
        <v>475.73339966666572</v>
      </c>
      <c r="O74" s="31">
        <f t="shared" si="21"/>
        <v>3103.0862669999997</v>
      </c>
      <c r="P74" s="30"/>
      <c r="R74" s="23">
        <f t="shared" si="17"/>
        <v>0</v>
      </c>
      <c r="S74" s="23">
        <f t="shared" si="18"/>
        <v>0</v>
      </c>
    </row>
    <row r="75" spans="1:19" x14ac:dyDescent="0.25">
      <c r="A75" s="66" t="s">
        <v>50</v>
      </c>
      <c r="B75" s="7" t="s">
        <v>13</v>
      </c>
      <c r="C75" s="30" t="s">
        <v>51</v>
      </c>
      <c r="D75" s="31">
        <f>SUM('[5]Paste Special WA 5yr'!D28)/12</f>
        <v>1336.7904999999998</v>
      </c>
      <c r="E75" s="30"/>
      <c r="F75" s="31">
        <f>SUM('[5]Paste Special WA 5yr'!F28)/12</f>
        <v>1078.6363333333334</v>
      </c>
      <c r="G75" s="30"/>
      <c r="H75" s="31">
        <f>SUM('[5]Paste Special WA 5yr'!H28)/12</f>
        <v>258.15416666666664</v>
      </c>
      <c r="I75" s="30"/>
      <c r="J75" s="67"/>
      <c r="K75" s="31">
        <v>0</v>
      </c>
      <c r="L75" s="30"/>
      <c r="M75" s="31">
        <f t="shared" si="19"/>
        <v>0</v>
      </c>
      <c r="N75" s="58">
        <f t="shared" si="20"/>
        <v>-1078.6363333333334</v>
      </c>
      <c r="O75" s="31">
        <f t="shared" si="21"/>
        <v>0</v>
      </c>
      <c r="P75" s="30"/>
      <c r="R75" s="23">
        <f t="shared" si="17"/>
        <v>0</v>
      </c>
      <c r="S75" s="23">
        <f t="shared" si="18"/>
        <v>0</v>
      </c>
    </row>
    <row r="76" spans="1:19" x14ac:dyDescent="0.25">
      <c r="A76" s="66"/>
      <c r="B76" s="7"/>
      <c r="D76" s="23">
        <f>SUM(D70:D75)</f>
        <v>23529.292833333329</v>
      </c>
      <c r="E76" s="23"/>
      <c r="F76" s="23">
        <f>SUM(F70:F75)</f>
        <v>17323.751833333332</v>
      </c>
      <c r="G76" s="25"/>
      <c r="H76" s="23">
        <f>SUM(H70:H75)</f>
        <v>6205.5410000000002</v>
      </c>
      <c r="J76" s="67"/>
      <c r="K76" s="23">
        <f>SUM(K70:K75)</f>
        <v>19984.48</v>
      </c>
      <c r="M76" s="23">
        <f>SUM(M70:M75)</f>
        <v>14966.377071999999</v>
      </c>
      <c r="N76" s="59">
        <f>SUM(N70:N75)</f>
        <v>-2357.3747613333344</v>
      </c>
      <c r="O76" s="23">
        <f>SUM(O70:O75)</f>
        <v>5018.1029279999993</v>
      </c>
      <c r="R76" s="23"/>
      <c r="S76" s="23"/>
    </row>
    <row r="77" spans="1:19" x14ac:dyDescent="0.25">
      <c r="A77" s="66"/>
      <c r="B77" s="7"/>
      <c r="D77" s="25"/>
      <c r="E77" s="23"/>
      <c r="F77" s="25"/>
      <c r="G77" s="25"/>
      <c r="H77" s="25"/>
      <c r="J77" s="67"/>
      <c r="K77" s="23">
        <f>K76-D76</f>
        <v>-3544.8128333333298</v>
      </c>
      <c r="L77" s="28"/>
      <c r="M77" s="28">
        <f>M76-F76</f>
        <v>-2357.3747613333326</v>
      </c>
      <c r="N77" s="58"/>
      <c r="O77" s="23">
        <f>O76-H76</f>
        <v>-1187.4380720000008</v>
      </c>
      <c r="P77" s="25"/>
      <c r="R77" s="23"/>
      <c r="S77" s="23"/>
    </row>
    <row r="78" spans="1:19" x14ac:dyDescent="0.25">
      <c r="A78" s="66"/>
      <c r="B78" s="7"/>
      <c r="D78" s="25"/>
      <c r="E78" s="23"/>
      <c r="F78" s="25"/>
      <c r="G78" s="25"/>
      <c r="H78" s="25"/>
      <c r="J78" s="67"/>
      <c r="K78" s="23"/>
      <c r="L78" s="28"/>
      <c r="M78" s="25"/>
      <c r="N78" s="58"/>
      <c r="O78" s="25"/>
      <c r="P78" s="25"/>
      <c r="R78" s="23"/>
      <c r="S78" s="23"/>
    </row>
    <row r="79" spans="1:19" x14ac:dyDescent="0.25">
      <c r="A79" s="66" t="s">
        <v>52</v>
      </c>
      <c r="B79" s="7" t="s">
        <v>13</v>
      </c>
      <c r="C79" s="36" t="s">
        <v>53</v>
      </c>
      <c r="D79" s="37">
        <f>SUM('[5]Paste Special WA 5yr'!D31)/12</f>
        <v>30235.661500000002</v>
      </c>
      <c r="E79" s="36"/>
      <c r="F79" s="37">
        <f>SUM('[5]Paste Special WA 5yr'!F31)/12</f>
        <v>22754.826499999999</v>
      </c>
      <c r="G79" s="36"/>
      <c r="H79" s="37">
        <f>SUM('[5]Paste Special WA 5yr'!H31)/12</f>
        <v>7480.835</v>
      </c>
      <c r="I79" s="36"/>
      <c r="J79" s="67"/>
      <c r="K79" s="37">
        <v>28249.759999999998</v>
      </c>
      <c r="L79" s="36"/>
      <c r="M79" s="37">
        <f t="shared" ref="M79" si="22">SUM(K79*$M$58)</f>
        <v>21156.245263999997</v>
      </c>
      <c r="N79" s="69">
        <f t="shared" ref="N79" si="23">M79-F79</f>
        <v>-1598.5812360000018</v>
      </c>
      <c r="O79" s="37">
        <f t="shared" ref="O79" si="24">SUM(K79*$O$58)</f>
        <v>7093.5147359999992</v>
      </c>
      <c r="P79" s="36"/>
      <c r="R79" s="23">
        <f>D79-F79-H79</f>
        <v>0</v>
      </c>
      <c r="S79" s="23">
        <f>K79-M79-O79</f>
        <v>0</v>
      </c>
    </row>
    <row r="80" spans="1:19" x14ac:dyDescent="0.25">
      <c r="A80" s="66"/>
      <c r="B80" s="7"/>
      <c r="D80" s="25"/>
      <c r="F80" s="25"/>
      <c r="G80" s="25"/>
      <c r="H80" s="25"/>
      <c r="J80" s="67"/>
      <c r="K80" s="23">
        <f>K79-D79</f>
        <v>-1985.9015000000036</v>
      </c>
      <c r="M80" s="28">
        <f>M79-F79</f>
        <v>-1598.5812360000018</v>
      </c>
      <c r="N80" s="59"/>
      <c r="O80" s="23">
        <f>O79-H79</f>
        <v>-387.32026400000086</v>
      </c>
      <c r="Q80" s="28"/>
      <c r="R80" s="23"/>
      <c r="S80" s="23"/>
    </row>
    <row r="81" spans="1:26" x14ac:dyDescent="0.25">
      <c r="A81" s="66"/>
      <c r="B81" s="7"/>
      <c r="D81" s="25"/>
      <c r="F81" s="25"/>
      <c r="G81" s="25"/>
      <c r="H81" s="25"/>
      <c r="J81" s="67"/>
      <c r="K81" s="25"/>
      <c r="L81" s="28"/>
      <c r="M81" s="25"/>
      <c r="N81" s="59"/>
      <c r="O81" s="25"/>
      <c r="P81" s="2"/>
      <c r="Q81" s="28"/>
      <c r="R81" s="23"/>
      <c r="S81" s="23"/>
    </row>
    <row r="82" spans="1:26" x14ac:dyDescent="0.25">
      <c r="A82" s="66" t="s">
        <v>54</v>
      </c>
      <c r="B82" s="7" t="s">
        <v>13</v>
      </c>
      <c r="C82" s="40" t="s">
        <v>55</v>
      </c>
      <c r="D82" s="41">
        <f>SUM('[5]Paste Special WA 5yr'!D34)/12</f>
        <v>158545.38866666667</v>
      </c>
      <c r="E82" s="40"/>
      <c r="F82" s="41">
        <f>SUM('[5]Paste Special WA 5yr'!F34)/12</f>
        <v>117254.6565</v>
      </c>
      <c r="G82" s="40"/>
      <c r="H82" s="41">
        <f>SUM('[5]Paste Special WA 5yr'!H34)/12</f>
        <v>41290.732166666668</v>
      </c>
      <c r="I82" s="40"/>
      <c r="J82" s="67"/>
      <c r="K82" s="41">
        <v>182621.89</v>
      </c>
      <c r="L82" s="40"/>
      <c r="M82" s="41">
        <f t="shared" ref="M82" si="25">SUM(K82*$M$58)</f>
        <v>136765.533421</v>
      </c>
      <c r="N82" s="60">
        <v>-5993</v>
      </c>
      <c r="O82" s="41">
        <f t="shared" ref="O82" si="26">SUM(K82*$O$58)</f>
        <v>45856.356578999999</v>
      </c>
      <c r="P82" s="40"/>
      <c r="R82" s="23">
        <f>D82-F82-H82</f>
        <v>0</v>
      </c>
      <c r="S82" s="23">
        <f>K82-M82-O82</f>
        <v>0</v>
      </c>
      <c r="T82" s="43" t="s">
        <v>56</v>
      </c>
      <c r="U82" s="43"/>
      <c r="V82" s="44"/>
      <c r="W82" s="44"/>
      <c r="X82" s="44"/>
      <c r="Y82" s="44"/>
      <c r="Z82" s="44"/>
    </row>
    <row r="83" spans="1:26" x14ac:dyDescent="0.25">
      <c r="A83" s="66"/>
      <c r="B83" s="7"/>
      <c r="D83" s="25"/>
      <c r="E83" s="23"/>
      <c r="F83" s="25"/>
      <c r="G83" s="25"/>
      <c r="H83" s="25"/>
      <c r="J83" s="8"/>
      <c r="K83" s="23">
        <f>K82-D82</f>
        <v>24076.501333333348</v>
      </c>
      <c r="M83" s="23">
        <f>M82-F82</f>
        <v>19510.876921000003</v>
      </c>
      <c r="N83" s="59"/>
      <c r="O83" s="28">
        <f>O82-H82</f>
        <v>4565.6244123333308</v>
      </c>
      <c r="Q83" s="28"/>
      <c r="R83" s="23"/>
      <c r="S83" s="23"/>
      <c r="T83" s="44" t="s">
        <v>57</v>
      </c>
      <c r="U83" s="44"/>
      <c r="V83" s="44"/>
    </row>
    <row r="84" spans="1:26" x14ac:dyDescent="0.25">
      <c r="A84" s="66"/>
      <c r="B84" s="7"/>
      <c r="D84" s="25"/>
      <c r="E84" s="23"/>
      <c r="F84" s="25"/>
      <c r="G84" s="25"/>
      <c r="H84" s="25"/>
      <c r="J84" s="8"/>
      <c r="K84" s="70"/>
      <c r="L84" s="28"/>
      <c r="M84" s="25"/>
      <c r="N84" s="59"/>
      <c r="O84" s="25"/>
      <c r="P84" s="2"/>
      <c r="Q84" s="28"/>
      <c r="R84" s="23"/>
      <c r="S84" s="23"/>
    </row>
    <row r="85" spans="1:26" x14ac:dyDescent="0.25">
      <c r="A85" s="66" t="s">
        <v>58</v>
      </c>
      <c r="B85" s="7" t="s">
        <v>13</v>
      </c>
      <c r="C85" s="47" t="s">
        <v>59</v>
      </c>
      <c r="D85" s="48">
        <f>SUM('[5]Paste Special WA 5yr'!D37)/12</f>
        <v>21244.650333333335</v>
      </c>
      <c r="E85" s="48"/>
      <c r="F85" s="48">
        <f>SUM('[5]Paste Special WA 5yr'!F37)/12</f>
        <v>16000.9475</v>
      </c>
      <c r="G85" s="48"/>
      <c r="H85" s="48">
        <f>SUM('[5]Paste Special WA 5yr'!H37)/12</f>
        <v>5243.7028333333328</v>
      </c>
      <c r="I85" s="47"/>
      <c r="J85" s="8"/>
      <c r="K85" s="48">
        <v>14934.76</v>
      </c>
      <c r="L85" s="47"/>
      <c r="M85" s="48">
        <f t="shared" ref="M85" si="27">SUM(K85*$M$58)</f>
        <v>11184.641764</v>
      </c>
      <c r="N85" s="69">
        <f t="shared" ref="N85" si="28">M85-F85</f>
        <v>-4816.3057360000003</v>
      </c>
      <c r="O85" s="48">
        <f t="shared" ref="O85" si="29">SUM(K85*$O$58)</f>
        <v>3750.1182359999998</v>
      </c>
      <c r="P85" s="47"/>
      <c r="R85" s="23">
        <f>D85-F85-H85</f>
        <v>0</v>
      </c>
      <c r="S85" s="23">
        <f t="shared" ref="S85" si="30">K85-M85-O85</f>
        <v>0</v>
      </c>
    </row>
    <row r="86" spans="1:26" x14ac:dyDescent="0.25">
      <c r="A86" s="66"/>
      <c r="B86" s="7"/>
      <c r="D86" s="2"/>
      <c r="F86" s="2"/>
      <c r="G86" s="25"/>
      <c r="H86" s="2"/>
      <c r="K86" s="23">
        <f>K85-D85</f>
        <v>-6309.8903333333346</v>
      </c>
      <c r="M86" s="28">
        <f>M85-F85</f>
        <v>-4816.3057360000003</v>
      </c>
      <c r="N86" s="59"/>
      <c r="O86" s="28">
        <f>O85-H85</f>
        <v>-1493.584597333333</v>
      </c>
      <c r="Q86" s="28"/>
      <c r="R86" s="23"/>
      <c r="S86" s="23"/>
    </row>
    <row r="87" spans="1:26" x14ac:dyDescent="0.25">
      <c r="H87" s="23" t="s">
        <v>60</v>
      </c>
      <c r="K87" s="50"/>
      <c r="N87" s="59">
        <f>-K87*M58</f>
        <v>0</v>
      </c>
    </row>
    <row r="88" spans="1:26" x14ac:dyDescent="0.25">
      <c r="N88" s="51">
        <f>N66+N76+N79+N82+N85+N87</f>
        <v>-52164.359615000001</v>
      </c>
    </row>
  </sheetData>
  <mergeCells count="3">
    <mergeCell ref="K13:N13"/>
    <mergeCell ref="D57:F58"/>
    <mergeCell ref="K57:O57"/>
  </mergeCells>
  <pageMargins left="0.7" right="0.7" top="0.75" bottom="0.75" header="0.3" footer="0.3"/>
  <pageSetup scale="53" orientation="portrait" r:id="rId1"/>
  <colBreaks count="1" manualBreakCount="1">
    <brk id="20" min="1" max="87" man="1"/>
  </colBreaks>
  <ignoredErrors>
    <ignoredError sqref="D3 K3 D5 K5 D7 K7 A16:A17" numberStoredAsText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B2:AA88"/>
  <sheetViews>
    <sheetView showGridLines="0" view="pageBreakPreview" topLeftCell="A25" zoomScaleNormal="100" zoomScaleSheetLayoutView="100" workbookViewId="0">
      <selection activeCell="G18" sqref="G18"/>
    </sheetView>
  </sheetViews>
  <sheetFormatPr defaultRowHeight="15" x14ac:dyDescent="0.25"/>
  <cols>
    <col min="1" max="1" width="2.5" style="5" customWidth="1"/>
    <col min="2" max="2" width="8.25" style="61" customWidth="1"/>
    <col min="3" max="3" width="2.5" style="5" customWidth="1"/>
    <col min="4" max="4" width="29.875" style="5" customWidth="1"/>
    <col min="5" max="5" width="11.625" style="5" bestFit="1" customWidth="1"/>
    <col min="6" max="6" width="10.125" style="5" hidden="1" customWidth="1"/>
    <col min="7" max="7" width="11.625" style="5" bestFit="1" customWidth="1"/>
    <col min="8" max="8" width="10.125" style="5" hidden="1" customWidth="1"/>
    <col min="9" max="9" width="11.125" style="5" customWidth="1"/>
    <col min="10" max="10" width="10.125" style="5" hidden="1" customWidth="1"/>
    <col min="11" max="11" width="3.125" style="5" customWidth="1"/>
    <col min="12" max="12" width="11.375" style="5" bestFit="1" customWidth="1"/>
    <col min="13" max="13" width="11.125" style="5" hidden="1" customWidth="1"/>
    <col min="14" max="14" width="11.625" style="5" bestFit="1" customWidth="1"/>
    <col min="15" max="15" width="11.375" style="5" bestFit="1" customWidth="1"/>
    <col min="16" max="16" width="11.125" style="5" customWidth="1"/>
    <col min="17" max="17" width="10.75" style="5" hidden="1" customWidth="1"/>
    <col min="18" max="18" width="2.375" style="5" customWidth="1"/>
    <col min="19" max="19" width="9" style="5" bestFit="1" customWidth="1"/>
    <col min="20" max="20" width="5.25" style="5" bestFit="1" customWidth="1"/>
    <col min="21" max="16384" width="9" style="5"/>
  </cols>
  <sheetData>
    <row r="2" spans="2:20" x14ac:dyDescent="0.25">
      <c r="D2" s="6" t="s">
        <v>0</v>
      </c>
      <c r="E2" s="7" t="s">
        <v>1</v>
      </c>
      <c r="G2" s="62" t="s">
        <v>2</v>
      </c>
      <c r="H2" s="62"/>
      <c r="I2" s="62" t="s">
        <v>3</v>
      </c>
      <c r="L2" s="7" t="s">
        <v>1</v>
      </c>
      <c r="N2" s="62" t="s">
        <v>2</v>
      </c>
      <c r="O2" s="62"/>
      <c r="P2" s="62" t="s">
        <v>3</v>
      </c>
    </row>
    <row r="3" spans="2:20" x14ac:dyDescent="0.25">
      <c r="D3" s="6" t="s">
        <v>4</v>
      </c>
      <c r="E3" s="52" t="s">
        <v>81</v>
      </c>
      <c r="L3" s="54" t="s">
        <v>22</v>
      </c>
    </row>
    <row r="4" spans="2:20" x14ac:dyDescent="0.25">
      <c r="D4" s="6" t="s">
        <v>5</v>
      </c>
      <c r="E4" s="7" t="s">
        <v>6</v>
      </c>
      <c r="L4" s="7" t="s">
        <v>6</v>
      </c>
    </row>
    <row r="5" spans="2:20" x14ac:dyDescent="0.25">
      <c r="D5" s="6" t="s">
        <v>7</v>
      </c>
      <c r="E5" s="94" t="s">
        <v>84</v>
      </c>
      <c r="L5" s="94" t="s">
        <v>84</v>
      </c>
    </row>
    <row r="6" spans="2:20" x14ac:dyDescent="0.25">
      <c r="D6" s="6" t="s">
        <v>8</v>
      </c>
      <c r="E6" s="7" t="s">
        <v>9</v>
      </c>
      <c r="L6" s="7" t="s">
        <v>9</v>
      </c>
    </row>
    <row r="7" spans="2:20" x14ac:dyDescent="0.25">
      <c r="D7" s="6" t="s">
        <v>11</v>
      </c>
      <c r="E7" s="7" t="s">
        <v>12</v>
      </c>
      <c r="L7" s="7" t="s">
        <v>12</v>
      </c>
    </row>
    <row r="8" spans="2:20" x14ac:dyDescent="0.25">
      <c r="D8" s="6" t="s">
        <v>10</v>
      </c>
      <c r="E8" s="12" t="s">
        <v>13</v>
      </c>
      <c r="L8" s="12" t="s">
        <v>13</v>
      </c>
    </row>
    <row r="9" spans="2:20" x14ac:dyDescent="0.25">
      <c r="E9" s="62" t="s">
        <v>25</v>
      </c>
      <c r="L9" s="63" t="s">
        <v>25</v>
      </c>
    </row>
    <row r="10" spans="2:20" x14ac:dyDescent="0.25">
      <c r="E10" s="62" t="str">
        <f>TEXT(E5&amp;"/1/"&amp;E3,"mmm yy")</f>
        <v>May 19</v>
      </c>
      <c r="L10" s="63" t="str">
        <f>TEXT(L5&amp;"/1/"&amp;L3,"mmm yy")</f>
        <v>May 21</v>
      </c>
    </row>
    <row r="11" spans="2:20" x14ac:dyDescent="0.25">
      <c r="E11" s="15"/>
      <c r="G11" s="15"/>
      <c r="H11" s="16"/>
      <c r="I11" s="15"/>
      <c r="L11" s="15"/>
      <c r="N11" s="15"/>
      <c r="O11" s="16"/>
      <c r="P11" s="15"/>
    </row>
    <row r="12" spans="2:20" x14ac:dyDescent="0.25">
      <c r="E12" s="15"/>
      <c r="F12" s="15"/>
      <c r="G12" s="15"/>
      <c r="H12" s="16"/>
      <c r="I12" s="15"/>
    </row>
    <row r="13" spans="2:20" x14ac:dyDescent="0.25">
      <c r="E13" s="15"/>
      <c r="G13" s="15"/>
      <c r="H13" s="16"/>
      <c r="I13" s="15"/>
      <c r="L13" s="284" t="s">
        <v>18</v>
      </c>
      <c r="M13" s="284"/>
      <c r="N13" s="284"/>
      <c r="O13" s="284"/>
      <c r="S13" s="5" t="s">
        <v>17</v>
      </c>
    </row>
    <row r="14" spans="2:20" x14ac:dyDescent="0.25">
      <c r="L14" s="15">
        <v>2021</v>
      </c>
      <c r="N14" s="17">
        <v>0.74890000000000001</v>
      </c>
      <c r="O14" s="17">
        <v>0.25109999999999999</v>
      </c>
    </row>
    <row r="15" spans="2:20" x14ac:dyDescent="0.25">
      <c r="B15" s="4" t="s">
        <v>66</v>
      </c>
      <c r="C15" s="5" t="s">
        <v>27</v>
      </c>
      <c r="E15" s="4">
        <v>2017</v>
      </c>
      <c r="L15" s="4" t="s">
        <v>67</v>
      </c>
      <c r="N15" s="64" t="s">
        <v>19</v>
      </c>
      <c r="O15" s="64" t="s">
        <v>20</v>
      </c>
      <c r="P15" s="72" t="s">
        <v>16</v>
      </c>
    </row>
    <row r="16" spans="2:20" x14ac:dyDescent="0.25">
      <c r="B16" s="66" t="s">
        <v>28</v>
      </c>
      <c r="C16" s="7" t="s">
        <v>13</v>
      </c>
      <c r="D16" s="20" t="s">
        <v>29</v>
      </c>
      <c r="E16" s="21">
        <v>11307.56</v>
      </c>
      <c r="F16" s="20"/>
      <c r="G16" s="21">
        <v>8759.9599999999991</v>
      </c>
      <c r="H16" s="21"/>
      <c r="I16" s="21">
        <v>2547.6</v>
      </c>
      <c r="J16" s="20"/>
      <c r="K16" s="67"/>
      <c r="L16" s="21">
        <v>97.81</v>
      </c>
      <c r="M16" s="20"/>
      <c r="N16" s="21">
        <f t="shared" ref="N16:N21" si="0">SUM(L16*$N$14)</f>
        <v>73.249909000000002</v>
      </c>
      <c r="O16" s="21">
        <f t="shared" ref="O16:O21" si="1">SUM(L16*$O$14)</f>
        <v>24.560091</v>
      </c>
      <c r="P16" s="22">
        <f>O16-I16</f>
        <v>-2523.0399090000001</v>
      </c>
      <c r="S16" s="23">
        <f t="shared" ref="S16:S21" si="2">E16-G16-I16</f>
        <v>0</v>
      </c>
      <c r="T16" s="23">
        <f t="shared" ref="T16:T21" si="3">L16-N16-O16</f>
        <v>0</v>
      </c>
    </row>
    <row r="17" spans="2:20" x14ac:dyDescent="0.25">
      <c r="B17" s="66" t="s">
        <v>30</v>
      </c>
      <c r="C17" s="7" t="s">
        <v>13</v>
      </c>
      <c r="D17" s="20" t="s">
        <v>31</v>
      </c>
      <c r="E17" s="21">
        <v>3149.38</v>
      </c>
      <c r="F17" s="20"/>
      <c r="G17" s="21">
        <v>2367.37</v>
      </c>
      <c r="H17" s="21"/>
      <c r="I17" s="21">
        <v>782.01</v>
      </c>
      <c r="J17" s="20"/>
      <c r="K17" s="67"/>
      <c r="L17" s="21">
        <v>0</v>
      </c>
      <c r="M17" s="20"/>
      <c r="N17" s="21">
        <f t="shared" si="0"/>
        <v>0</v>
      </c>
      <c r="O17" s="21">
        <f t="shared" si="1"/>
        <v>0</v>
      </c>
      <c r="P17" s="22">
        <f>O17-I17</f>
        <v>-782.01</v>
      </c>
      <c r="S17" s="23">
        <f t="shared" si="2"/>
        <v>0</v>
      </c>
      <c r="T17" s="23">
        <f t="shared" si="3"/>
        <v>0</v>
      </c>
    </row>
    <row r="18" spans="2:20" x14ac:dyDescent="0.25">
      <c r="B18" s="66" t="s">
        <v>32</v>
      </c>
      <c r="C18" s="7" t="s">
        <v>13</v>
      </c>
      <c r="D18" s="20" t="s">
        <v>33</v>
      </c>
      <c r="E18" s="21">
        <v>1177.5</v>
      </c>
      <c r="F18" s="20"/>
      <c r="G18" s="21">
        <v>880.18</v>
      </c>
      <c r="H18" s="21"/>
      <c r="I18" s="21">
        <v>297.32</v>
      </c>
      <c r="J18" s="20"/>
      <c r="K18" s="67"/>
      <c r="L18" s="21">
        <v>3.2</v>
      </c>
      <c r="M18" s="20"/>
      <c r="N18" s="21">
        <f t="shared" si="0"/>
        <v>2.3964799999999999</v>
      </c>
      <c r="O18" s="21">
        <f t="shared" si="1"/>
        <v>0.80352000000000001</v>
      </c>
      <c r="P18" s="22">
        <f>O18-I18</f>
        <v>-296.51648</v>
      </c>
      <c r="S18" s="23">
        <f t="shared" si="2"/>
        <v>0</v>
      </c>
      <c r="T18" s="23">
        <f t="shared" si="3"/>
        <v>0</v>
      </c>
    </row>
    <row r="19" spans="2:20" x14ac:dyDescent="0.25">
      <c r="B19" s="66" t="s">
        <v>34</v>
      </c>
      <c r="C19" s="7" t="s">
        <v>13</v>
      </c>
      <c r="D19" s="20" t="s">
        <v>35</v>
      </c>
      <c r="E19" s="21">
        <v>32820.699999999997</v>
      </c>
      <c r="F19" s="20"/>
      <c r="G19" s="21">
        <v>22477.35</v>
      </c>
      <c r="H19" s="21"/>
      <c r="I19" s="21">
        <v>10343.35</v>
      </c>
      <c r="J19" s="20"/>
      <c r="K19" s="67"/>
      <c r="L19" s="21">
        <v>9692.14</v>
      </c>
      <c r="M19" s="20"/>
      <c r="N19" s="21">
        <f t="shared" si="0"/>
        <v>7258.4436459999997</v>
      </c>
      <c r="O19" s="21">
        <f t="shared" si="1"/>
        <v>2433.6963539999997</v>
      </c>
      <c r="P19" s="22">
        <f>SUM(O19-I19)/2</f>
        <v>-3954.8268230000003</v>
      </c>
      <c r="S19" s="23">
        <f t="shared" si="2"/>
        <v>0</v>
      </c>
      <c r="T19" s="23">
        <f t="shared" si="3"/>
        <v>0</v>
      </c>
    </row>
    <row r="20" spans="2:20" x14ac:dyDescent="0.25">
      <c r="B20" s="66" t="s">
        <v>36</v>
      </c>
      <c r="C20" s="7" t="s">
        <v>13</v>
      </c>
      <c r="D20" s="20" t="s">
        <v>37</v>
      </c>
      <c r="E20" s="21">
        <v>37524.980000000003</v>
      </c>
      <c r="F20" s="20"/>
      <c r="G20" s="21">
        <v>25987.57</v>
      </c>
      <c r="H20" s="21"/>
      <c r="I20" s="21">
        <v>11537.41</v>
      </c>
      <c r="J20" s="20"/>
      <c r="K20" s="67"/>
      <c r="L20" s="21">
        <v>12517.03</v>
      </c>
      <c r="M20" s="20"/>
      <c r="N20" s="21">
        <f t="shared" si="0"/>
        <v>9374.0037670000002</v>
      </c>
      <c r="O20" s="21">
        <f t="shared" si="1"/>
        <v>3143.026233</v>
      </c>
      <c r="P20" s="22">
        <f>O20-I20</f>
        <v>-8394.3837669999994</v>
      </c>
      <c r="S20" s="23">
        <f t="shared" si="2"/>
        <v>0</v>
      </c>
      <c r="T20" s="23">
        <f t="shared" si="3"/>
        <v>0</v>
      </c>
    </row>
    <row r="21" spans="2:20" x14ac:dyDescent="0.25">
      <c r="B21" s="66" t="s">
        <v>38</v>
      </c>
      <c r="C21" s="7" t="s">
        <v>13</v>
      </c>
      <c r="D21" s="20" t="s">
        <v>39</v>
      </c>
      <c r="E21" s="21">
        <v>0</v>
      </c>
      <c r="F21" s="20"/>
      <c r="G21" s="21">
        <v>0</v>
      </c>
      <c r="H21" s="20"/>
      <c r="I21" s="21">
        <v>0</v>
      </c>
      <c r="J21" s="20"/>
      <c r="K21" s="67"/>
      <c r="L21" s="21">
        <v>0</v>
      </c>
      <c r="M21" s="20"/>
      <c r="N21" s="21">
        <f t="shared" si="0"/>
        <v>0</v>
      </c>
      <c r="O21" s="21">
        <f t="shared" si="1"/>
        <v>0</v>
      </c>
      <c r="P21" s="22">
        <f>O21-I21</f>
        <v>0</v>
      </c>
      <c r="S21" s="23">
        <f t="shared" si="2"/>
        <v>0</v>
      </c>
      <c r="T21" s="23">
        <f t="shared" si="3"/>
        <v>0</v>
      </c>
    </row>
    <row r="22" spans="2:20" x14ac:dyDescent="0.25">
      <c r="B22" s="66"/>
      <c r="C22" s="7"/>
      <c r="E22" s="23">
        <f>SUM(E16:E21)</f>
        <v>85980.12</v>
      </c>
      <c r="G22" s="23">
        <f>SUM(G16:G21)</f>
        <v>60472.43</v>
      </c>
      <c r="H22" s="25"/>
      <c r="I22" s="23">
        <f>SUM(I16:I21)</f>
        <v>25507.690000000002</v>
      </c>
      <c r="K22" s="8"/>
      <c r="L22" s="23">
        <f>SUM(L16:L21)</f>
        <v>22310.18</v>
      </c>
      <c r="N22" s="23">
        <f>SUM(N16:N21)</f>
        <v>16708.093801999999</v>
      </c>
      <c r="O22" s="23">
        <f>SUM(O16:O21)</f>
        <v>5602.086198</v>
      </c>
      <c r="P22" s="27">
        <f>SUM(P16:P21)</f>
        <v>-15950.776979</v>
      </c>
      <c r="S22" s="23"/>
      <c r="T22" s="23"/>
    </row>
    <row r="23" spans="2:20" x14ac:dyDescent="0.25">
      <c r="B23" s="66"/>
      <c r="C23" s="7"/>
      <c r="E23" s="25"/>
      <c r="G23" s="25"/>
      <c r="H23" s="25"/>
      <c r="I23" s="25"/>
      <c r="K23" s="8"/>
      <c r="L23" s="23">
        <f>L22-E22</f>
        <v>-63669.939999999995</v>
      </c>
      <c r="M23" s="23"/>
      <c r="N23" s="23">
        <f>N22-G22</f>
        <v>-43764.336198000005</v>
      </c>
      <c r="O23" s="28">
        <f>O22-I22+((I19-O19)/2)</f>
        <v>-15950.776979000002</v>
      </c>
      <c r="P23" s="27"/>
      <c r="S23" s="23"/>
      <c r="T23" s="23"/>
    </row>
    <row r="24" spans="2:20" x14ac:dyDescent="0.25">
      <c r="B24" s="66"/>
      <c r="C24" s="7"/>
      <c r="E24" s="25"/>
      <c r="G24" s="25"/>
      <c r="H24" s="25"/>
      <c r="I24" s="25"/>
      <c r="K24" s="8"/>
      <c r="L24" s="28"/>
      <c r="M24" s="28"/>
      <c r="N24" s="28"/>
      <c r="O24" s="28"/>
      <c r="P24" s="27"/>
      <c r="S24" s="23"/>
      <c r="T24" s="23"/>
    </row>
    <row r="25" spans="2:20" x14ac:dyDescent="0.25">
      <c r="B25" s="66" t="s">
        <v>40</v>
      </c>
      <c r="C25" s="7" t="s">
        <v>13</v>
      </c>
      <c r="D25" s="30" t="s">
        <v>41</v>
      </c>
      <c r="E25" s="31">
        <v>0</v>
      </c>
      <c r="F25" s="30"/>
      <c r="G25" s="31">
        <v>0</v>
      </c>
      <c r="H25" s="30"/>
      <c r="I25" s="31">
        <v>0</v>
      </c>
      <c r="J25" s="30"/>
      <c r="K25" s="67"/>
      <c r="L25" s="31">
        <v>0</v>
      </c>
      <c r="M25" s="30"/>
      <c r="N25" s="31">
        <f t="shared" ref="N25:N30" si="4">SUM(L25*$N$14)</f>
        <v>0</v>
      </c>
      <c r="O25" s="31">
        <f t="shared" ref="O25:O30" si="5">SUM(L25*$O$14)</f>
        <v>0</v>
      </c>
      <c r="P25" s="22">
        <f t="shared" ref="P25:P30" si="6">O25-I25</f>
        <v>0</v>
      </c>
      <c r="S25" s="23">
        <f t="shared" ref="S25:S30" si="7">E25-G25-I25</f>
        <v>0</v>
      </c>
      <c r="T25" s="23">
        <f t="shared" ref="T25:T30" si="8">L25-N25-O25</f>
        <v>0</v>
      </c>
    </row>
    <row r="26" spans="2:20" x14ac:dyDescent="0.25">
      <c r="B26" s="66" t="s">
        <v>42</v>
      </c>
      <c r="C26" s="7" t="s">
        <v>13</v>
      </c>
      <c r="D26" s="30" t="s">
        <v>43</v>
      </c>
      <c r="E26" s="31">
        <v>0</v>
      </c>
      <c r="F26" s="30"/>
      <c r="G26" s="31">
        <v>0</v>
      </c>
      <c r="H26" s="30"/>
      <c r="I26" s="31">
        <v>0</v>
      </c>
      <c r="J26" s="30"/>
      <c r="K26" s="67"/>
      <c r="L26" s="31">
        <v>0</v>
      </c>
      <c r="M26" s="30"/>
      <c r="N26" s="31">
        <f t="shared" si="4"/>
        <v>0</v>
      </c>
      <c r="O26" s="31">
        <f t="shared" si="5"/>
        <v>0</v>
      </c>
      <c r="P26" s="22">
        <f t="shared" si="6"/>
        <v>0</v>
      </c>
      <c r="S26" s="23">
        <f t="shared" si="7"/>
        <v>0</v>
      </c>
      <c r="T26" s="23">
        <f t="shared" si="8"/>
        <v>0</v>
      </c>
    </row>
    <row r="27" spans="2:20" x14ac:dyDescent="0.25">
      <c r="B27" s="66" t="s">
        <v>44</v>
      </c>
      <c r="C27" s="7" t="s">
        <v>13</v>
      </c>
      <c r="D27" s="30" t="s">
        <v>45</v>
      </c>
      <c r="E27" s="31">
        <v>6718.43</v>
      </c>
      <c r="F27" s="30"/>
      <c r="G27" s="31">
        <v>4481.9399999999996</v>
      </c>
      <c r="H27" s="30"/>
      <c r="I27" s="31">
        <v>2236.4899999999998</v>
      </c>
      <c r="J27" s="30"/>
      <c r="K27" s="67"/>
      <c r="L27" s="31">
        <v>3624.56</v>
      </c>
      <c r="M27" s="30"/>
      <c r="N27" s="31">
        <f t="shared" si="4"/>
        <v>2714.432984</v>
      </c>
      <c r="O27" s="31">
        <f t="shared" si="5"/>
        <v>910.12701599999991</v>
      </c>
      <c r="P27" s="22">
        <f t="shared" si="6"/>
        <v>-1326.3629839999999</v>
      </c>
      <c r="S27" s="23">
        <f t="shared" si="7"/>
        <v>0</v>
      </c>
      <c r="T27" s="23">
        <f t="shared" si="8"/>
        <v>0</v>
      </c>
    </row>
    <row r="28" spans="2:20" x14ac:dyDescent="0.25">
      <c r="B28" s="66" t="s">
        <v>46</v>
      </c>
      <c r="C28" s="7" t="s">
        <v>13</v>
      </c>
      <c r="D28" s="30" t="s">
        <v>47</v>
      </c>
      <c r="E28" s="31">
        <v>0</v>
      </c>
      <c r="F28" s="30"/>
      <c r="G28" s="31">
        <v>0</v>
      </c>
      <c r="H28" s="30"/>
      <c r="I28" s="31">
        <v>0</v>
      </c>
      <c r="J28" s="30"/>
      <c r="K28" s="67"/>
      <c r="L28" s="31">
        <v>0</v>
      </c>
      <c r="M28" s="30"/>
      <c r="N28" s="31">
        <f t="shared" si="4"/>
        <v>0</v>
      </c>
      <c r="O28" s="31">
        <f t="shared" si="5"/>
        <v>0</v>
      </c>
      <c r="P28" s="22">
        <f t="shared" si="6"/>
        <v>0</v>
      </c>
      <c r="S28" s="23">
        <f t="shared" si="7"/>
        <v>0</v>
      </c>
      <c r="T28" s="23">
        <f t="shared" si="8"/>
        <v>0</v>
      </c>
    </row>
    <row r="29" spans="2:20" x14ac:dyDescent="0.25">
      <c r="B29" s="66" t="s">
        <v>48</v>
      </c>
      <c r="C29" s="7" t="s">
        <v>13</v>
      </c>
      <c r="D29" s="30" t="s">
        <v>49</v>
      </c>
      <c r="E29" s="31">
        <v>17135.28</v>
      </c>
      <c r="F29" s="30"/>
      <c r="G29" s="31">
        <v>11075.74</v>
      </c>
      <c r="H29" s="30"/>
      <c r="I29" s="31">
        <v>6059.54</v>
      </c>
      <c r="J29" s="30"/>
      <c r="K29" s="67"/>
      <c r="L29" s="31">
        <v>8541.18</v>
      </c>
      <c r="M29" s="30"/>
      <c r="N29" s="31">
        <f t="shared" si="4"/>
        <v>6396.4897019999999</v>
      </c>
      <c r="O29" s="31">
        <f t="shared" si="5"/>
        <v>2144.690298</v>
      </c>
      <c r="P29" s="22">
        <f t="shared" si="6"/>
        <v>-3914.849702</v>
      </c>
      <c r="S29" s="23">
        <f t="shared" si="7"/>
        <v>0</v>
      </c>
      <c r="T29" s="23">
        <f t="shared" si="8"/>
        <v>0</v>
      </c>
    </row>
    <row r="30" spans="2:20" x14ac:dyDescent="0.25">
      <c r="B30" s="66" t="s">
        <v>50</v>
      </c>
      <c r="C30" s="7" t="s">
        <v>13</v>
      </c>
      <c r="D30" s="30" t="s">
        <v>51</v>
      </c>
      <c r="E30" s="31">
        <v>0</v>
      </c>
      <c r="F30" s="30"/>
      <c r="G30" s="31">
        <v>0</v>
      </c>
      <c r="H30" s="30"/>
      <c r="I30" s="31">
        <v>0</v>
      </c>
      <c r="J30" s="32"/>
      <c r="K30" s="67"/>
      <c r="L30" s="31">
        <v>0</v>
      </c>
      <c r="M30" s="30"/>
      <c r="N30" s="31">
        <f t="shared" si="4"/>
        <v>0</v>
      </c>
      <c r="O30" s="31">
        <f t="shared" si="5"/>
        <v>0</v>
      </c>
      <c r="P30" s="22">
        <f t="shared" si="6"/>
        <v>0</v>
      </c>
      <c r="S30" s="23">
        <f t="shared" si="7"/>
        <v>0</v>
      </c>
      <c r="T30" s="23">
        <f t="shared" si="8"/>
        <v>0</v>
      </c>
    </row>
    <row r="31" spans="2:20" x14ac:dyDescent="0.25">
      <c r="B31" s="66"/>
      <c r="C31" s="7"/>
      <c r="E31" s="23">
        <f>SUM(E25:E30)</f>
        <v>23853.71</v>
      </c>
      <c r="F31" s="23"/>
      <c r="G31" s="23">
        <f>SUM(G25:G30)</f>
        <v>15557.68</v>
      </c>
      <c r="H31" s="25"/>
      <c r="I31" s="23">
        <f>SUM(I25:I30)</f>
        <v>8296.0299999999988</v>
      </c>
      <c r="K31" s="8"/>
      <c r="L31" s="23">
        <f>SUM(L25:L30)</f>
        <v>12165.74</v>
      </c>
      <c r="N31" s="23">
        <f>SUM(N25:N30)</f>
        <v>9110.9226859999999</v>
      </c>
      <c r="O31" s="23">
        <f>SUM(O25:O30)</f>
        <v>3054.8173139999999</v>
      </c>
      <c r="P31" s="27">
        <f>SUM(P25:P30)</f>
        <v>-5241.2126859999998</v>
      </c>
      <c r="S31" s="23"/>
      <c r="T31" s="23"/>
    </row>
    <row r="32" spans="2:20" x14ac:dyDescent="0.25">
      <c r="B32" s="66"/>
      <c r="C32" s="7"/>
      <c r="E32" s="25"/>
      <c r="F32" s="23"/>
      <c r="G32" s="25"/>
      <c r="H32" s="25"/>
      <c r="I32" s="25"/>
      <c r="K32" s="8"/>
      <c r="L32" s="23">
        <f>L31-E31</f>
        <v>-11687.97</v>
      </c>
      <c r="M32" s="23"/>
      <c r="N32" s="23">
        <f>N31-G31</f>
        <v>-6446.7573140000004</v>
      </c>
      <c r="O32" s="28">
        <f>O31-I31</f>
        <v>-5241.2126859999989</v>
      </c>
      <c r="P32" s="27"/>
      <c r="S32" s="23"/>
      <c r="T32" s="23"/>
    </row>
    <row r="33" spans="2:27" x14ac:dyDescent="0.25">
      <c r="B33" s="66"/>
      <c r="C33" s="7"/>
      <c r="E33" s="25"/>
      <c r="F33" s="23"/>
      <c r="G33" s="25"/>
      <c r="H33" s="25"/>
      <c r="I33" s="25"/>
      <c r="K33" s="8"/>
      <c r="L33" s="28"/>
      <c r="M33" s="28"/>
      <c r="N33" s="28"/>
      <c r="O33" s="28"/>
      <c r="P33" s="27"/>
      <c r="S33" s="23"/>
      <c r="T33" s="23"/>
    </row>
    <row r="34" spans="2:27" x14ac:dyDescent="0.25">
      <c r="B34" s="66" t="s">
        <v>52</v>
      </c>
      <c r="C34" s="7" t="s">
        <v>13</v>
      </c>
      <c r="D34" s="36" t="s">
        <v>53</v>
      </c>
      <c r="E34" s="37">
        <v>27524.55</v>
      </c>
      <c r="F34" s="36"/>
      <c r="G34" s="37">
        <v>20690.21</v>
      </c>
      <c r="H34" s="37"/>
      <c r="I34" s="37">
        <v>6834.34</v>
      </c>
      <c r="J34" s="36"/>
      <c r="K34" s="8"/>
      <c r="L34" s="37">
        <v>28249.759999999998</v>
      </c>
      <c r="M34" s="36"/>
      <c r="N34" s="37">
        <f>SUM(L34*$N$14)</f>
        <v>21156.245263999997</v>
      </c>
      <c r="O34" s="37">
        <f>SUM(L34*$O$14)</f>
        <v>7093.5147359999992</v>
      </c>
      <c r="P34" s="22">
        <f>O34-I34</f>
        <v>259.17473599999903</v>
      </c>
      <c r="S34" s="23">
        <f>E34-G34-I34</f>
        <v>0</v>
      </c>
      <c r="T34" s="23">
        <f>L34-N34-O34</f>
        <v>0</v>
      </c>
    </row>
    <row r="35" spans="2:27" x14ac:dyDescent="0.25">
      <c r="B35" s="66"/>
      <c r="C35" s="7"/>
      <c r="E35" s="25"/>
      <c r="G35" s="25"/>
      <c r="H35" s="25"/>
      <c r="I35" s="25"/>
      <c r="K35" s="8"/>
      <c r="L35" s="23">
        <f>L34-E34</f>
        <v>725.20999999999913</v>
      </c>
      <c r="N35" s="23">
        <f>N34-G34</f>
        <v>466.03526399999828</v>
      </c>
      <c r="O35" s="28">
        <f>O34-I34</f>
        <v>259.17473599999903</v>
      </c>
      <c r="P35" s="27"/>
      <c r="S35" s="23"/>
      <c r="T35" s="23"/>
    </row>
    <row r="36" spans="2:27" x14ac:dyDescent="0.25">
      <c r="B36" s="66"/>
      <c r="C36" s="7"/>
      <c r="E36" s="25"/>
      <c r="G36" s="25"/>
      <c r="H36" s="25"/>
      <c r="I36" s="25"/>
      <c r="K36" s="8"/>
      <c r="L36" s="25"/>
      <c r="M36" s="28"/>
      <c r="N36" s="2"/>
      <c r="O36" s="2"/>
      <c r="P36" s="27"/>
      <c r="S36" s="23"/>
      <c r="T36" s="23"/>
    </row>
    <row r="37" spans="2:27" x14ac:dyDescent="0.25">
      <c r="B37" s="66" t="s">
        <v>54</v>
      </c>
      <c r="C37" s="7" t="s">
        <v>13</v>
      </c>
      <c r="D37" s="40" t="s">
        <v>55</v>
      </c>
      <c r="E37" s="41">
        <v>165546.19</v>
      </c>
      <c r="F37" s="40"/>
      <c r="G37" s="41">
        <v>123776.28</v>
      </c>
      <c r="H37" s="41"/>
      <c r="I37" s="41">
        <v>41769.910000000003</v>
      </c>
      <c r="J37" s="40"/>
      <c r="K37" s="67"/>
      <c r="L37" s="41">
        <v>199575.53</v>
      </c>
      <c r="M37" s="40"/>
      <c r="N37" s="41">
        <f>SUM(L37*$N$14)</f>
        <v>149462.114417</v>
      </c>
      <c r="O37" s="41">
        <f>SUM(L37*$O$14)</f>
        <v>50113.415582999995</v>
      </c>
      <c r="P37" s="60">
        <v>-899.31</v>
      </c>
      <c r="S37" s="23">
        <f>E37-G37-I37</f>
        <v>0</v>
      </c>
      <c r="T37" s="23">
        <f>L37-N37-O37</f>
        <v>0</v>
      </c>
      <c r="U37" s="43" t="s">
        <v>56</v>
      </c>
      <c r="V37" s="43"/>
      <c r="W37" s="44"/>
      <c r="X37" s="44"/>
      <c r="Y37" s="44"/>
      <c r="Z37" s="44"/>
      <c r="AA37" s="44"/>
    </row>
    <row r="38" spans="2:27" x14ac:dyDescent="0.25">
      <c r="B38" s="66"/>
      <c r="C38" s="7"/>
      <c r="E38" s="25"/>
      <c r="F38" s="23"/>
      <c r="G38" s="25"/>
      <c r="H38" s="25"/>
      <c r="I38" s="25"/>
      <c r="K38" s="8"/>
      <c r="L38" s="23">
        <f>L37-E37</f>
        <v>34029.339999999997</v>
      </c>
      <c r="N38" s="23">
        <f>N37-G37</f>
        <v>25685.834417000005</v>
      </c>
      <c r="O38" s="23">
        <f>O37-I37</f>
        <v>8343.505582999991</v>
      </c>
      <c r="P38" s="27"/>
      <c r="S38" s="23"/>
      <c r="T38" s="23"/>
      <c r="U38" s="44" t="s">
        <v>57</v>
      </c>
      <c r="V38" s="44"/>
      <c r="W38" s="44"/>
    </row>
    <row r="39" spans="2:27" x14ac:dyDescent="0.25">
      <c r="B39" s="66"/>
      <c r="C39" s="7"/>
      <c r="E39" s="25"/>
      <c r="F39" s="23"/>
      <c r="G39" s="25"/>
      <c r="H39" s="25"/>
      <c r="I39" s="25"/>
      <c r="K39" s="8"/>
      <c r="L39" s="25"/>
      <c r="M39" s="28"/>
      <c r="N39" s="2"/>
      <c r="O39" s="2"/>
      <c r="P39" s="27"/>
      <c r="S39" s="23"/>
      <c r="T39" s="23"/>
    </row>
    <row r="40" spans="2:27" x14ac:dyDescent="0.25">
      <c r="B40" s="66" t="s">
        <v>58</v>
      </c>
      <c r="C40" s="7" t="s">
        <v>13</v>
      </c>
      <c r="D40" s="47" t="s">
        <v>59</v>
      </c>
      <c r="E40" s="48"/>
      <c r="F40" s="47"/>
      <c r="G40" s="48"/>
      <c r="H40" s="48"/>
      <c r="I40" s="48">
        <f>('[6]Paste Special WA 5yr'!H38)/12</f>
        <v>5849.6263888888889</v>
      </c>
      <c r="J40" s="47"/>
      <c r="K40" s="8"/>
      <c r="L40" s="48">
        <v>13411.33</v>
      </c>
      <c r="M40" s="47"/>
      <c r="N40" s="48">
        <f>SUM(L40*$N$14)</f>
        <v>10043.745037000001</v>
      </c>
      <c r="O40" s="48">
        <f>SUM(L40*$O$14)</f>
        <v>3367.5849629999998</v>
      </c>
      <c r="P40" s="27">
        <f>O40-I40</f>
        <v>-2482.0414258888891</v>
      </c>
      <c r="S40" s="23">
        <v>0</v>
      </c>
      <c r="T40" s="23">
        <f>L40-N40-O40</f>
        <v>0</v>
      </c>
    </row>
    <row r="41" spans="2:27" x14ac:dyDescent="0.25">
      <c r="B41" s="66"/>
      <c r="C41" s="7"/>
      <c r="D41" s="16" t="s">
        <v>82</v>
      </c>
      <c r="E41" s="2"/>
      <c r="G41" s="2"/>
      <c r="H41" s="25"/>
      <c r="I41" s="2"/>
      <c r="K41" s="8"/>
      <c r="L41" s="23">
        <f>L40-E40</f>
        <v>13411.33</v>
      </c>
      <c r="N41" s="23">
        <f>N40-G40</f>
        <v>10043.745037000001</v>
      </c>
      <c r="O41" s="28">
        <f>O40-I40</f>
        <v>-2482.0414258888891</v>
      </c>
      <c r="P41" s="27"/>
      <c r="S41" s="23"/>
      <c r="T41" s="23"/>
      <c r="U41" s="5" t="s">
        <v>83</v>
      </c>
    </row>
    <row r="42" spans="2:27" x14ac:dyDescent="0.25">
      <c r="B42" s="66"/>
      <c r="C42" s="7"/>
      <c r="E42" s="2"/>
      <c r="G42" s="23" t="s">
        <v>60</v>
      </c>
      <c r="H42" s="25"/>
      <c r="K42" s="8"/>
      <c r="L42" s="50"/>
      <c r="N42" s="2"/>
      <c r="O42" s="25"/>
      <c r="P42" s="27">
        <f>-L42*O14</f>
        <v>0</v>
      </c>
      <c r="S42" s="23"/>
      <c r="T42" s="23"/>
    </row>
    <row r="43" spans="2:27" x14ac:dyDescent="0.25">
      <c r="B43" s="66"/>
      <c r="C43" s="7"/>
      <c r="E43" s="2"/>
      <c r="G43" s="2"/>
      <c r="H43" s="25"/>
      <c r="I43" s="2"/>
      <c r="L43" s="2"/>
      <c r="N43" s="2"/>
      <c r="O43" s="25"/>
      <c r="P43" s="51">
        <f>P22+P31+P34+P37+P40+P42</f>
        <v>-24314.16635488889</v>
      </c>
      <c r="S43" s="23"/>
      <c r="T43" s="23"/>
    </row>
    <row r="44" spans="2:27" x14ac:dyDescent="0.25">
      <c r="Q44" s="2"/>
    </row>
    <row r="47" spans="2:27" x14ac:dyDescent="0.25">
      <c r="D47" s="6" t="s">
        <v>0</v>
      </c>
      <c r="E47" s="7" t="s">
        <v>1</v>
      </c>
      <c r="G47" s="62" t="s">
        <v>2</v>
      </c>
      <c r="H47" s="7"/>
      <c r="I47" s="62" t="s">
        <v>3</v>
      </c>
      <c r="L47" s="7" t="s">
        <v>1</v>
      </c>
      <c r="N47" s="62" t="s">
        <v>2</v>
      </c>
      <c r="O47" s="62"/>
      <c r="P47" s="62" t="s">
        <v>3</v>
      </c>
    </row>
    <row r="48" spans="2:27" x14ac:dyDescent="0.25">
      <c r="D48" s="6" t="s">
        <v>4</v>
      </c>
      <c r="E48" s="52"/>
      <c r="G48" s="62"/>
      <c r="L48" s="54" t="s">
        <v>22</v>
      </c>
    </row>
    <row r="49" spans="2:20" x14ac:dyDescent="0.25">
      <c r="D49" s="6" t="s">
        <v>5</v>
      </c>
      <c r="E49" s="7"/>
      <c r="L49" s="7" t="s">
        <v>6</v>
      </c>
    </row>
    <row r="50" spans="2:20" x14ac:dyDescent="0.25">
      <c r="D50" s="6" t="s">
        <v>7</v>
      </c>
      <c r="E50" s="54"/>
      <c r="L50" s="94" t="s">
        <v>84</v>
      </c>
    </row>
    <row r="51" spans="2:20" x14ac:dyDescent="0.25">
      <c r="D51" s="6" t="s">
        <v>8</v>
      </c>
      <c r="E51" s="7"/>
      <c r="L51" s="7" t="s">
        <v>9</v>
      </c>
    </row>
    <row r="52" spans="2:20" x14ac:dyDescent="0.25">
      <c r="D52" s="6" t="s">
        <v>11</v>
      </c>
      <c r="E52" s="7"/>
      <c r="L52" s="7" t="s">
        <v>12</v>
      </c>
    </row>
    <row r="53" spans="2:20" x14ac:dyDescent="0.25">
      <c r="D53" s="6" t="s">
        <v>10</v>
      </c>
      <c r="E53" s="12"/>
      <c r="L53" s="12" t="s">
        <v>13</v>
      </c>
    </row>
    <row r="54" spans="2:20" x14ac:dyDescent="0.25">
      <c r="E54" s="55"/>
      <c r="L54" s="63" t="s">
        <v>25</v>
      </c>
    </row>
    <row r="55" spans="2:20" x14ac:dyDescent="0.25">
      <c r="E55" s="63" t="s">
        <v>61</v>
      </c>
      <c r="L55" s="63" t="str">
        <f>TEXT(L50&amp;"/1/"&amp;L48,"mmm yy")</f>
        <v>May 21</v>
      </c>
    </row>
    <row r="56" spans="2:20" x14ac:dyDescent="0.25">
      <c r="E56" s="15"/>
      <c r="G56" s="15"/>
      <c r="H56" s="16"/>
      <c r="I56" s="15"/>
      <c r="L56" s="15"/>
      <c r="N56" s="15"/>
      <c r="O56" s="16"/>
      <c r="P56" s="15"/>
    </row>
    <row r="57" spans="2:20" x14ac:dyDescent="0.25">
      <c r="E57" s="285" t="s">
        <v>62</v>
      </c>
      <c r="F57" s="285"/>
      <c r="G57" s="285"/>
      <c r="H57" s="16"/>
      <c r="I57" s="15"/>
      <c r="L57" s="282" t="s">
        <v>18</v>
      </c>
      <c r="M57" s="282"/>
      <c r="N57" s="282"/>
      <c r="O57" s="282"/>
      <c r="P57" s="282"/>
    </row>
    <row r="58" spans="2:20" x14ac:dyDescent="0.25">
      <c r="E58" s="285"/>
      <c r="F58" s="285"/>
      <c r="G58" s="285"/>
      <c r="H58" s="16"/>
      <c r="I58" s="15"/>
      <c r="L58" s="15">
        <v>2021</v>
      </c>
      <c r="N58" s="17">
        <f>+N14</f>
        <v>0.74890000000000001</v>
      </c>
      <c r="O58" s="16"/>
      <c r="P58" s="17">
        <f>+O14</f>
        <v>0.25109999999999999</v>
      </c>
      <c r="S58" s="5" t="s">
        <v>17</v>
      </c>
    </row>
    <row r="59" spans="2:20" x14ac:dyDescent="0.25">
      <c r="B59" s="4" t="s">
        <v>66</v>
      </c>
      <c r="C59" s="5" t="s">
        <v>27</v>
      </c>
      <c r="E59" s="4" t="s">
        <v>68</v>
      </c>
      <c r="G59" s="4" t="s">
        <v>19</v>
      </c>
      <c r="I59" s="4" t="s">
        <v>20</v>
      </c>
      <c r="L59" s="4" t="s">
        <v>68</v>
      </c>
      <c r="N59" s="4" t="s">
        <v>19</v>
      </c>
      <c r="O59" s="68" t="s">
        <v>15</v>
      </c>
      <c r="P59" s="4" t="s">
        <v>20</v>
      </c>
    </row>
    <row r="60" spans="2:20" x14ac:dyDescent="0.25">
      <c r="B60" s="66" t="s">
        <v>28</v>
      </c>
      <c r="C60" s="7" t="s">
        <v>13</v>
      </c>
      <c r="D60" s="20" t="s">
        <v>29</v>
      </c>
      <c r="E60" s="21">
        <f>SUM('[6]Paste Special WA 5yr'!D15)/12</f>
        <v>14761.550000000001</v>
      </c>
      <c r="F60" s="20"/>
      <c r="G60" s="21">
        <f>SUM('[6]Paste Special WA 5yr'!F15)/12</f>
        <v>10845.024666666666</v>
      </c>
      <c r="H60" s="21"/>
      <c r="I60" s="21">
        <f>SUM('[6]Paste Special WA 5yr'!H15)/12</f>
        <v>3916.5253333333335</v>
      </c>
      <c r="J60" s="20"/>
      <c r="K60" s="67"/>
      <c r="L60" s="21">
        <v>97.81</v>
      </c>
      <c r="M60" s="20"/>
      <c r="N60" s="21">
        <f t="shared" ref="N60:N65" si="9">SUM(L60*$N$58)</f>
        <v>73.249909000000002</v>
      </c>
      <c r="O60" s="58">
        <f t="shared" ref="O60:O65" si="10">N60-G60</f>
        <v>-10771.774757666666</v>
      </c>
      <c r="P60" s="21">
        <f t="shared" ref="P60:P65" si="11">SUM(L60*$P$58)</f>
        <v>24.560091</v>
      </c>
      <c r="Q60" s="20"/>
      <c r="S60" s="23">
        <f t="shared" ref="S60:S65" si="12">E60-G60-I60</f>
        <v>0</v>
      </c>
      <c r="T60" s="23">
        <f t="shared" ref="T60:T65" si="13">L60-N60-P60</f>
        <v>0</v>
      </c>
    </row>
    <row r="61" spans="2:20" x14ac:dyDescent="0.25">
      <c r="B61" s="66" t="s">
        <v>30</v>
      </c>
      <c r="C61" s="7" t="s">
        <v>13</v>
      </c>
      <c r="D61" s="20" t="s">
        <v>31</v>
      </c>
      <c r="E61" s="21">
        <f>SUM('[6]Paste Special WA 5yr'!D16)/12</f>
        <v>3779.2791666666667</v>
      </c>
      <c r="F61" s="20"/>
      <c r="G61" s="21">
        <f>SUM('[6]Paste Special WA 5yr'!F16)/12</f>
        <v>2797.3644999999997</v>
      </c>
      <c r="H61" s="21"/>
      <c r="I61" s="21">
        <f>SUM('[6]Paste Special WA 5yr'!H16)/12</f>
        <v>981.91466666666656</v>
      </c>
      <c r="J61" s="20"/>
      <c r="K61" s="67"/>
      <c r="L61" s="21">
        <v>0</v>
      </c>
      <c r="M61" s="20"/>
      <c r="N61" s="21">
        <f t="shared" si="9"/>
        <v>0</v>
      </c>
      <c r="O61" s="58">
        <f t="shared" si="10"/>
        <v>-2797.3644999999997</v>
      </c>
      <c r="P61" s="21">
        <f t="shared" si="11"/>
        <v>0</v>
      </c>
      <c r="Q61" s="20"/>
      <c r="S61" s="23">
        <f t="shared" si="12"/>
        <v>0</v>
      </c>
      <c r="T61" s="23">
        <f t="shared" si="13"/>
        <v>0</v>
      </c>
    </row>
    <row r="62" spans="2:20" x14ac:dyDescent="0.25">
      <c r="B62" s="66" t="s">
        <v>32</v>
      </c>
      <c r="C62" s="7" t="s">
        <v>13</v>
      </c>
      <c r="D62" s="20" t="s">
        <v>33</v>
      </c>
      <c r="E62" s="21">
        <f>SUM('[6]Paste Special WA 5yr'!D17)/12</f>
        <v>1259.5603333333331</v>
      </c>
      <c r="F62" s="20"/>
      <c r="G62" s="21">
        <f>SUM('[6]Paste Special WA 5yr'!F17)/12</f>
        <v>941.35399999999993</v>
      </c>
      <c r="H62" s="21"/>
      <c r="I62" s="21">
        <f>SUM('[6]Paste Special WA 5yr'!H17)/12</f>
        <v>318.20633333333336</v>
      </c>
      <c r="J62" s="20"/>
      <c r="K62" s="67"/>
      <c r="L62" s="21">
        <v>3.2</v>
      </c>
      <c r="M62" s="20"/>
      <c r="N62" s="21">
        <f t="shared" si="9"/>
        <v>2.3964799999999999</v>
      </c>
      <c r="O62" s="58">
        <f t="shared" si="10"/>
        <v>-938.95751999999993</v>
      </c>
      <c r="P62" s="21">
        <f t="shared" si="11"/>
        <v>0.80352000000000001</v>
      </c>
      <c r="Q62" s="20"/>
      <c r="S62" s="23">
        <f t="shared" si="12"/>
        <v>0</v>
      </c>
      <c r="T62" s="23">
        <f t="shared" si="13"/>
        <v>0</v>
      </c>
    </row>
    <row r="63" spans="2:20" x14ac:dyDescent="0.25">
      <c r="B63" s="66" t="s">
        <v>34</v>
      </c>
      <c r="C63" s="7" t="s">
        <v>13</v>
      </c>
      <c r="D63" s="20" t="s">
        <v>35</v>
      </c>
      <c r="E63" s="21">
        <f>SUM('[6]Paste Special WA 5yr'!D18)/12</f>
        <v>23419.128000000001</v>
      </c>
      <c r="F63" s="20"/>
      <c r="G63" s="21">
        <f>SUM('[6]Paste Special WA 5yr'!F18)/12</f>
        <v>16565.006833333333</v>
      </c>
      <c r="H63" s="21"/>
      <c r="I63" s="21">
        <f>SUM('[6]Paste Special WA 5yr'!H18)/12</f>
        <v>6854.1211666666668</v>
      </c>
      <c r="J63" s="20"/>
      <c r="K63" s="67"/>
      <c r="L63" s="21">
        <v>9692.14</v>
      </c>
      <c r="M63" s="20"/>
      <c r="N63" s="21">
        <f t="shared" si="9"/>
        <v>7258.4436459999997</v>
      </c>
      <c r="O63" s="58">
        <f t="shared" si="10"/>
        <v>-9306.5631873333332</v>
      </c>
      <c r="P63" s="21">
        <f t="shared" si="11"/>
        <v>2433.6963539999997</v>
      </c>
      <c r="Q63" s="20"/>
      <c r="S63" s="23">
        <f t="shared" si="12"/>
        <v>0</v>
      </c>
      <c r="T63" s="23">
        <f t="shared" si="13"/>
        <v>0</v>
      </c>
    </row>
    <row r="64" spans="2:20" x14ac:dyDescent="0.25">
      <c r="B64" s="66" t="s">
        <v>36</v>
      </c>
      <c r="C64" s="7" t="s">
        <v>13</v>
      </c>
      <c r="D64" s="20" t="s">
        <v>37</v>
      </c>
      <c r="E64" s="21">
        <f>SUM('[6]Paste Special WA 5yr'!D19)/12</f>
        <v>25420.995500000001</v>
      </c>
      <c r="F64" s="20"/>
      <c r="G64" s="21">
        <f>SUM('[6]Paste Special WA 5yr'!F19)/12</f>
        <v>18246.845166666666</v>
      </c>
      <c r="H64" s="21"/>
      <c r="I64" s="21">
        <f>SUM('[6]Paste Special WA 5yr'!H19)/12</f>
        <v>7174.1503333333339</v>
      </c>
      <c r="J64" s="20"/>
      <c r="K64" s="67"/>
      <c r="L64" s="21">
        <v>12517.03</v>
      </c>
      <c r="M64" s="20"/>
      <c r="N64" s="21">
        <f t="shared" si="9"/>
        <v>9374.0037670000002</v>
      </c>
      <c r="O64" s="58">
        <f t="shared" si="10"/>
        <v>-8872.8413996666659</v>
      </c>
      <c r="P64" s="21">
        <f t="shared" si="11"/>
        <v>3143.026233</v>
      </c>
      <c r="Q64" s="20"/>
      <c r="S64" s="23">
        <f t="shared" si="12"/>
        <v>0</v>
      </c>
      <c r="T64" s="23">
        <f t="shared" si="13"/>
        <v>0</v>
      </c>
    </row>
    <row r="65" spans="2:20" x14ac:dyDescent="0.25">
      <c r="B65" s="66" t="s">
        <v>38</v>
      </c>
      <c r="C65" s="7" t="s">
        <v>13</v>
      </c>
      <c r="D65" s="20" t="s">
        <v>39</v>
      </c>
      <c r="E65" s="21">
        <f>SUM('[6]Paste Special WA 5yr'!D20)/12</f>
        <v>335.31433333333331</v>
      </c>
      <c r="F65" s="20"/>
      <c r="G65" s="21">
        <f>SUM('[6]Paste Special WA 5yr'!F20)/12</f>
        <v>255.99350000000001</v>
      </c>
      <c r="H65" s="21"/>
      <c r="I65" s="21">
        <f>SUM('[6]Paste Special WA 5yr'!H20)/12</f>
        <v>79.32083333333334</v>
      </c>
      <c r="J65" s="20"/>
      <c r="K65" s="67"/>
      <c r="L65" s="21">
        <v>4600</v>
      </c>
      <c r="M65" s="24"/>
      <c r="N65" s="21">
        <f t="shared" si="9"/>
        <v>3444.94</v>
      </c>
      <c r="O65" s="58">
        <f t="shared" si="10"/>
        <v>3188.9465</v>
      </c>
      <c r="P65" s="21">
        <f t="shared" si="11"/>
        <v>1155.06</v>
      </c>
      <c r="Q65" s="20"/>
      <c r="S65" s="23">
        <f t="shared" si="12"/>
        <v>0</v>
      </c>
      <c r="T65" s="23">
        <f t="shared" si="13"/>
        <v>0</v>
      </c>
    </row>
    <row r="66" spans="2:20" x14ac:dyDescent="0.25">
      <c r="B66" s="66"/>
      <c r="C66" s="7"/>
      <c r="E66" s="23">
        <f>SUM(E60:E65)</f>
        <v>68975.827333333335</v>
      </c>
      <c r="G66" s="23">
        <f>SUM(G60:G65)</f>
        <v>49651.588666666663</v>
      </c>
      <c r="H66" s="25"/>
      <c r="I66" s="23">
        <f>SUM(I60:I65)</f>
        <v>19324.238666666672</v>
      </c>
      <c r="K66" s="67"/>
      <c r="L66" s="23">
        <f>SUM(L60:L65)</f>
        <v>26910.18</v>
      </c>
      <c r="M66" s="23"/>
      <c r="N66" s="23">
        <f>SUM(N60:N65)</f>
        <v>20153.033801999998</v>
      </c>
      <c r="O66" s="59">
        <f>SUM(O60:O65)</f>
        <v>-29498.554864666665</v>
      </c>
      <c r="P66" s="2">
        <f>SUM(P60:P65)</f>
        <v>6757.1461980000004</v>
      </c>
      <c r="S66" s="23"/>
      <c r="T66" s="23"/>
    </row>
    <row r="67" spans="2:20" x14ac:dyDescent="0.25">
      <c r="B67" s="66"/>
      <c r="C67" s="7"/>
      <c r="E67" s="23"/>
      <c r="G67" s="23"/>
      <c r="H67" s="25"/>
      <c r="I67" s="23"/>
      <c r="K67" s="67"/>
      <c r="L67" s="23">
        <f>L66-E66</f>
        <v>-42065.647333333334</v>
      </c>
      <c r="M67" s="23"/>
      <c r="N67" s="28">
        <f>N66-G66</f>
        <v>-29498.554864666665</v>
      </c>
      <c r="O67" s="59"/>
      <c r="P67" s="2">
        <f>P66-I66</f>
        <v>-12567.092468666671</v>
      </c>
      <c r="Q67" s="2"/>
      <c r="S67" s="23"/>
      <c r="T67" s="23"/>
    </row>
    <row r="68" spans="2:20" x14ac:dyDescent="0.25">
      <c r="B68" s="66"/>
      <c r="C68" s="7"/>
      <c r="E68" s="23"/>
      <c r="G68" s="23"/>
      <c r="H68" s="25"/>
      <c r="I68" s="23"/>
      <c r="K68" s="67"/>
      <c r="L68" s="23"/>
      <c r="M68" s="23"/>
      <c r="N68" s="23"/>
      <c r="O68" s="59"/>
      <c r="P68" s="2"/>
      <c r="Q68" s="2"/>
      <c r="S68" s="23"/>
      <c r="T68" s="23"/>
    </row>
    <row r="69" spans="2:20" x14ac:dyDescent="0.25">
      <c r="B69" s="66"/>
      <c r="C69" s="7"/>
      <c r="E69" s="4" t="s">
        <v>68</v>
      </c>
      <c r="G69" s="4" t="s">
        <v>19</v>
      </c>
      <c r="I69" s="4" t="s">
        <v>20</v>
      </c>
      <c r="K69" s="67"/>
      <c r="L69" s="4" t="s">
        <v>68</v>
      </c>
      <c r="N69" s="4" t="s">
        <v>19</v>
      </c>
      <c r="O69" s="59"/>
      <c r="P69" s="4" t="s">
        <v>20</v>
      </c>
      <c r="Q69" s="2"/>
      <c r="S69" s="23"/>
      <c r="T69" s="23"/>
    </row>
    <row r="70" spans="2:20" x14ac:dyDescent="0.25">
      <c r="B70" s="66" t="s">
        <v>40</v>
      </c>
      <c r="C70" s="7" t="s">
        <v>13</v>
      </c>
      <c r="D70" s="30" t="s">
        <v>41</v>
      </c>
      <c r="E70" s="31">
        <f>SUM('[6]Paste Special WA 5yr'!D23)/12</f>
        <v>235.60100000000003</v>
      </c>
      <c r="F70" s="30"/>
      <c r="G70" s="31">
        <f>SUM('[6]Paste Special WA 5yr'!F23)/12</f>
        <v>178.32866666666669</v>
      </c>
      <c r="H70" s="30"/>
      <c r="I70" s="31">
        <f>SUM('[6]Paste Special WA 5yr'!H23)/12</f>
        <v>57.272333333333329</v>
      </c>
      <c r="J70" s="30"/>
      <c r="K70" s="67"/>
      <c r="L70" s="31">
        <v>0</v>
      </c>
      <c r="M70" s="30"/>
      <c r="N70" s="31">
        <f t="shared" ref="N70:N75" si="14">SUM(L70*$N$58)</f>
        <v>0</v>
      </c>
      <c r="O70" s="58">
        <f t="shared" ref="O70:O75" si="15">N70-G70</f>
        <v>-178.32866666666669</v>
      </c>
      <c r="P70" s="31">
        <f t="shared" ref="P70:P75" si="16">SUM(L70*$P$58)</f>
        <v>0</v>
      </c>
      <c r="Q70" s="30"/>
      <c r="S70" s="23">
        <f t="shared" ref="S70:S75" si="17">E70-G70-I70</f>
        <v>0</v>
      </c>
      <c r="T70" s="23">
        <f t="shared" ref="T70:T75" si="18">L70-N70-P70</f>
        <v>0</v>
      </c>
    </row>
    <row r="71" spans="2:20" x14ac:dyDescent="0.25">
      <c r="B71" s="66" t="s">
        <v>42</v>
      </c>
      <c r="C71" s="7" t="s">
        <v>13</v>
      </c>
      <c r="D71" s="30" t="s">
        <v>43</v>
      </c>
      <c r="E71" s="31">
        <f>SUM('[6]Paste Special WA 5yr'!D24)/12</f>
        <v>98.616666666666674</v>
      </c>
      <c r="F71" s="30"/>
      <c r="G71" s="31">
        <f>SUM('[6]Paste Special WA 5yr'!F24)/12</f>
        <v>97.95</v>
      </c>
      <c r="H71" s="30"/>
      <c r="I71" s="31">
        <f>SUM('[6]Paste Special WA 5yr'!H24)/12</f>
        <v>0.66666666666666663</v>
      </c>
      <c r="J71" s="30"/>
      <c r="K71" s="67"/>
      <c r="L71" s="31">
        <v>0</v>
      </c>
      <c r="M71" s="30"/>
      <c r="N71" s="31">
        <f t="shared" si="14"/>
        <v>0</v>
      </c>
      <c r="O71" s="58">
        <f t="shared" si="15"/>
        <v>-97.95</v>
      </c>
      <c r="P71" s="31">
        <f t="shared" si="16"/>
        <v>0</v>
      </c>
      <c r="Q71" s="30"/>
      <c r="S71" s="23">
        <f>ROUND(E71-G71-I71,2)</f>
        <v>0</v>
      </c>
      <c r="T71" s="23">
        <f t="shared" si="18"/>
        <v>0</v>
      </c>
    </row>
    <row r="72" spans="2:20" x14ac:dyDescent="0.25">
      <c r="B72" s="66" t="s">
        <v>44</v>
      </c>
      <c r="C72" s="7" t="s">
        <v>13</v>
      </c>
      <c r="D72" s="30" t="s">
        <v>45</v>
      </c>
      <c r="E72" s="31">
        <f>SUM('[6]Paste Special WA 5yr'!D25)/12</f>
        <v>9038.3494999999984</v>
      </c>
      <c r="F72" s="30"/>
      <c r="G72" s="31">
        <f>SUM('[6]Paste Special WA 5yr'!F25)/12</f>
        <v>6827.0563333333339</v>
      </c>
      <c r="H72" s="30"/>
      <c r="I72" s="31">
        <f>SUM('[6]Paste Special WA 5yr'!H25)/12</f>
        <v>2211.2931666666668</v>
      </c>
      <c r="J72" s="30"/>
      <c r="K72" s="67"/>
      <c r="L72" s="31">
        <v>3624.56</v>
      </c>
      <c r="M72" s="30"/>
      <c r="N72" s="31">
        <f t="shared" si="14"/>
        <v>2714.432984</v>
      </c>
      <c r="O72" s="58">
        <f t="shared" si="15"/>
        <v>-4112.6233493333339</v>
      </c>
      <c r="P72" s="31">
        <f t="shared" si="16"/>
        <v>910.12701599999991</v>
      </c>
      <c r="Q72" s="30"/>
      <c r="S72" s="23">
        <f t="shared" si="17"/>
        <v>0</v>
      </c>
      <c r="T72" s="23">
        <f t="shared" si="18"/>
        <v>0</v>
      </c>
    </row>
    <row r="73" spans="2:20" x14ac:dyDescent="0.25">
      <c r="B73" s="66" t="s">
        <v>46</v>
      </c>
      <c r="C73" s="7" t="s">
        <v>13</v>
      </c>
      <c r="D73" s="30" t="s">
        <v>47</v>
      </c>
      <c r="E73" s="31">
        <f>SUM('[6]Paste Special WA 5yr'!D26)/12</f>
        <v>479.02249999999998</v>
      </c>
      <c r="F73" s="30"/>
      <c r="G73" s="31">
        <f>SUM('[6]Paste Special WA 5yr'!F26)/12</f>
        <v>362.63016666666664</v>
      </c>
      <c r="H73" s="30"/>
      <c r="I73" s="31">
        <f>SUM('[6]Paste Special WA 5yr'!H26)/12</f>
        <v>116.39233333333334</v>
      </c>
      <c r="J73" s="30"/>
      <c r="K73" s="67"/>
      <c r="L73" s="31">
        <v>0</v>
      </c>
      <c r="M73" s="30"/>
      <c r="N73" s="31">
        <f t="shared" si="14"/>
        <v>0</v>
      </c>
      <c r="O73" s="58">
        <f t="shared" si="15"/>
        <v>-362.63016666666664</v>
      </c>
      <c r="P73" s="31">
        <f t="shared" si="16"/>
        <v>0</v>
      </c>
      <c r="Q73" s="30"/>
      <c r="S73" s="23">
        <f t="shared" si="17"/>
        <v>0</v>
      </c>
      <c r="T73" s="23">
        <f t="shared" si="18"/>
        <v>0</v>
      </c>
    </row>
    <row r="74" spans="2:20" x14ac:dyDescent="0.25">
      <c r="B74" s="66" t="s">
        <v>48</v>
      </c>
      <c r="C74" s="7" t="s">
        <v>13</v>
      </c>
      <c r="D74" s="30" t="s">
        <v>49</v>
      </c>
      <c r="E74" s="31">
        <f>SUM('[6]Paste Special WA 5yr'!D27)/12</f>
        <v>12340.912666666665</v>
      </c>
      <c r="F74" s="30"/>
      <c r="G74" s="31">
        <f>SUM('[6]Paste Special WA 5yr'!F27)/12</f>
        <v>8779.150333333333</v>
      </c>
      <c r="H74" s="30"/>
      <c r="I74" s="31">
        <f>SUM('[6]Paste Special WA 5yr'!H27)/12</f>
        <v>3561.7623333333336</v>
      </c>
      <c r="J74" s="30"/>
      <c r="K74" s="67"/>
      <c r="L74" s="31">
        <v>8541.18</v>
      </c>
      <c r="M74" s="30"/>
      <c r="N74" s="31">
        <f t="shared" si="14"/>
        <v>6396.4897019999999</v>
      </c>
      <c r="O74" s="58">
        <f t="shared" si="15"/>
        <v>-2382.6606313333332</v>
      </c>
      <c r="P74" s="31">
        <f t="shared" si="16"/>
        <v>2144.690298</v>
      </c>
      <c r="Q74" s="30"/>
      <c r="S74" s="23">
        <f t="shared" si="17"/>
        <v>0</v>
      </c>
      <c r="T74" s="23">
        <f t="shared" si="18"/>
        <v>0</v>
      </c>
    </row>
    <row r="75" spans="2:20" x14ac:dyDescent="0.25">
      <c r="B75" s="66" t="s">
        <v>50</v>
      </c>
      <c r="C75" s="7" t="s">
        <v>13</v>
      </c>
      <c r="D75" s="30" t="s">
        <v>51</v>
      </c>
      <c r="E75" s="31">
        <f>SUM('[6]Paste Special WA 5yr'!D28)/12</f>
        <v>1336.7904999999998</v>
      </c>
      <c r="F75" s="30"/>
      <c r="G75" s="31">
        <f>SUM('[6]Paste Special WA 5yr'!F28)/12</f>
        <v>1078.6363333333334</v>
      </c>
      <c r="H75" s="30"/>
      <c r="I75" s="31">
        <f>SUM('[6]Paste Special WA 5yr'!H28)/12</f>
        <v>258.15416666666664</v>
      </c>
      <c r="J75" s="30"/>
      <c r="K75" s="67"/>
      <c r="L75" s="31">
        <v>0</v>
      </c>
      <c r="M75" s="30"/>
      <c r="N75" s="31">
        <f t="shared" si="14"/>
        <v>0</v>
      </c>
      <c r="O75" s="58">
        <f t="shared" si="15"/>
        <v>-1078.6363333333334</v>
      </c>
      <c r="P75" s="31">
        <f t="shared" si="16"/>
        <v>0</v>
      </c>
      <c r="Q75" s="30"/>
      <c r="S75" s="23">
        <f t="shared" si="17"/>
        <v>0</v>
      </c>
      <c r="T75" s="23">
        <f t="shared" si="18"/>
        <v>0</v>
      </c>
    </row>
    <row r="76" spans="2:20" x14ac:dyDescent="0.25">
      <c r="B76" s="66"/>
      <c r="C76" s="7"/>
      <c r="E76" s="23">
        <f>SUM(E70:E75)</f>
        <v>23529.292833333329</v>
      </c>
      <c r="F76" s="23"/>
      <c r="G76" s="23">
        <f>SUM(G70:G75)</f>
        <v>17323.751833333332</v>
      </c>
      <c r="H76" s="25"/>
      <c r="I76" s="23">
        <f>SUM(I70:I75)</f>
        <v>6205.5410000000002</v>
      </c>
      <c r="K76" s="67"/>
      <c r="L76" s="23">
        <f>SUM(L70:L75)</f>
        <v>12165.74</v>
      </c>
      <c r="N76" s="23">
        <f>SUM(N70:N75)</f>
        <v>9110.9226859999999</v>
      </c>
      <c r="O76" s="59">
        <f>SUM(O70:O75)</f>
        <v>-8212.8291473333338</v>
      </c>
      <c r="P76" s="23">
        <f>SUM(P70:P75)</f>
        <v>3054.8173139999999</v>
      </c>
      <c r="S76" s="23"/>
      <c r="T76" s="23"/>
    </row>
    <row r="77" spans="2:20" x14ac:dyDescent="0.25">
      <c r="B77" s="66"/>
      <c r="C77" s="7"/>
      <c r="E77" s="25"/>
      <c r="F77" s="23"/>
      <c r="G77" s="25"/>
      <c r="H77" s="25"/>
      <c r="I77" s="25"/>
      <c r="K77" s="67"/>
      <c r="L77" s="23">
        <f>L76-E76</f>
        <v>-11363.55283333333</v>
      </c>
      <c r="M77" s="28"/>
      <c r="N77" s="28">
        <f>N76-G76</f>
        <v>-8212.829147333332</v>
      </c>
      <c r="O77" s="58"/>
      <c r="P77" s="23">
        <f>P76-I76</f>
        <v>-3150.7236860000003</v>
      </c>
      <c r="Q77" s="25"/>
      <c r="S77" s="23"/>
      <c r="T77" s="23"/>
    </row>
    <row r="78" spans="2:20" x14ac:dyDescent="0.25">
      <c r="B78" s="66"/>
      <c r="C78" s="7"/>
      <c r="E78" s="25"/>
      <c r="F78" s="23"/>
      <c r="G78" s="25"/>
      <c r="H78" s="25"/>
      <c r="I78" s="25"/>
      <c r="K78" s="67"/>
      <c r="L78" s="23"/>
      <c r="M78" s="28"/>
      <c r="N78" s="25"/>
      <c r="O78" s="58"/>
      <c r="P78" s="25"/>
      <c r="Q78" s="25"/>
      <c r="S78" s="23"/>
      <c r="T78" s="23"/>
    </row>
    <row r="79" spans="2:20" x14ac:dyDescent="0.25">
      <c r="B79" s="66" t="s">
        <v>52</v>
      </c>
      <c r="C79" s="7" t="s">
        <v>13</v>
      </c>
      <c r="D79" s="36" t="s">
        <v>53</v>
      </c>
      <c r="E79" s="37">
        <f>SUM('[6]Paste Special WA 5yr'!D31)/12</f>
        <v>30235.661500000002</v>
      </c>
      <c r="F79" s="36"/>
      <c r="G79" s="37">
        <f>SUM('[6]Paste Special WA 5yr'!F31)/12</f>
        <v>22754.826499999999</v>
      </c>
      <c r="H79" s="36"/>
      <c r="I79" s="37">
        <f>SUM('[6]Paste Special WA 5yr'!H31)/12</f>
        <v>7480.835</v>
      </c>
      <c r="J79" s="36"/>
      <c r="K79" s="67"/>
      <c r="L79" s="37">
        <v>28249.759999999998</v>
      </c>
      <c r="M79" s="36"/>
      <c r="N79" s="37">
        <f>SUM(L79*$N$58)</f>
        <v>21156.245263999997</v>
      </c>
      <c r="O79" s="69">
        <f>N79-G79</f>
        <v>-1598.5812360000018</v>
      </c>
      <c r="P79" s="37">
        <f>SUM(L79*$P$58)</f>
        <v>7093.5147359999992</v>
      </c>
      <c r="Q79" s="36"/>
      <c r="S79" s="23">
        <f>E79-G79-I79</f>
        <v>0</v>
      </c>
      <c r="T79" s="23">
        <f>L79-N79-P79</f>
        <v>0</v>
      </c>
    </row>
    <row r="80" spans="2:20" x14ac:dyDescent="0.25">
      <c r="B80" s="66"/>
      <c r="C80" s="7"/>
      <c r="E80" s="25"/>
      <c r="G80" s="25"/>
      <c r="H80" s="25"/>
      <c r="I80" s="25"/>
      <c r="K80" s="67"/>
      <c r="L80" s="23">
        <f>L79-E79</f>
        <v>-1985.9015000000036</v>
      </c>
      <c r="N80" s="28">
        <f>N79-G79</f>
        <v>-1598.5812360000018</v>
      </c>
      <c r="O80" s="59"/>
      <c r="P80" s="23">
        <f>P79-I79</f>
        <v>-387.32026400000086</v>
      </c>
      <c r="R80" s="28"/>
      <c r="S80" s="23"/>
      <c r="T80" s="23"/>
    </row>
    <row r="81" spans="2:27" x14ac:dyDescent="0.25">
      <c r="B81" s="66"/>
      <c r="C81" s="7"/>
      <c r="E81" s="25"/>
      <c r="G81" s="25"/>
      <c r="H81" s="25"/>
      <c r="I81" s="25"/>
      <c r="K81" s="67"/>
      <c r="L81" s="25"/>
      <c r="M81" s="28"/>
      <c r="N81" s="25"/>
      <c r="O81" s="59"/>
      <c r="P81" s="25"/>
      <c r="Q81" s="2"/>
      <c r="R81" s="28"/>
      <c r="S81" s="23"/>
      <c r="T81" s="23"/>
    </row>
    <row r="82" spans="2:27" x14ac:dyDescent="0.25">
      <c r="B82" s="66" t="s">
        <v>54</v>
      </c>
      <c r="C82" s="7" t="s">
        <v>13</v>
      </c>
      <c r="D82" s="40" t="s">
        <v>55</v>
      </c>
      <c r="E82" s="41">
        <f>SUM('[6]Paste Special WA 5yr'!D34)/12</f>
        <v>158545.38866666667</v>
      </c>
      <c r="F82" s="40"/>
      <c r="G82" s="41">
        <f>SUM('[6]Paste Special WA 5yr'!F34)/12</f>
        <v>117254.6565</v>
      </c>
      <c r="H82" s="40"/>
      <c r="I82" s="41">
        <f>SUM('[6]Paste Special WA 5yr'!H34)/12</f>
        <v>41290.732166666668</v>
      </c>
      <c r="J82" s="40"/>
      <c r="K82" s="67"/>
      <c r="L82" s="41">
        <v>199575.53</v>
      </c>
      <c r="M82" s="40"/>
      <c r="N82" s="41">
        <f>SUM(L82*$N$58)</f>
        <v>149462.114417</v>
      </c>
      <c r="O82" s="60">
        <v>-10368.35</v>
      </c>
      <c r="P82" s="41">
        <f>SUM(L82*$P$58)</f>
        <v>50113.415582999995</v>
      </c>
      <c r="Q82" s="40"/>
      <c r="S82" s="23">
        <f>E82-G82-I82</f>
        <v>0</v>
      </c>
      <c r="T82" s="23">
        <f>L82-N82-P82</f>
        <v>0</v>
      </c>
      <c r="U82" s="43" t="s">
        <v>56</v>
      </c>
      <c r="V82" s="43"/>
      <c r="W82" s="44"/>
      <c r="X82" s="44"/>
      <c r="Y82" s="44"/>
      <c r="Z82" s="44"/>
      <c r="AA82" s="44"/>
    </row>
    <row r="83" spans="2:27" x14ac:dyDescent="0.25">
      <c r="B83" s="66"/>
      <c r="C83" s="7"/>
      <c r="E83" s="25"/>
      <c r="F83" s="23"/>
      <c r="G83" s="25"/>
      <c r="H83" s="25"/>
      <c r="I83" s="25"/>
      <c r="K83" s="8"/>
      <c r="L83" s="23">
        <f>L82-E82</f>
        <v>41030.141333333333</v>
      </c>
      <c r="N83" s="23">
        <f>N82-G82</f>
        <v>32207.457917000007</v>
      </c>
      <c r="O83" s="59"/>
      <c r="P83" s="28">
        <f>P82-I82</f>
        <v>8822.683416333326</v>
      </c>
      <c r="R83" s="28"/>
      <c r="S83" s="23"/>
      <c r="T83" s="23"/>
      <c r="U83" s="44" t="s">
        <v>57</v>
      </c>
      <c r="V83" s="44"/>
      <c r="W83" s="44"/>
    </row>
    <row r="84" spans="2:27" x14ac:dyDescent="0.25">
      <c r="B84" s="66"/>
      <c r="C84" s="7"/>
      <c r="E84" s="25"/>
      <c r="F84" s="23"/>
      <c r="G84" s="25"/>
      <c r="H84" s="25"/>
      <c r="I84" s="25"/>
      <c r="K84" s="8"/>
      <c r="L84" s="70"/>
      <c r="M84" s="28"/>
      <c r="N84" s="25"/>
      <c r="O84" s="59"/>
      <c r="P84" s="25"/>
      <c r="Q84" s="2"/>
      <c r="R84" s="28"/>
      <c r="S84" s="23"/>
      <c r="T84" s="23"/>
    </row>
    <row r="85" spans="2:27" x14ac:dyDescent="0.25">
      <c r="B85" s="66" t="s">
        <v>58</v>
      </c>
      <c r="C85" s="7" t="s">
        <v>13</v>
      </c>
      <c r="D85" s="47" t="s">
        <v>59</v>
      </c>
      <c r="E85" s="48">
        <f>SUM('[6]Paste Special WA 5yr'!D37)/12</f>
        <v>21244.650333333335</v>
      </c>
      <c r="F85" s="48"/>
      <c r="G85" s="48">
        <f>SUM('[6]Paste Special WA 5yr'!F37)/12</f>
        <v>16000.9475</v>
      </c>
      <c r="H85" s="48"/>
      <c r="I85" s="48">
        <f>SUM('[6]Paste Special WA 5yr'!H37)/12</f>
        <v>5243.7028333333328</v>
      </c>
      <c r="J85" s="47"/>
      <c r="K85" s="8"/>
      <c r="L85" s="48">
        <v>13411.33</v>
      </c>
      <c r="M85" s="47"/>
      <c r="N85" s="48">
        <f>SUM(L85*$N$58)</f>
        <v>10043.745037000001</v>
      </c>
      <c r="O85" s="69">
        <f>N85-G85</f>
        <v>-5957.2024629999996</v>
      </c>
      <c r="P85" s="48">
        <f>SUM(L85*$P$58)</f>
        <v>3367.5849629999998</v>
      </c>
      <c r="Q85" s="47"/>
      <c r="S85" s="23">
        <f>E85-G85-I85</f>
        <v>0</v>
      </c>
      <c r="T85" s="23">
        <f>L85-N85-P85</f>
        <v>0</v>
      </c>
    </row>
    <row r="86" spans="2:27" x14ac:dyDescent="0.25">
      <c r="B86" s="66"/>
      <c r="C86" s="7"/>
      <c r="E86" s="2"/>
      <c r="G86" s="2"/>
      <c r="H86" s="25"/>
      <c r="I86" s="2"/>
      <c r="L86" s="23">
        <f>L85-E85</f>
        <v>-7833.3203333333349</v>
      </c>
      <c r="N86" s="28">
        <f>N85-G85</f>
        <v>-5957.2024629999996</v>
      </c>
      <c r="O86" s="59"/>
      <c r="P86" s="28">
        <f>P85-I85</f>
        <v>-1876.117870333333</v>
      </c>
      <c r="R86" s="28"/>
      <c r="S86" s="23"/>
      <c r="T86" s="23"/>
    </row>
    <row r="87" spans="2:27" x14ac:dyDescent="0.25">
      <c r="I87" s="23" t="s">
        <v>60</v>
      </c>
      <c r="L87" s="50"/>
      <c r="O87" s="59">
        <f>-L87*N58</f>
        <v>0</v>
      </c>
    </row>
    <row r="88" spans="2:27" x14ac:dyDescent="0.25">
      <c r="O88" s="51">
        <f>O66+O76+O79+O82+O85+O87</f>
        <v>-55635.517710999993</v>
      </c>
    </row>
  </sheetData>
  <mergeCells count="3">
    <mergeCell ref="L13:O13"/>
    <mergeCell ref="E57:G58"/>
    <mergeCell ref="L57:P57"/>
  </mergeCells>
  <pageMargins left="0.45" right="0.45" top="0.5" bottom="0.25" header="0.3" footer="0.3"/>
  <pageSetup scale="5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2025-01-31T08:00:00+00:00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2F00F9D-4064-4531-95A0-444D84637C74}"/>
</file>

<file path=customXml/itemProps2.xml><?xml version="1.0" encoding="utf-8"?>
<ds:datastoreItem xmlns:ds="http://schemas.openxmlformats.org/officeDocument/2006/customXml" ds:itemID="{817B727B-8AEC-4671-9B4C-0B1A5B49ACAA}"/>
</file>

<file path=customXml/itemProps3.xml><?xml version="1.0" encoding="utf-8"?>
<ds:datastoreItem xmlns:ds="http://schemas.openxmlformats.org/officeDocument/2006/customXml" ds:itemID="{A664A38E-04C5-46B7-83D7-8F27D1237EC2}"/>
</file>

<file path=customXml/itemProps4.xml><?xml version="1.0" encoding="utf-8"?>
<ds:datastoreItem xmlns:ds="http://schemas.openxmlformats.org/officeDocument/2006/customXml" ds:itemID="{301CB6A0-B71F-4717-B206-2ADF4F23E9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COVID-19</vt:lpstr>
      <vt:lpstr>Other Direct Costs</vt:lpstr>
      <vt:lpstr>JDE Export OR</vt:lpstr>
      <vt:lpstr>Savings Jan</vt:lpstr>
      <vt:lpstr>Savings Feb</vt:lpstr>
      <vt:lpstr>Savings Mar Accrual</vt:lpstr>
      <vt:lpstr>Savings Mar</vt:lpstr>
      <vt:lpstr>Savings Apr</vt:lpstr>
      <vt:lpstr>Savings May</vt:lpstr>
      <vt:lpstr>Savings Jun</vt:lpstr>
      <vt:lpstr>'COVID-19'!Print_Area</vt:lpstr>
      <vt:lpstr>'JDE Export OR'!Print_Area</vt:lpstr>
      <vt:lpstr>'Other Direct Costs'!Print_Area</vt:lpstr>
      <vt:lpstr>'Savings Apr'!Print_Area</vt:lpstr>
      <vt:lpstr>'Savings Feb'!Print_Area</vt:lpstr>
      <vt:lpstr>'Savings Jan'!Print_Area</vt:lpstr>
      <vt:lpstr>'Savings Jun'!Print_Area</vt:lpstr>
      <vt:lpstr>'Savings Mar'!Print_Area</vt:lpstr>
      <vt:lpstr>'Savings Mar Accrual'!Print_Area</vt:lpstr>
      <vt:lpstr>'Savings May'!Print_Area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Hoyle, Brian</dc:creator>
  <cp:lastModifiedBy>Gresham, Maryalice</cp:lastModifiedBy>
  <cp:lastPrinted>2023-01-25T23:36:58Z</cp:lastPrinted>
  <dcterms:created xsi:type="dcterms:W3CDTF">2021-04-28T21:51:49Z</dcterms:created>
  <dcterms:modified xsi:type="dcterms:W3CDTF">2025-01-24T18:49:59Z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MSIP_Label_1da8032d-c4fe-48b8-9054-92634c9ea061_Enabled">
    <vt:lpwstr>true</vt:lpwstr>
  </property>
  <property fmtid="{D5CDD505-2E9C-101B-9397-08002B2CF9AE}" pid="4" name="MSIP_Label_1da8032d-c4fe-48b8-9054-92634c9ea061_SetDate">
    <vt:lpwstr>2024-07-02T22:34:21Z</vt:lpwstr>
  </property>
  <property fmtid="{D5CDD505-2E9C-101B-9397-08002B2CF9AE}" pid="5" name="MSIP_Label_1da8032d-c4fe-48b8-9054-92634c9ea061_Method">
    <vt:lpwstr>Standard</vt:lpwstr>
  </property>
  <property fmtid="{D5CDD505-2E9C-101B-9397-08002B2CF9AE}" pid="6" name="MSIP_Label_1da8032d-c4fe-48b8-9054-92634c9ea061_Name">
    <vt:lpwstr>Label 2 - Docs</vt:lpwstr>
  </property>
  <property fmtid="{D5CDD505-2E9C-101B-9397-08002B2CF9AE}" pid="7" name="MSIP_Label_1da8032d-c4fe-48b8-9054-92634c9ea061_SiteId">
    <vt:lpwstr>ce6a0196-6152-4c6a-9d1d-e946c3735743</vt:lpwstr>
  </property>
  <property fmtid="{D5CDD505-2E9C-101B-9397-08002B2CF9AE}" pid="8" name="MSIP_Label_1da8032d-c4fe-48b8-9054-92634c9ea061_ActionId">
    <vt:lpwstr>f19241b9-01bd-4a81-849a-a22b28174ca7</vt:lpwstr>
  </property>
  <property fmtid="{D5CDD505-2E9C-101B-9397-08002B2CF9AE}" pid="9" name="MSIP_Label_1da8032d-c4fe-48b8-9054-92634c9ea061_ContentBits">
    <vt:lpwstr>0</vt:lpwstr>
  </property>
  <property fmtid="{D5CDD505-2E9C-101B-9397-08002B2CF9AE}" pid="10" name="ContentTypeId">
    <vt:lpwstr>0x0101006E56B4D1795A2E4DB2F0B01679ED314A00997A3B8E360FE040B2ACCDE0622B3ACE</vt:lpwstr>
  </property>
  <property fmtid="{D5CDD505-2E9C-101B-9397-08002B2CF9AE}" pid="11" name="_docset_NoMedatataSyncRequired">
    <vt:lpwstr>False</vt:lpwstr>
  </property>
</Properties>
</file>