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60" windowHeight="9612"/>
  </bookViews>
  <sheets>
    <sheet name="Electric Deferral" sheetId="1" r:id="rId1"/>
    <sheet name="Acerno_Cache_XXXXX" sheetId="6" state="veryHidden" r:id="rId2"/>
    <sheet name="Nat Gas Deferral" sheetId="2" r:id="rId3"/>
    <sheet name="Accounting Balances" sheetId="3" r:id="rId4"/>
    <sheet name="Interest Reconciliation" sheetId="5" r:id="rId5"/>
    <sheet name="Notes" sheetId="4" r:id="rId6"/>
  </sheets>
  <definedNames>
    <definedName name="_xlnm.Print_Area" localSheetId="3">'Accounting Balances'!$A$1:$H$182</definedName>
    <definedName name="_xlnm.Print_Area" localSheetId="4">'Interest Reconciliation'!$A$1:$R$151</definedName>
    <definedName name="_xlnm.Print_Area" localSheetId="5">Notes!$A$1:$K$31</definedName>
  </definedNames>
  <calcPr calcId="152511"/>
</workbook>
</file>

<file path=xl/calcChain.xml><?xml version="1.0" encoding="utf-8"?>
<calcChain xmlns="http://schemas.openxmlformats.org/spreadsheetml/2006/main">
  <c r="C18" i="2" l="1"/>
  <c r="C23" i="2"/>
  <c r="C40" i="2"/>
  <c r="C148" i="5" l="1"/>
  <c r="H147" i="5"/>
  <c r="H148" i="5" s="1"/>
  <c r="H149" i="5" s="1"/>
  <c r="H150" i="5" s="1"/>
  <c r="Q146" i="5"/>
  <c r="Q147" i="5" s="1"/>
  <c r="Q148" i="5" s="1"/>
  <c r="Q149" i="5" s="1"/>
  <c r="Q150" i="5" s="1"/>
  <c r="H146" i="5"/>
  <c r="H144" i="5"/>
  <c r="Q143" i="5"/>
  <c r="Q144" i="5" s="1"/>
  <c r="H143" i="5"/>
  <c r="H141" i="5"/>
  <c r="Q140" i="5"/>
  <c r="Q141" i="5" s="1"/>
  <c r="H140" i="5"/>
  <c r="M139" i="5"/>
  <c r="O139" i="5" s="1"/>
  <c r="D139" i="5"/>
  <c r="F139" i="5" s="1"/>
  <c r="Q130" i="5"/>
  <c r="Q131" i="5" s="1"/>
  <c r="Q132" i="5" s="1"/>
  <c r="Q133" i="5" s="1"/>
  <c r="Q134" i="5" s="1"/>
  <c r="H130" i="5"/>
  <c r="H131" i="5" s="1"/>
  <c r="H132" i="5" s="1"/>
  <c r="H133" i="5" s="1"/>
  <c r="H134" i="5" s="1"/>
  <c r="Q127" i="5"/>
  <c r="Q128" i="5" s="1"/>
  <c r="H127" i="5"/>
  <c r="H128" i="5" s="1"/>
  <c r="Q124" i="5"/>
  <c r="Q125" i="5" s="1"/>
  <c r="H124" i="5"/>
  <c r="H125" i="5" s="1"/>
  <c r="M123" i="5"/>
  <c r="O123" i="5" s="1"/>
  <c r="D123" i="5"/>
  <c r="F123" i="5" s="1"/>
  <c r="Q117" i="5"/>
  <c r="Q118" i="5" s="1"/>
  <c r="L116" i="5"/>
  <c r="Q114" i="5"/>
  <c r="Q115" i="5" s="1"/>
  <c r="Q116" i="5" s="1"/>
  <c r="H113" i="5"/>
  <c r="H114" i="5" s="1"/>
  <c r="H115" i="5" s="1"/>
  <c r="H116" i="5" s="1"/>
  <c r="H117" i="5" s="1"/>
  <c r="H118" i="5" s="1"/>
  <c r="Q111" i="5"/>
  <c r="Q112" i="5" s="1"/>
  <c r="H111" i="5"/>
  <c r="Q108" i="5"/>
  <c r="Q109" i="5" s="1"/>
  <c r="H108" i="5"/>
  <c r="H109" i="5" s="1"/>
  <c r="M107" i="5"/>
  <c r="O107" i="5" s="1"/>
  <c r="D107" i="5"/>
  <c r="F107" i="5" s="1"/>
  <c r="D108" i="5" s="1"/>
  <c r="Q101" i="5"/>
  <c r="Q102" i="5" s="1"/>
  <c r="L100" i="5"/>
  <c r="C100" i="5"/>
  <c r="Q99" i="5"/>
  <c r="Q100" i="5" s="1"/>
  <c r="H99" i="5"/>
  <c r="H100" i="5" s="1"/>
  <c r="H101" i="5" s="1"/>
  <c r="H102" i="5" s="1"/>
  <c r="Q98" i="5"/>
  <c r="H98" i="5"/>
  <c r="Q96" i="5"/>
  <c r="H96" i="5"/>
  <c r="Q95" i="5"/>
  <c r="H95" i="5"/>
  <c r="Q93" i="5"/>
  <c r="H93" i="5"/>
  <c r="Q92" i="5"/>
  <c r="M92" i="5"/>
  <c r="H92" i="5"/>
  <c r="D92" i="5"/>
  <c r="O91" i="5"/>
  <c r="O92" i="5" s="1"/>
  <c r="M91" i="5"/>
  <c r="D91" i="5"/>
  <c r="F91" i="5" s="1"/>
  <c r="Q86" i="5"/>
  <c r="Q83" i="5"/>
  <c r="Q84" i="5" s="1"/>
  <c r="Q85" i="5" s="1"/>
  <c r="Q82" i="5"/>
  <c r="H82" i="5"/>
  <c r="H83" i="5" s="1"/>
  <c r="H84" i="5" s="1"/>
  <c r="H85" i="5" s="1"/>
  <c r="H86" i="5" s="1"/>
  <c r="H79" i="5"/>
  <c r="Q78" i="5"/>
  <c r="Q79" i="5" s="1"/>
  <c r="H78" i="5"/>
  <c r="H76" i="5"/>
  <c r="Q75" i="5"/>
  <c r="Q76" i="5" s="1"/>
  <c r="H75" i="5"/>
  <c r="O74" i="5"/>
  <c r="M75" i="5" s="1"/>
  <c r="O75" i="5" s="1"/>
  <c r="M74" i="5"/>
  <c r="D74" i="5"/>
  <c r="F74" i="5" s="1"/>
  <c r="Q67" i="5"/>
  <c r="Q68" i="5" s="1"/>
  <c r="Q69" i="5" s="1"/>
  <c r="H66" i="5"/>
  <c r="H67" i="5" s="1"/>
  <c r="H68" i="5" s="1"/>
  <c r="H69" i="5" s="1"/>
  <c r="Q65" i="5"/>
  <c r="Q66" i="5" s="1"/>
  <c r="H65" i="5"/>
  <c r="Q61" i="5"/>
  <c r="Q62" i="5" s="1"/>
  <c r="H61" i="5"/>
  <c r="H62" i="5" s="1"/>
  <c r="Q58" i="5"/>
  <c r="Q59" i="5" s="1"/>
  <c r="H58" i="5"/>
  <c r="H59" i="5" s="1"/>
  <c r="M57" i="5"/>
  <c r="O57" i="5" s="1"/>
  <c r="M58" i="5" s="1"/>
  <c r="D57" i="5"/>
  <c r="F57" i="5" s="1"/>
  <c r="D58" i="5" s="1"/>
  <c r="Q48" i="5"/>
  <c r="Q49" i="5" s="1"/>
  <c r="Q50" i="5" s="1"/>
  <c r="Q51" i="5" s="1"/>
  <c r="Q52" i="5" s="1"/>
  <c r="H48" i="5"/>
  <c r="H49" i="5" s="1"/>
  <c r="H50" i="5" s="1"/>
  <c r="H51" i="5" s="1"/>
  <c r="H52" i="5" s="1"/>
  <c r="Q45" i="5"/>
  <c r="Q46" i="5" s="1"/>
  <c r="H45" i="5"/>
  <c r="H46" i="5" s="1"/>
  <c r="Q42" i="5"/>
  <c r="Q43" i="5" s="1"/>
  <c r="H42" i="5"/>
  <c r="H43" i="5" s="1"/>
  <c r="M41" i="5"/>
  <c r="O41" i="5" s="1"/>
  <c r="D41" i="5"/>
  <c r="F41" i="5" s="1"/>
  <c r="H33" i="5"/>
  <c r="H34" i="5" s="1"/>
  <c r="H35" i="5" s="1"/>
  <c r="H36" i="5" s="1"/>
  <c r="Q32" i="5"/>
  <c r="Q33" i="5" s="1"/>
  <c r="Q34" i="5" s="1"/>
  <c r="Q35" i="5" s="1"/>
  <c r="Q36" i="5" s="1"/>
  <c r="H32" i="5"/>
  <c r="H30" i="5"/>
  <c r="Q29" i="5"/>
  <c r="Q30" i="5" s="1"/>
  <c r="H29" i="5"/>
  <c r="H27" i="5"/>
  <c r="Q26" i="5"/>
  <c r="Q27" i="5" s="1"/>
  <c r="O26" i="5"/>
  <c r="H26" i="5"/>
  <c r="M25" i="5"/>
  <c r="O25" i="5" s="1"/>
  <c r="M26" i="5" s="1"/>
  <c r="D25" i="5"/>
  <c r="F25" i="5" s="1"/>
  <c r="D26" i="5" s="1"/>
  <c r="N20" i="5"/>
  <c r="M20" i="5"/>
  <c r="E20" i="5"/>
  <c r="D20" i="5"/>
  <c r="O19" i="5"/>
  <c r="N19" i="5"/>
  <c r="M19" i="5"/>
  <c r="E19" i="5"/>
  <c r="D19" i="5"/>
  <c r="N18" i="5"/>
  <c r="M18" i="5"/>
  <c r="E18" i="5"/>
  <c r="D18" i="5"/>
  <c r="N17" i="5"/>
  <c r="M17" i="5"/>
  <c r="E17" i="5"/>
  <c r="D17" i="5"/>
  <c r="O16" i="5"/>
  <c r="F16" i="5"/>
  <c r="O15" i="5"/>
  <c r="F15" i="5"/>
  <c r="O14" i="5"/>
  <c r="O20" i="5" s="1"/>
  <c r="F14" i="5"/>
  <c r="F20" i="5" s="1"/>
  <c r="O13" i="5"/>
  <c r="F13" i="5"/>
  <c r="O12" i="5"/>
  <c r="F12" i="5"/>
  <c r="O11" i="5"/>
  <c r="F11" i="5"/>
  <c r="F19" i="5" s="1"/>
  <c r="O10" i="5"/>
  <c r="F10" i="5"/>
  <c r="O9" i="5"/>
  <c r="F9" i="5"/>
  <c r="O8" i="5"/>
  <c r="O18" i="5" s="1"/>
  <c r="F8" i="5"/>
  <c r="O7" i="5"/>
  <c r="F7" i="5"/>
  <c r="O6" i="5"/>
  <c r="F6" i="5"/>
  <c r="O5" i="5"/>
  <c r="O17" i="5" s="1"/>
  <c r="F5" i="5"/>
  <c r="F17" i="5" s="1"/>
  <c r="J87" i="3"/>
  <c r="K87" i="3" s="1"/>
  <c r="J86" i="3"/>
  <c r="K86" i="3" s="1"/>
  <c r="J85" i="3"/>
  <c r="K85" i="3" s="1"/>
  <c r="J83" i="3"/>
  <c r="K83" i="3" s="1"/>
  <c r="J82" i="3"/>
  <c r="K82" i="3" s="1"/>
  <c r="J81" i="3"/>
  <c r="K81" i="3" s="1"/>
  <c r="M140" i="5" l="1"/>
  <c r="O140" i="5"/>
  <c r="M108" i="5"/>
  <c r="O108" i="5" s="1"/>
  <c r="L5" i="5"/>
  <c r="Q5" i="5" s="1"/>
  <c r="M27" i="5"/>
  <c r="O27" i="5" s="1"/>
  <c r="F58" i="5"/>
  <c r="F18" i="5"/>
  <c r="C5" i="5"/>
  <c r="O76" i="5"/>
  <c r="M76" i="5"/>
  <c r="M93" i="5"/>
  <c r="O93" i="5" s="1"/>
  <c r="F26" i="5"/>
  <c r="D42" i="5"/>
  <c r="M141" i="5"/>
  <c r="O141" i="5"/>
  <c r="M42" i="5"/>
  <c r="O42" i="5"/>
  <c r="D75" i="5"/>
  <c r="F75" i="5" s="1"/>
  <c r="O58" i="5"/>
  <c r="F108" i="5"/>
  <c r="M124" i="5"/>
  <c r="O124" i="5"/>
  <c r="F92" i="5"/>
  <c r="D124" i="5"/>
  <c r="F124" i="5" s="1"/>
  <c r="D140" i="5"/>
  <c r="F140" i="5" s="1"/>
  <c r="O20" i="2"/>
  <c r="P20" i="2"/>
  <c r="Q20" i="2"/>
  <c r="O22" i="1"/>
  <c r="P22" i="1"/>
  <c r="Q22" i="1"/>
  <c r="F10" i="1"/>
  <c r="C6" i="5" l="1"/>
  <c r="H6" i="5" s="1"/>
  <c r="L6" i="5"/>
  <c r="Q6" i="5" s="1"/>
  <c r="M109" i="5"/>
  <c r="O109" i="5" s="1"/>
  <c r="D76" i="5"/>
  <c r="F76" i="5"/>
  <c r="D141" i="5"/>
  <c r="F141" i="5" s="1"/>
  <c r="M94" i="5"/>
  <c r="O94" i="5"/>
  <c r="M28" i="5"/>
  <c r="D93" i="5"/>
  <c r="F93" i="5"/>
  <c r="D109" i="5"/>
  <c r="F109" i="5"/>
  <c r="M43" i="5"/>
  <c r="O43" i="5"/>
  <c r="M77" i="5"/>
  <c r="O77" i="5"/>
  <c r="D59" i="5"/>
  <c r="F59" i="5" s="1"/>
  <c r="M59" i="5"/>
  <c r="O59" i="5" s="1"/>
  <c r="F42" i="5"/>
  <c r="H5" i="5"/>
  <c r="M125" i="5"/>
  <c r="O125" i="5" s="1"/>
  <c r="M142" i="5"/>
  <c r="O142" i="5" s="1"/>
  <c r="F27" i="5"/>
  <c r="D27" i="5"/>
  <c r="D125" i="5"/>
  <c r="F125" i="5" s="1"/>
  <c r="I10" i="4"/>
  <c r="I11" i="4"/>
  <c r="I14" i="4"/>
  <c r="I15" i="4"/>
  <c r="I16" i="4"/>
  <c r="I19" i="4"/>
  <c r="I20" i="4"/>
  <c r="I21" i="4"/>
  <c r="I24" i="4"/>
  <c r="I25" i="4"/>
  <c r="I26" i="4"/>
  <c r="I9" i="4"/>
  <c r="O18" i="2"/>
  <c r="O20" i="1"/>
  <c r="M110" i="5" l="1"/>
  <c r="O110" i="5" s="1"/>
  <c r="D142" i="5"/>
  <c r="F142" i="5" s="1"/>
  <c r="M143" i="5"/>
  <c r="O143" i="5" s="1"/>
  <c r="M60" i="5"/>
  <c r="O60" i="5" s="1"/>
  <c r="D126" i="5"/>
  <c r="F126" i="5" s="1"/>
  <c r="M126" i="5"/>
  <c r="O126" i="5" s="1"/>
  <c r="D60" i="5"/>
  <c r="F60" i="5" s="1"/>
  <c r="D110" i="5"/>
  <c r="F110" i="5" s="1"/>
  <c r="L7" i="5"/>
  <c r="C7" i="5"/>
  <c r="F43" i="5"/>
  <c r="D43" i="5"/>
  <c r="O28" i="5"/>
  <c r="D28" i="5"/>
  <c r="M78" i="5"/>
  <c r="O78" i="5" s="1"/>
  <c r="M44" i="5"/>
  <c r="L8" i="5" s="1"/>
  <c r="D94" i="5"/>
  <c r="F94" i="5" s="1"/>
  <c r="M95" i="5"/>
  <c r="O95" i="5" s="1"/>
  <c r="D77" i="5"/>
  <c r="F77" i="5" s="1"/>
  <c r="U9" i="1"/>
  <c r="M111" i="5" l="1"/>
  <c r="O111" i="5"/>
  <c r="M79" i="5"/>
  <c r="O79" i="5" s="1"/>
  <c r="D127" i="5"/>
  <c r="F127" i="5" s="1"/>
  <c r="D78" i="5"/>
  <c r="F78" i="5"/>
  <c r="M96" i="5"/>
  <c r="O96" i="5" s="1"/>
  <c r="M61" i="5"/>
  <c r="O61" i="5"/>
  <c r="D95" i="5"/>
  <c r="F95" i="5" s="1"/>
  <c r="D61" i="5"/>
  <c r="F61" i="5"/>
  <c r="M144" i="5"/>
  <c r="O144" i="5" s="1"/>
  <c r="Q8" i="5"/>
  <c r="D111" i="5"/>
  <c r="F111" i="5" s="1"/>
  <c r="M127" i="5"/>
  <c r="O127" i="5" s="1"/>
  <c r="D143" i="5"/>
  <c r="F143" i="5" s="1"/>
  <c r="F44" i="5"/>
  <c r="D44" i="5"/>
  <c r="C8" i="5" s="1"/>
  <c r="O44" i="5"/>
  <c r="F28" i="5"/>
  <c r="H7" i="5"/>
  <c r="C17" i="5"/>
  <c r="H17" i="5" s="1"/>
  <c r="M29" i="5"/>
  <c r="Q7" i="5"/>
  <c r="L17" i="5"/>
  <c r="Q17" i="5" s="1"/>
  <c r="M112" i="5"/>
  <c r="O112" i="5" s="1"/>
  <c r="O42" i="1"/>
  <c r="D96" i="5" l="1"/>
  <c r="F96" i="5"/>
  <c r="D144" i="5"/>
  <c r="F144" i="5" s="1"/>
  <c r="M145" i="5"/>
  <c r="O145" i="5" s="1"/>
  <c r="M113" i="5"/>
  <c r="O113" i="5" s="1"/>
  <c r="H8" i="5"/>
  <c r="D128" i="5"/>
  <c r="F128" i="5" s="1"/>
  <c r="D112" i="5"/>
  <c r="F112" i="5"/>
  <c r="M97" i="5"/>
  <c r="O97" i="5" s="1"/>
  <c r="M80" i="5"/>
  <c r="O80" i="5"/>
  <c r="M45" i="5"/>
  <c r="O45" i="5" s="1"/>
  <c r="F45" i="5"/>
  <c r="D45" i="5"/>
  <c r="M128" i="5"/>
  <c r="O128" i="5" s="1"/>
  <c r="F62" i="5"/>
  <c r="D62" i="5"/>
  <c r="O62" i="5"/>
  <c r="M62" i="5"/>
  <c r="D79" i="5"/>
  <c r="F79" i="5" s="1"/>
  <c r="O29" i="5"/>
  <c r="D29" i="5"/>
  <c r="C9" i="5" s="1"/>
  <c r="H9" i="5" s="1"/>
  <c r="M20" i="2"/>
  <c r="N20" i="2" s="1"/>
  <c r="M22" i="1"/>
  <c r="N22" i="1" s="1"/>
  <c r="D129" i="5" l="1"/>
  <c r="F129" i="5"/>
  <c r="M98" i="5"/>
  <c r="O98" i="5" s="1"/>
  <c r="D145" i="5"/>
  <c r="F145" i="5" s="1"/>
  <c r="D80" i="5"/>
  <c r="F80" i="5"/>
  <c r="F81" i="5" s="1"/>
  <c r="M46" i="5"/>
  <c r="O46" i="5"/>
  <c r="M114" i="5"/>
  <c r="O114" i="5" s="1"/>
  <c r="M129" i="5"/>
  <c r="O129" i="5" s="1"/>
  <c r="M30" i="5"/>
  <c r="L10" i="5" s="1"/>
  <c r="Q10" i="5" s="1"/>
  <c r="O30" i="5"/>
  <c r="M63" i="5"/>
  <c r="O63" i="5" s="1"/>
  <c r="D63" i="5"/>
  <c r="F63" i="5" s="1"/>
  <c r="F64" i="5" s="1"/>
  <c r="L9" i="5"/>
  <c r="F46" i="5"/>
  <c r="D46" i="5"/>
  <c r="M82" i="5"/>
  <c r="O82" i="5" s="1"/>
  <c r="D113" i="5"/>
  <c r="F113" i="5" s="1"/>
  <c r="M146" i="5"/>
  <c r="O146" i="5" s="1"/>
  <c r="D97" i="5"/>
  <c r="F97" i="5" s="1"/>
  <c r="F29" i="5"/>
  <c r="H42" i="2"/>
  <c r="G42" i="2"/>
  <c r="F42" i="2"/>
  <c r="C42" i="2"/>
  <c r="H40" i="2"/>
  <c r="G40" i="2"/>
  <c r="F40" i="2"/>
  <c r="R39" i="2"/>
  <c r="H39" i="2"/>
  <c r="G39" i="2"/>
  <c r="F39" i="2"/>
  <c r="R38" i="2"/>
  <c r="H38" i="2"/>
  <c r="G38" i="2"/>
  <c r="F38" i="2"/>
  <c r="I37" i="2"/>
  <c r="H37" i="2"/>
  <c r="G37" i="2"/>
  <c r="F37" i="2"/>
  <c r="R36" i="2"/>
  <c r="H36" i="2"/>
  <c r="G36" i="2"/>
  <c r="F36" i="2"/>
  <c r="E36" i="2"/>
  <c r="D36" i="2"/>
  <c r="R35" i="2"/>
  <c r="P35" i="2"/>
  <c r="P36" i="2" s="1"/>
  <c r="I35" i="2"/>
  <c r="H35" i="2"/>
  <c r="G35" i="2"/>
  <c r="F35" i="2"/>
  <c r="E35" i="2"/>
  <c r="D35" i="2"/>
  <c r="C35" i="2"/>
  <c r="R34" i="2"/>
  <c r="P34" i="2"/>
  <c r="O34" i="2"/>
  <c r="M34" i="2"/>
  <c r="L34" i="2"/>
  <c r="I34" i="2"/>
  <c r="H34" i="2"/>
  <c r="G34" i="2"/>
  <c r="F34" i="2"/>
  <c r="E34" i="2"/>
  <c r="D34" i="2"/>
  <c r="T33" i="2"/>
  <c r="R33" i="2"/>
  <c r="Q33" i="2"/>
  <c r="Q34" i="2" s="1"/>
  <c r="P33" i="2"/>
  <c r="O33" i="2"/>
  <c r="O35" i="2" s="1"/>
  <c r="O36" i="2" s="1"/>
  <c r="N33" i="2"/>
  <c r="N34" i="2" s="1"/>
  <c r="M33" i="2"/>
  <c r="M35" i="2" s="1"/>
  <c r="M36" i="2" s="1"/>
  <c r="L33" i="2"/>
  <c r="K33" i="2"/>
  <c r="K34" i="2" s="1"/>
  <c r="J33" i="2"/>
  <c r="J34" i="2" s="1"/>
  <c r="I33" i="2"/>
  <c r="H33" i="2"/>
  <c r="G33" i="2"/>
  <c r="F33" i="2"/>
  <c r="E33" i="2"/>
  <c r="D33" i="2"/>
  <c r="C33" i="2"/>
  <c r="E32" i="2"/>
  <c r="D32" i="2"/>
  <c r="E31" i="2"/>
  <c r="D31" i="2"/>
  <c r="U28" i="2"/>
  <c r="R28" i="2"/>
  <c r="Q28" i="2"/>
  <c r="P28" i="2"/>
  <c r="O28" i="2"/>
  <c r="N28" i="2"/>
  <c r="N35" i="2" s="1"/>
  <c r="N36" i="2" s="1"/>
  <c r="M28" i="2"/>
  <c r="L28" i="2"/>
  <c r="L35" i="2" s="1"/>
  <c r="K28" i="2"/>
  <c r="J28" i="2"/>
  <c r="V28" i="2" s="1"/>
  <c r="I28" i="2"/>
  <c r="S28" i="2" s="1"/>
  <c r="S27" i="2" s="1"/>
  <c r="H28" i="2"/>
  <c r="G28" i="2"/>
  <c r="F28" i="2"/>
  <c r="E28" i="2"/>
  <c r="D28" i="2"/>
  <c r="C28" i="2"/>
  <c r="R27" i="2"/>
  <c r="F27" i="2"/>
  <c r="V26" i="2"/>
  <c r="U26" i="2"/>
  <c r="T26" i="2"/>
  <c r="S26" i="2"/>
  <c r="R26" i="2"/>
  <c r="E26" i="2"/>
  <c r="D26" i="2"/>
  <c r="H23" i="2"/>
  <c r="G23" i="2"/>
  <c r="F23" i="2"/>
  <c r="R22" i="2"/>
  <c r="H22" i="2"/>
  <c r="G22" i="2"/>
  <c r="F22" i="2"/>
  <c r="R21" i="2"/>
  <c r="H21" i="2"/>
  <c r="G21" i="2"/>
  <c r="F21" i="2"/>
  <c r="J20" i="2"/>
  <c r="J37" i="2" s="1"/>
  <c r="H20" i="2"/>
  <c r="G20" i="2"/>
  <c r="R19" i="2"/>
  <c r="H19" i="2"/>
  <c r="G19" i="2"/>
  <c r="F19" i="2"/>
  <c r="E19" i="2"/>
  <c r="D19" i="2"/>
  <c r="R18" i="2"/>
  <c r="H18" i="2"/>
  <c r="G18" i="2"/>
  <c r="F18" i="2"/>
  <c r="E18" i="2"/>
  <c r="D18" i="2"/>
  <c r="R17" i="2"/>
  <c r="K17" i="2"/>
  <c r="J17" i="2"/>
  <c r="H17" i="2"/>
  <c r="G17" i="2"/>
  <c r="F17" i="2"/>
  <c r="E17" i="2"/>
  <c r="D17" i="2"/>
  <c r="R16" i="2"/>
  <c r="Q16" i="2"/>
  <c r="Q18" i="2" s="1"/>
  <c r="Q19" i="2" s="1"/>
  <c r="P16" i="2"/>
  <c r="P17" i="2" s="1"/>
  <c r="O16" i="2"/>
  <c r="O17" i="2" s="1"/>
  <c r="N16" i="2"/>
  <c r="N18" i="2" s="1"/>
  <c r="N19" i="2" s="1"/>
  <c r="M16" i="2"/>
  <c r="M17" i="2" s="1"/>
  <c r="L16" i="2"/>
  <c r="L17" i="2" s="1"/>
  <c r="K16" i="2"/>
  <c r="J16" i="2"/>
  <c r="J18" i="2" s="1"/>
  <c r="I16" i="2"/>
  <c r="I17" i="2" s="1"/>
  <c r="H16" i="2"/>
  <c r="G16" i="2"/>
  <c r="F16" i="2"/>
  <c r="E16" i="2"/>
  <c r="D16" i="2"/>
  <c r="C16" i="2"/>
  <c r="E15" i="2"/>
  <c r="D15" i="2"/>
  <c r="E14" i="2"/>
  <c r="D14" i="2"/>
  <c r="E13" i="2"/>
  <c r="D13" i="2"/>
  <c r="U11" i="2"/>
  <c r="U10" i="2" s="1"/>
  <c r="T11" i="2"/>
  <c r="T10" i="2" s="1"/>
  <c r="R11" i="2"/>
  <c r="Q11" i="2"/>
  <c r="P11" i="2"/>
  <c r="O11" i="2"/>
  <c r="N11" i="2"/>
  <c r="M11" i="2"/>
  <c r="M18" i="2" s="1"/>
  <c r="M19" i="2" s="1"/>
  <c r="L11" i="2"/>
  <c r="K11" i="2"/>
  <c r="K18" i="2" s="1"/>
  <c r="J11" i="2"/>
  <c r="I11" i="2"/>
  <c r="I18" i="2" s="1"/>
  <c r="H11" i="2"/>
  <c r="G11" i="2"/>
  <c r="F11" i="2"/>
  <c r="E11" i="2"/>
  <c r="D11" i="2"/>
  <c r="C11" i="2"/>
  <c r="A11" i="2"/>
  <c r="R10" i="2"/>
  <c r="F10" i="2"/>
  <c r="A10" i="2"/>
  <c r="V9" i="2"/>
  <c r="U9" i="2"/>
  <c r="T9" i="2"/>
  <c r="S9" i="2"/>
  <c r="R9" i="2"/>
  <c r="E9" i="2"/>
  <c r="D9" i="2"/>
  <c r="Q6" i="2"/>
  <c r="P6" i="2"/>
  <c r="O6" i="2"/>
  <c r="N6" i="2"/>
  <c r="M6" i="2"/>
  <c r="L6" i="2"/>
  <c r="K6" i="2"/>
  <c r="J6" i="2"/>
  <c r="I6" i="2"/>
  <c r="H6" i="2"/>
  <c r="G6" i="2"/>
  <c r="E5" i="2"/>
  <c r="D5" i="2"/>
  <c r="C47" i="1"/>
  <c r="C45" i="1"/>
  <c r="I42" i="1"/>
  <c r="F42" i="1"/>
  <c r="N39" i="1"/>
  <c r="N38" i="1"/>
  <c r="H38" i="1"/>
  <c r="H39" i="1" s="1"/>
  <c r="D38" i="1"/>
  <c r="D39" i="1" s="1"/>
  <c r="Q37" i="1"/>
  <c r="Q38" i="1" s="1"/>
  <c r="Q39" i="1" s="1"/>
  <c r="P37" i="1"/>
  <c r="P38" i="1" s="1"/>
  <c r="P39" i="1" s="1"/>
  <c r="O37" i="1"/>
  <c r="O38" i="1" s="1"/>
  <c r="N37" i="1"/>
  <c r="M37" i="1"/>
  <c r="M38" i="1" s="1"/>
  <c r="L37" i="1"/>
  <c r="L38" i="1" s="1"/>
  <c r="L39" i="1" s="1"/>
  <c r="K37" i="1"/>
  <c r="K38" i="1" s="1"/>
  <c r="K39" i="1" s="1"/>
  <c r="J37" i="1"/>
  <c r="J38" i="1" s="1"/>
  <c r="J39" i="1" s="1"/>
  <c r="I37" i="1"/>
  <c r="I38" i="1" s="1"/>
  <c r="H37" i="1"/>
  <c r="G37" i="1"/>
  <c r="G38" i="1" s="1"/>
  <c r="D35" i="1"/>
  <c r="D37" i="1" s="1"/>
  <c r="A35" i="1"/>
  <c r="D34" i="1"/>
  <c r="A34" i="1"/>
  <c r="E33" i="1"/>
  <c r="D33" i="1"/>
  <c r="Q31" i="1"/>
  <c r="P31" i="1"/>
  <c r="P40" i="1" s="1"/>
  <c r="O31" i="1"/>
  <c r="O40" i="1" s="1"/>
  <c r="N31" i="1"/>
  <c r="M31" i="1"/>
  <c r="L31" i="1"/>
  <c r="K31" i="1"/>
  <c r="J31" i="1"/>
  <c r="I31" i="1"/>
  <c r="S31" i="1" s="1"/>
  <c r="S30" i="1" s="1"/>
  <c r="H31" i="1"/>
  <c r="H40" i="1" s="1"/>
  <c r="G31" i="1"/>
  <c r="E31" i="1"/>
  <c r="D31" i="1"/>
  <c r="C31" i="1"/>
  <c r="A30" i="1"/>
  <c r="A31" i="1" s="1"/>
  <c r="V29" i="1"/>
  <c r="U29" i="1"/>
  <c r="T29" i="1"/>
  <c r="S29" i="1"/>
  <c r="R29" i="1"/>
  <c r="E29" i="1"/>
  <c r="D29" i="1"/>
  <c r="C25" i="1"/>
  <c r="J22" i="1"/>
  <c r="G22" i="1"/>
  <c r="H19" i="1"/>
  <c r="O18" i="1"/>
  <c r="O19" i="1" s="1"/>
  <c r="G18" i="1"/>
  <c r="G19" i="1" s="1"/>
  <c r="C18" i="1"/>
  <c r="Q17" i="1"/>
  <c r="Q18" i="1" s="1"/>
  <c r="Q19" i="1" s="1"/>
  <c r="P17" i="1"/>
  <c r="P18" i="1" s="1"/>
  <c r="P19" i="1" s="1"/>
  <c r="O17" i="1"/>
  <c r="N17" i="1"/>
  <c r="N18" i="1" s="1"/>
  <c r="N19" i="1" s="1"/>
  <c r="M17" i="1"/>
  <c r="M18" i="1" s="1"/>
  <c r="M19" i="1" s="1"/>
  <c r="L17" i="1"/>
  <c r="L18" i="1" s="1"/>
  <c r="K17" i="1"/>
  <c r="K18" i="1" s="1"/>
  <c r="J17" i="1"/>
  <c r="J18" i="1" s="1"/>
  <c r="J19" i="1" s="1"/>
  <c r="I17" i="1"/>
  <c r="I18" i="1" s="1"/>
  <c r="I19" i="1" s="1"/>
  <c r="H17" i="1"/>
  <c r="H18" i="1" s="1"/>
  <c r="G17" i="1"/>
  <c r="D17" i="1"/>
  <c r="C17" i="1"/>
  <c r="F16" i="1"/>
  <c r="F17" i="1" s="1"/>
  <c r="F18" i="1" s="1"/>
  <c r="D15" i="1"/>
  <c r="D14" i="1"/>
  <c r="E13" i="1"/>
  <c r="D13" i="1"/>
  <c r="Q11" i="1"/>
  <c r="P11" i="1"/>
  <c r="O11" i="1"/>
  <c r="N11" i="1"/>
  <c r="M11" i="1"/>
  <c r="L11" i="1"/>
  <c r="K11" i="1"/>
  <c r="J11" i="1"/>
  <c r="I11" i="1"/>
  <c r="S11" i="1" s="1"/>
  <c r="S10" i="1" s="1"/>
  <c r="H11" i="1"/>
  <c r="H20" i="1" s="1"/>
  <c r="H21" i="1" s="1"/>
  <c r="G11" i="1"/>
  <c r="G20" i="1" s="1"/>
  <c r="E11" i="1"/>
  <c r="D11" i="1"/>
  <c r="C11" i="1"/>
  <c r="A10" i="1"/>
  <c r="A11" i="1" s="1"/>
  <c r="C20" i="1" s="1"/>
  <c r="V9" i="1"/>
  <c r="T9" i="1"/>
  <c r="S9" i="1"/>
  <c r="R9" i="1"/>
  <c r="E9" i="1"/>
  <c r="D9" i="1"/>
  <c r="G6" i="1"/>
  <c r="H6" i="1" s="1"/>
  <c r="I6" i="1" s="1"/>
  <c r="J6" i="1" s="1"/>
  <c r="K6" i="1" s="1"/>
  <c r="L6" i="1" s="1"/>
  <c r="M6" i="1" s="1"/>
  <c r="N6" i="1" s="1"/>
  <c r="O6" i="1" s="1"/>
  <c r="P6" i="1" s="1"/>
  <c r="Q6" i="1" s="1"/>
  <c r="E5" i="1"/>
  <c r="D114" i="5" l="1"/>
  <c r="F114" i="5" s="1"/>
  <c r="D146" i="5"/>
  <c r="F146" i="5" s="1"/>
  <c r="D98" i="5"/>
  <c r="F98" i="5" s="1"/>
  <c r="M83" i="5"/>
  <c r="O83" i="5"/>
  <c r="O84" i="5" s="1"/>
  <c r="D65" i="5"/>
  <c r="F65" i="5" s="1"/>
  <c r="M130" i="5"/>
  <c r="O130" i="5"/>
  <c r="M99" i="5"/>
  <c r="O99" i="5"/>
  <c r="M65" i="5"/>
  <c r="O65" i="5"/>
  <c r="M47" i="5"/>
  <c r="O47" i="5" s="1"/>
  <c r="M31" i="5"/>
  <c r="M115" i="5"/>
  <c r="O115" i="5" s="1"/>
  <c r="D82" i="5"/>
  <c r="F82" i="5" s="1"/>
  <c r="M147" i="5"/>
  <c r="O147" i="5"/>
  <c r="D47" i="5"/>
  <c r="F47" i="5" s="1"/>
  <c r="D130" i="5"/>
  <c r="F130" i="5" s="1"/>
  <c r="D30" i="5"/>
  <c r="C10" i="5" s="1"/>
  <c r="Q9" i="5"/>
  <c r="L18" i="5"/>
  <c r="Q18" i="5" s="1"/>
  <c r="Q35" i="2"/>
  <c r="Q36" i="2" s="1"/>
  <c r="U33" i="2"/>
  <c r="U34" i="2" s="1"/>
  <c r="U36" i="2"/>
  <c r="U27" i="2"/>
  <c r="U35" i="2"/>
  <c r="Q17" i="2"/>
  <c r="P18" i="2"/>
  <c r="P19" i="2" s="1"/>
  <c r="U16" i="2"/>
  <c r="U17" i="2" s="1"/>
  <c r="O19" i="2"/>
  <c r="P20" i="1"/>
  <c r="P21" i="1" s="1"/>
  <c r="O21" i="1"/>
  <c r="V33" i="2"/>
  <c r="T34" i="2"/>
  <c r="T35" i="2"/>
  <c r="L36" i="2"/>
  <c r="T36" i="2" s="1"/>
  <c r="V27" i="2"/>
  <c r="T28" i="2"/>
  <c r="T27" i="2" s="1"/>
  <c r="N17" i="2"/>
  <c r="T16" i="2"/>
  <c r="T17" i="2" s="1"/>
  <c r="L18" i="2"/>
  <c r="L19" i="2" s="1"/>
  <c r="T19" i="2" s="1"/>
  <c r="T18" i="2"/>
  <c r="V11" i="2"/>
  <c r="V10" i="2" s="1"/>
  <c r="N40" i="1"/>
  <c r="N41" i="1" s="1"/>
  <c r="N20" i="1"/>
  <c r="T11" i="1"/>
  <c r="T10" i="1" s="1"/>
  <c r="S33" i="2"/>
  <c r="S34" i="2" s="1"/>
  <c r="K35" i="2"/>
  <c r="K36" i="2" s="1"/>
  <c r="V34" i="2"/>
  <c r="I36" i="2"/>
  <c r="I38" i="2"/>
  <c r="I39" i="2" s="1"/>
  <c r="J35" i="2"/>
  <c r="J36" i="2" s="1"/>
  <c r="I40" i="2"/>
  <c r="K20" i="2"/>
  <c r="V16" i="2"/>
  <c r="V17" i="2" s="1"/>
  <c r="S16" i="2"/>
  <c r="S17" i="2" s="1"/>
  <c r="S18" i="2"/>
  <c r="I19" i="2"/>
  <c r="K19" i="2"/>
  <c r="S11" i="2"/>
  <c r="S10" i="2" s="1"/>
  <c r="J19" i="2"/>
  <c r="K20" i="1"/>
  <c r="K21" i="1" s="1"/>
  <c r="R18" i="1"/>
  <c r="R19" i="1" s="1"/>
  <c r="F19" i="1"/>
  <c r="V18" i="1"/>
  <c r="V19" i="1" s="1"/>
  <c r="S38" i="1"/>
  <c r="S39" i="1" s="1"/>
  <c r="I39" i="1"/>
  <c r="N21" i="1"/>
  <c r="L20" i="1"/>
  <c r="K22" i="1"/>
  <c r="J42" i="1"/>
  <c r="H41" i="1"/>
  <c r="L40" i="1"/>
  <c r="T31" i="1"/>
  <c r="T30" i="1" s="1"/>
  <c r="A36" i="1"/>
  <c r="A37" i="1" s="1"/>
  <c r="A38" i="1" s="1"/>
  <c r="U11" i="1"/>
  <c r="U10" i="1" s="1"/>
  <c r="S18" i="1"/>
  <c r="S19" i="1" s="1"/>
  <c r="K19" i="1"/>
  <c r="J20" i="1"/>
  <c r="G42" i="1"/>
  <c r="H22" i="1"/>
  <c r="H42" i="1" s="1"/>
  <c r="K40" i="1"/>
  <c r="U31" i="1"/>
  <c r="U30" i="1" s="1"/>
  <c r="M39" i="1"/>
  <c r="M40" i="1"/>
  <c r="T38" i="1"/>
  <c r="T39" i="1" s="1"/>
  <c r="J40" i="1"/>
  <c r="P41" i="1"/>
  <c r="O41" i="1"/>
  <c r="E18" i="1"/>
  <c r="E19" i="1" s="1"/>
  <c r="T18" i="1"/>
  <c r="T19" i="1" s="1"/>
  <c r="L19" i="1"/>
  <c r="U18" i="1"/>
  <c r="U19" i="1" s="1"/>
  <c r="G21" i="1"/>
  <c r="C40" i="1"/>
  <c r="I40" i="1"/>
  <c r="Q40" i="1"/>
  <c r="U40" i="1" s="1"/>
  <c r="G39" i="1"/>
  <c r="G40" i="1"/>
  <c r="O39" i="1"/>
  <c r="U38" i="1"/>
  <c r="U39" i="1" s="1"/>
  <c r="E35" i="1"/>
  <c r="E37" i="1" s="1"/>
  <c r="E14" i="1"/>
  <c r="F11" i="1"/>
  <c r="F30" i="1"/>
  <c r="F31" i="1" s="1"/>
  <c r="C38" i="1"/>
  <c r="I20" i="1"/>
  <c r="M20" i="1"/>
  <c r="Q20" i="1"/>
  <c r="U20" i="1" s="1"/>
  <c r="D18" i="1"/>
  <c r="E15" i="1"/>
  <c r="E17" i="1" s="1"/>
  <c r="D40" i="1"/>
  <c r="D41" i="1" s="1"/>
  <c r="E34" i="1"/>
  <c r="E38" i="1" s="1"/>
  <c r="F36" i="1"/>
  <c r="F37" i="1" s="1"/>
  <c r="F38" i="1" s="1"/>
  <c r="D48" i="5" l="1"/>
  <c r="F48" i="5" s="1"/>
  <c r="M116" i="5"/>
  <c r="O116" i="5" s="1"/>
  <c r="D99" i="5"/>
  <c r="F99" i="5"/>
  <c r="F100" i="5" s="1"/>
  <c r="D66" i="5"/>
  <c r="F66" i="5"/>
  <c r="F67" i="5" s="1"/>
  <c r="D147" i="5"/>
  <c r="F147" i="5"/>
  <c r="F148" i="5" s="1"/>
  <c r="M48" i="5"/>
  <c r="O48" i="5"/>
  <c r="D83" i="5"/>
  <c r="F83" i="5"/>
  <c r="F84" i="5" s="1"/>
  <c r="D131" i="5"/>
  <c r="F131" i="5" s="1"/>
  <c r="L11" i="5"/>
  <c r="O66" i="5"/>
  <c r="O67" i="5" s="1"/>
  <c r="M66" i="5"/>
  <c r="M131" i="5"/>
  <c r="O131" i="5" s="1"/>
  <c r="O85" i="5"/>
  <c r="M85" i="5"/>
  <c r="H10" i="5"/>
  <c r="H18" i="5" s="1"/>
  <c r="C18" i="5"/>
  <c r="F30" i="5"/>
  <c r="O31" i="5"/>
  <c r="O148" i="5"/>
  <c r="M148" i="5"/>
  <c r="D115" i="5"/>
  <c r="F115" i="5" s="1"/>
  <c r="U18" i="2"/>
  <c r="U19" i="2"/>
  <c r="V18" i="2"/>
  <c r="S36" i="2"/>
  <c r="V36" i="2"/>
  <c r="V35" i="2"/>
  <c r="S35" i="2"/>
  <c r="J38" i="2"/>
  <c r="J40" i="2" s="1"/>
  <c r="K37" i="2"/>
  <c r="V19" i="2"/>
  <c r="S19" i="2"/>
  <c r="I21" i="2"/>
  <c r="I23" i="2" s="1"/>
  <c r="E39" i="1"/>
  <c r="E40" i="1"/>
  <c r="E41" i="1" s="1"/>
  <c r="F41" i="1" s="1"/>
  <c r="V11" i="1"/>
  <c r="V10" i="1" s="1"/>
  <c r="R11" i="1"/>
  <c r="R10" i="1" s="1"/>
  <c r="F20" i="1"/>
  <c r="R38" i="1"/>
  <c r="R39" i="1" s="1"/>
  <c r="F39" i="1"/>
  <c r="V38" i="1"/>
  <c r="V39" i="1" s="1"/>
  <c r="D19" i="1"/>
  <c r="D20" i="1"/>
  <c r="D21" i="1" s="1"/>
  <c r="F21" i="1" s="1"/>
  <c r="Q41" i="1"/>
  <c r="K41" i="1"/>
  <c r="J21" i="1"/>
  <c r="C37" i="1"/>
  <c r="L21" i="1"/>
  <c r="T20" i="1"/>
  <c r="Q21" i="1"/>
  <c r="U21" i="1" s="1"/>
  <c r="V31" i="1"/>
  <c r="V30" i="1" s="1"/>
  <c r="R31" i="1"/>
  <c r="R30" i="1" s="1"/>
  <c r="F40" i="1"/>
  <c r="G41" i="1"/>
  <c r="I41" i="1"/>
  <c r="S40" i="1"/>
  <c r="M41" i="1"/>
  <c r="M21" i="1"/>
  <c r="T40" i="1"/>
  <c r="L41" i="1"/>
  <c r="T41" i="1" s="1"/>
  <c r="K42" i="1"/>
  <c r="S20" i="1"/>
  <c r="I21" i="1"/>
  <c r="U41" i="1"/>
  <c r="J41" i="1"/>
  <c r="E20" i="1"/>
  <c r="E21" i="1" s="1"/>
  <c r="D116" i="5" l="1"/>
  <c r="F116" i="5"/>
  <c r="M117" i="5"/>
  <c r="O117" i="5" s="1"/>
  <c r="M132" i="5"/>
  <c r="O132" i="5" s="1"/>
  <c r="D132" i="5"/>
  <c r="F132" i="5" s="1"/>
  <c r="D49" i="5"/>
  <c r="F49" i="5" s="1"/>
  <c r="D31" i="5"/>
  <c r="C11" i="5" s="1"/>
  <c r="M149" i="5"/>
  <c r="O149" i="5" s="1"/>
  <c r="M49" i="5"/>
  <c r="O49" i="5"/>
  <c r="D68" i="5"/>
  <c r="F68" i="5"/>
  <c r="M68" i="5"/>
  <c r="O68" i="5"/>
  <c r="M100" i="5"/>
  <c r="O100" i="5" s="1"/>
  <c r="M32" i="5"/>
  <c r="L12" i="5" s="1"/>
  <c r="Q12" i="5" s="1"/>
  <c r="M86" i="5"/>
  <c r="O86" i="5" s="1"/>
  <c r="F85" i="5"/>
  <c r="D85" i="5"/>
  <c r="D149" i="5"/>
  <c r="F149" i="5" s="1"/>
  <c r="D101" i="5"/>
  <c r="F101" i="5" s="1"/>
  <c r="Q11" i="5"/>
  <c r="L37" i="2"/>
  <c r="K38" i="2"/>
  <c r="K39" i="2" s="1"/>
  <c r="J39" i="2"/>
  <c r="I42" i="2"/>
  <c r="J21" i="2"/>
  <c r="J22" i="2" s="1"/>
  <c r="I22" i="2"/>
  <c r="S41" i="1"/>
  <c r="V41" i="1"/>
  <c r="R41" i="1"/>
  <c r="V21" i="1"/>
  <c r="R21" i="1"/>
  <c r="F43" i="1"/>
  <c r="F44" i="1" s="1"/>
  <c r="V40" i="1"/>
  <c r="R40" i="1"/>
  <c r="F45" i="1"/>
  <c r="V20" i="1"/>
  <c r="F23" i="1"/>
  <c r="R20" i="1"/>
  <c r="S21" i="1"/>
  <c r="L42" i="1"/>
  <c r="T21" i="1"/>
  <c r="D102" i="5" l="1"/>
  <c r="F102" i="5"/>
  <c r="D50" i="5"/>
  <c r="F50" i="5" s="1"/>
  <c r="M118" i="5"/>
  <c r="O118" i="5" s="1"/>
  <c r="D150" i="5"/>
  <c r="F150" i="5" s="1"/>
  <c r="D133" i="5"/>
  <c r="F133" i="5" s="1"/>
  <c r="O69" i="5"/>
  <c r="M69" i="5"/>
  <c r="M50" i="5"/>
  <c r="O50" i="5" s="1"/>
  <c r="H11" i="5"/>
  <c r="O32" i="5"/>
  <c r="F31" i="5"/>
  <c r="D86" i="5"/>
  <c r="F86" i="5" s="1"/>
  <c r="D69" i="5"/>
  <c r="F69" i="5" s="1"/>
  <c r="M150" i="5"/>
  <c r="O150" i="5" s="1"/>
  <c r="M133" i="5"/>
  <c r="O133" i="5" s="1"/>
  <c r="D117" i="5"/>
  <c r="F117" i="5" s="1"/>
  <c r="M101" i="5"/>
  <c r="O101" i="5" s="1"/>
  <c r="S38" i="2"/>
  <c r="S39" i="2" s="1"/>
  <c r="K40" i="2"/>
  <c r="M37" i="2"/>
  <c r="J23" i="2"/>
  <c r="M42" i="1"/>
  <c r="F25" i="1"/>
  <c r="F24" i="1"/>
  <c r="G43" i="1"/>
  <c r="G44" i="1" s="1"/>
  <c r="M102" i="5" l="1"/>
  <c r="O102" i="5" s="1"/>
  <c r="D51" i="5"/>
  <c r="F51" i="5" s="1"/>
  <c r="D118" i="5"/>
  <c r="F118" i="5" s="1"/>
  <c r="D134" i="5"/>
  <c r="F134" i="5" s="1"/>
  <c r="M134" i="5"/>
  <c r="O134" i="5"/>
  <c r="M51" i="5"/>
  <c r="O51" i="5"/>
  <c r="D32" i="5"/>
  <c r="C12" i="5" s="1"/>
  <c r="M33" i="5"/>
  <c r="L13" i="5" s="1"/>
  <c r="O33" i="5"/>
  <c r="N37" i="2"/>
  <c r="L38" i="2"/>
  <c r="L40" i="2" s="1"/>
  <c r="K21" i="2"/>
  <c r="J42" i="2"/>
  <c r="G45" i="1"/>
  <c r="G23" i="1"/>
  <c r="G25" i="1" s="1"/>
  <c r="F47" i="1"/>
  <c r="N42" i="1"/>
  <c r="D52" i="5" l="1"/>
  <c r="F52" i="5" s="1"/>
  <c r="M34" i="5"/>
  <c r="L14" i="5" s="1"/>
  <c r="M52" i="5"/>
  <c r="O52" i="5"/>
  <c r="Q13" i="5"/>
  <c r="L19" i="5"/>
  <c r="Q19" i="5" s="1"/>
  <c r="H12" i="5"/>
  <c r="F32" i="5"/>
  <c r="M38" i="2"/>
  <c r="M39" i="2" s="1"/>
  <c r="L39" i="2"/>
  <c r="O37" i="2"/>
  <c r="K22" i="2"/>
  <c r="S21" i="2"/>
  <c r="S22" i="2" s="1"/>
  <c r="K23" i="2"/>
  <c r="G47" i="1"/>
  <c r="H23" i="1"/>
  <c r="H24" i="1" s="1"/>
  <c r="H43" i="1"/>
  <c r="H45" i="1"/>
  <c r="G24" i="1"/>
  <c r="R23" i="1"/>
  <c r="R24" i="1" s="1"/>
  <c r="O34" i="5" l="1"/>
  <c r="Q14" i="5"/>
  <c r="F33" i="5"/>
  <c r="D33" i="5"/>
  <c r="C13" i="5" s="1"/>
  <c r="M40" i="2"/>
  <c r="N38" i="2" s="1"/>
  <c r="N40" i="2" s="1"/>
  <c r="Q37" i="2"/>
  <c r="P37" i="2"/>
  <c r="K42" i="2"/>
  <c r="L21" i="2"/>
  <c r="I43" i="1"/>
  <c r="I45" i="1" s="1"/>
  <c r="H44" i="1"/>
  <c r="R43" i="1"/>
  <c r="P42" i="1"/>
  <c r="Q42" i="1"/>
  <c r="H25" i="1"/>
  <c r="D34" i="5" l="1"/>
  <c r="C14" i="5" s="1"/>
  <c r="H13" i="5"/>
  <c r="C19" i="5"/>
  <c r="H19" i="5" s="1"/>
  <c r="M35" i="5"/>
  <c r="L15" i="5" s="1"/>
  <c r="O35" i="5"/>
  <c r="O38" i="2"/>
  <c r="N39" i="2"/>
  <c r="T38" i="2"/>
  <c r="T39" i="2" s="1"/>
  <c r="L22" i="2"/>
  <c r="L23" i="2"/>
  <c r="H47" i="1"/>
  <c r="I23" i="1"/>
  <c r="R46" i="1"/>
  <c r="R44" i="1"/>
  <c r="J43" i="1"/>
  <c r="I44" i="1"/>
  <c r="H14" i="5" l="1"/>
  <c r="Q15" i="5"/>
  <c r="M36" i="5"/>
  <c r="L16" i="5" s="1"/>
  <c r="Q16" i="5" s="1"/>
  <c r="O36" i="5"/>
  <c r="F34" i="5"/>
  <c r="O39" i="2"/>
  <c r="O40" i="2"/>
  <c r="M21" i="2"/>
  <c r="L42" i="2"/>
  <c r="J44" i="1"/>
  <c r="I24" i="1"/>
  <c r="J45" i="1"/>
  <c r="I25" i="1"/>
  <c r="L20" i="5" l="1"/>
  <c r="Q20" i="5" s="1"/>
  <c r="F35" i="5"/>
  <c r="D35" i="5"/>
  <c r="C15" i="5" s="1"/>
  <c r="P38" i="2"/>
  <c r="P40" i="2" s="1"/>
  <c r="M22" i="2"/>
  <c r="M23" i="2"/>
  <c r="K43" i="1"/>
  <c r="J23" i="1"/>
  <c r="J25" i="1" s="1"/>
  <c r="I47" i="1"/>
  <c r="H15" i="5" l="1"/>
  <c r="D36" i="5"/>
  <c r="C16" i="5" s="1"/>
  <c r="H16" i="5" s="1"/>
  <c r="Q38" i="2"/>
  <c r="Q39" i="2" s="1"/>
  <c r="P39" i="2"/>
  <c r="M42" i="2"/>
  <c r="N21" i="2"/>
  <c r="N23" i="2" s="1"/>
  <c r="K44" i="1"/>
  <c r="S43" i="1"/>
  <c r="J24" i="1"/>
  <c r="K23" i="1"/>
  <c r="K24" i="1" s="1"/>
  <c r="J47" i="1"/>
  <c r="K45" i="1"/>
  <c r="F36" i="5" l="1"/>
  <c r="C20" i="5"/>
  <c r="H20" i="5" s="1"/>
  <c r="U38" i="2"/>
  <c r="U39" i="2" s="1"/>
  <c r="V38" i="2"/>
  <c r="V39" i="2" s="1"/>
  <c r="Q40" i="2"/>
  <c r="O21" i="2"/>
  <c r="O23" i="2" s="1"/>
  <c r="N42" i="2"/>
  <c r="N22" i="2"/>
  <c r="T21" i="2"/>
  <c r="T22" i="2" s="1"/>
  <c r="K25" i="1"/>
  <c r="L43" i="1"/>
  <c r="L45" i="1" s="1"/>
  <c r="S23" i="1"/>
  <c r="S24" i="1" s="1"/>
  <c r="S46" i="1"/>
  <c r="S44" i="1"/>
  <c r="O42" i="2" l="1"/>
  <c r="P21" i="2"/>
  <c r="P22" i="2" s="1"/>
  <c r="O22" i="2"/>
  <c r="K47" i="1"/>
  <c r="L23" i="1"/>
  <c r="M43" i="1"/>
  <c r="M44" i="1" s="1"/>
  <c r="L44" i="1"/>
  <c r="P23" i="2" l="1"/>
  <c r="M45" i="1"/>
  <c r="L24" i="1"/>
  <c r="L25" i="1"/>
  <c r="Q21" i="2" l="1"/>
  <c r="Q23" i="2" s="1"/>
  <c r="Q42" i="2" s="1"/>
  <c r="P42" i="2"/>
  <c r="M23" i="1"/>
  <c r="L47" i="1"/>
  <c r="N43" i="1"/>
  <c r="N45" i="1"/>
  <c r="Q22" i="2" l="1"/>
  <c r="V21" i="2"/>
  <c r="V22" i="2" s="1"/>
  <c r="U21" i="2"/>
  <c r="U22" i="2" s="1"/>
  <c r="M24" i="1"/>
  <c r="N44" i="1"/>
  <c r="T43" i="1"/>
  <c r="O43" i="1"/>
  <c r="O45" i="1" s="1"/>
  <c r="M25" i="1"/>
  <c r="P43" i="1" l="1"/>
  <c r="P44" i="1" s="1"/>
  <c r="T46" i="1"/>
  <c r="T44" i="1"/>
  <c r="M47" i="1"/>
  <c r="N23" i="1"/>
  <c r="N25" i="1" s="1"/>
  <c r="O44" i="1"/>
  <c r="O23" i="1" l="1"/>
  <c r="O25" i="1" s="1"/>
  <c r="N47" i="1"/>
  <c r="N24" i="1"/>
  <c r="T23" i="1"/>
  <c r="T24" i="1" s="1"/>
  <c r="P45" i="1"/>
  <c r="Q43" i="1" l="1"/>
  <c r="O47" i="1"/>
  <c r="P23" i="1"/>
  <c r="P24" i="1" s="1"/>
  <c r="O24" i="1"/>
  <c r="Q44" i="1" l="1"/>
  <c r="V43" i="1"/>
  <c r="U43" i="1"/>
  <c r="P25" i="1"/>
  <c r="Q45" i="1"/>
  <c r="U46" i="1" l="1"/>
  <c r="U44" i="1"/>
  <c r="V46" i="1"/>
  <c r="V44" i="1"/>
  <c r="P47" i="1"/>
  <c r="Q23" i="1"/>
  <c r="Q25" i="1" s="1"/>
  <c r="Q47" i="1" s="1"/>
  <c r="Q24" i="1" l="1"/>
  <c r="V23" i="1"/>
  <c r="V24" i="1" s="1"/>
  <c r="U23" i="1"/>
  <c r="U24" i="1" s="1"/>
</calcChain>
</file>

<file path=xl/comments1.xml><?xml version="1.0" encoding="utf-8"?>
<comments xmlns="http://schemas.openxmlformats.org/spreadsheetml/2006/main">
  <authors>
    <author>Author</author>
  </authors>
  <commentList>
    <comment ref="D100" authorId="0" shapeId="0">
      <text>
        <r>
          <rPr>
            <b/>
            <sz val="9"/>
            <color indexed="81"/>
            <rFont val="Tahoma"/>
            <charset val="1"/>
          </rPr>
          <t>tlk:</t>
        </r>
        <r>
          <rPr>
            <sz val="9"/>
            <color indexed="81"/>
            <rFont val="Tahoma"/>
            <charset val="1"/>
          </rPr>
          <t xml:space="preserve">
Interest correcting entry for Staff methodology change (Earnings Sharing net of Revenue Related Expenses)</t>
        </r>
      </text>
    </comment>
    <comment ref="D148" authorId="0" shapeId="0">
      <text>
        <r>
          <rPr>
            <b/>
            <sz val="9"/>
            <color indexed="81"/>
            <rFont val="Tahoma"/>
            <charset val="1"/>
          </rPr>
          <t>tlk:</t>
        </r>
        <r>
          <rPr>
            <sz val="9"/>
            <color indexed="81"/>
            <rFont val="Tahoma"/>
            <charset val="1"/>
          </rPr>
          <t xml:space="preserve">
Interest correcting entry for Staff methodology change (Earnings Sharing net of Revenue Related Expenses)</t>
        </r>
      </text>
    </comment>
  </commentList>
</comments>
</file>

<file path=xl/sharedStrings.xml><?xml version="1.0" encoding="utf-8"?>
<sst xmlns="http://schemas.openxmlformats.org/spreadsheetml/2006/main" count="724" uniqueCount="204">
  <si>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</si>
  <si>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</si>
  <si>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</si>
  <si>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</si>
  <si>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</si>
  <si>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</si>
  <si>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</si>
  <si>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</si>
  <si>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</si>
  <si>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</si>
  <si>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</si>
  <si>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</si>
  <si>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</si>
  <si>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</si>
  <si>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</si>
  <si>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</si>
  <si>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</si>
  <si>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</si>
  <si>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</si>
  <si>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</si>
  <si>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</si>
  <si>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</si>
  <si>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</si>
  <si>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</si>
  <si>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</si>
  <si>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</si>
  <si>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</si>
  <si>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</si>
  <si>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</si>
  <si>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</si>
  <si>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</si>
  <si>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</si>
  <si>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</si>
  <si>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</si>
  <si>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</si>
  <si>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</si>
  <si>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</si>
  <si>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</si>
  <si>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</si>
  <si>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</si>
  <si>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</si>
  <si>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</si>
  <si>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</si>
  <si>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</si>
  <si>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</si>
  <si>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</si>
  <si>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</si>
  <si>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</si>
  <si>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</si>
  <si>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</si>
  <si>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</si>
  <si>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</si>
  <si>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</si>
  <si>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</si>
  <si>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</si>
  <si>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</si>
  <si>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</si>
  <si>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</si>
  <si>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</si>
  <si>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</si>
  <si>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</si>
  <si>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</si>
  <si>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Sum: 0.00</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</si>
  <si>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</si>
  <si>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</si>
  <si>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</si>
  <si>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</si>
  <si>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</si>
  <si>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</si>
  <si>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</si>
  <si>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</si>
  <si>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</si>
  <si>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</si>
  <si>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</si>
  <si>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</si>
  <si>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</si>
  <si>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</si>
  <si>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</si>
  <si>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</si>
  <si>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</si>
  <si>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</si>
  <si>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</si>
  <si>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</si>
  <si>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</si>
  <si>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</si>
  <si>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</si>
  <si>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</si>
  <si>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</si>
  <si>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</si>
  <si>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</si>
  <si>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</si>
  <si>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</si>
  <si>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</si>
  <si>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</si>
  <si>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Q4</t>
  </si>
  <si>
    <t>Decoupling Mechanism - UE-150204 Base effective 1/11/2016</t>
  </si>
  <si>
    <t>Development of WA Electric Deferrals (Calendar Year 2016)</t>
  </si>
  <si>
    <t>Pro Rated</t>
  </si>
  <si>
    <t>Old Base</t>
  </si>
  <si>
    <t>New Base</t>
  </si>
  <si>
    <t>Attachment 4,  Page 3</t>
  </si>
  <si>
    <t>Attachment 4, Page 1</t>
  </si>
  <si>
    <t>Attachment 4, Page 3</t>
  </si>
  <si>
    <t>2016 YTD</t>
  </si>
  <si>
    <t>2nd Quarter 2016</t>
  </si>
  <si>
    <t>3rd Quarter 2016</t>
  </si>
  <si>
    <t>4th Quarter 2016</t>
  </si>
  <si>
    <t>1st Quarter 2016</t>
  </si>
  <si>
    <t>Decoupling Mechanism - UG-150205 Base effective 1/11/2016</t>
  </si>
  <si>
    <t>Development of WA Natural Gas Deferrals (Calendar Year 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</si>
  <si>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</si>
  <si>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</si>
  <si>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</si>
  <si>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</si>
  <si>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</si>
  <si>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</si>
  <si>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</si>
  <si>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</si>
  <si>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</si>
  <si>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</si>
  <si>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</si>
  <si>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</si>
  <si>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</si>
  <si>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</si>
  <si>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</si>
  <si>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</si>
  <si>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</si>
  <si>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</si>
  <si>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</si>
  <si>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</si>
  <si>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</si>
  <si>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</si>
  <si>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</si>
  <si>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</si>
  <si>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</si>
  <si>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</si>
  <si>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FERC Accts 495311 and 456311</t>
  </si>
  <si>
    <t>Q2 Total</t>
  </si>
  <si>
    <t>YTD Average</t>
  </si>
  <si>
    <t>Sum: -11,274.00</t>
  </si>
  <si>
    <t xml:space="preserve">Q3 Total </t>
  </si>
  <si>
    <t>Q3 Total</t>
  </si>
  <si>
    <t>*</t>
  </si>
  <si>
    <t>GL Account Balance  Accounting Period : '201610, 201611, 201612'</t>
  </si>
  <si>
    <t>201610</t>
  </si>
  <si>
    <t>201611</t>
  </si>
  <si>
    <t>201612</t>
  </si>
  <si>
    <t>Sum: 3,174,005.78</t>
  </si>
  <si>
    <t>Sum: 2,045,697.32</t>
  </si>
  <si>
    <t>Sum: 5,219,703.10</t>
  </si>
  <si>
    <t>Sum: 37,374.60</t>
  </si>
  <si>
    <t>Sum: 558,945.52</t>
  </si>
  <si>
    <t>Sum: 596,320.12</t>
  </si>
  <si>
    <t>Sum: 5,793,805.86</t>
  </si>
  <si>
    <t>Sum: 4,511,663.62</t>
  </si>
  <si>
    <t>Sum: 10,305,469.48</t>
  </si>
  <si>
    <t>182338</t>
  </si>
  <si>
    <t>Sum: 1,523,244.52</t>
  </si>
  <si>
    <t>Sum: -6,895,609.08</t>
  </si>
  <si>
    <t>Sum: -5,448,683.53</t>
  </si>
  <si>
    <t>Sum: -12,344,292.61</t>
  </si>
  <si>
    <t>Sum: 2,899,668.99</t>
  </si>
  <si>
    <t>Sum: -1,781,572.83</t>
  </si>
  <si>
    <t>Sum: 1,118,096.16</t>
  </si>
  <si>
    <t>Sum: -911,515.67</t>
  </si>
  <si>
    <t>Sum: -410,128.23</t>
  </si>
  <si>
    <t>Sum: -1,321,643.90</t>
  </si>
  <si>
    <t>Sum: -3,091,150.37</t>
  </si>
  <si>
    <t>Sum: -16,877.11</t>
  </si>
  <si>
    <t>Sum: -1,987,703.74</t>
  </si>
  <si>
    <t>Sum: -543,284.93</t>
  </si>
  <si>
    <t>Sum: -161,498.08</t>
  </si>
  <si>
    <t>Sum: -134,134.34</t>
  </si>
  <si>
    <t>Sum: -295,632.42</t>
  </si>
  <si>
    <t>Sum: 23,285.88</t>
  </si>
  <si>
    <t>Sum: -272,346.54</t>
  </si>
  <si>
    <t>Sum: -237,274.00</t>
  </si>
  <si>
    <t>Sum: 226,000.00</t>
  </si>
  <si>
    <t xml:space="preserve">Q4 Total </t>
  </si>
  <si>
    <t xml:space="preserve">The following table shows how the decoupled revenue per customer has tracked with use per customer for the 1st, 2nd, 3rd and 4th quarters of 2016.   The similarity of the percentage change indicates that the mechanism is working as intended.  January authorized amounts in the deferral caluculations and this analysis have been pro-rated to reflect 10 days at the prior authorized usage and revenue per customer. </t>
  </si>
  <si>
    <t>Deferred Revenue</t>
  </si>
  <si>
    <t>2015 Deferred Revenue Pending Recovery</t>
  </si>
  <si>
    <t>Accumulated Deferred Taxes</t>
  </si>
  <si>
    <t>Interest Income or Expense</t>
  </si>
  <si>
    <t>254338</t>
  </si>
  <si>
    <t>REG LIABILITY NON RES DECOUPLI</t>
  </si>
  <si>
    <t>Sum: -2,404,915.60</t>
  </si>
  <si>
    <t>Deferred Revenue Approved for Recovery</t>
  </si>
  <si>
    <t>Surcharge</t>
  </si>
  <si>
    <t>Rebate</t>
  </si>
  <si>
    <t>Amortization of Prior Period Deferred Revenue</t>
  </si>
  <si>
    <t>456329</t>
  </si>
  <si>
    <t>AMORTIZATION RES DECOUPLING DE</t>
  </si>
  <si>
    <t>Sum: 1,180,989.40</t>
  </si>
  <si>
    <t>456339</t>
  </si>
  <si>
    <t>AMORTIZATION NON-RES DECOUPLIN</t>
  </si>
  <si>
    <t>Sum: -496,641.27</t>
  </si>
  <si>
    <t>495329</t>
  </si>
  <si>
    <t>Sum: 982,554.00</t>
  </si>
  <si>
    <t>495339</t>
  </si>
  <si>
    <t>Sum: 273,274.39</t>
  </si>
  <si>
    <t>**</t>
  </si>
  <si>
    <t>TRANSFER 2015 BALANCES APPROVED FOR RECOVERY TO SURCHARGE/REBATE ACCOUNTS.</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</si>
  <si>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2016 natural gas surcharge may not be fully recovered by 12/31/2018 and therefore is not recognizable as income for financial reporting purposes in 2016.  The 2016 entries reflect both expected recovery of 2015 amounts during 2018 and the exclusion of 2016 amounts expected to be recovered in 2019.  The income statement impact of the contra decoupling deferral will be eliminated for Commission Basis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</si>
</sst>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7">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b/>
      <sz val="9"/>
      <color indexed="81"/>
      <name val="Tahoma"/>
      <charset val="1"/>
    </font>
    <font>
      <sz val="9"/>
      <color indexed="81"/>
      <name val="Tahoma"/>
      <charset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98">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43" fontId="5" fillId="2" borderId="0" xfId="3" applyNumberFormat="1" applyFont="1" applyFill="1" applyAlignment="1">
      <alignment horizont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7" fillId="2" borderId="0" xfId="6"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3" fillId="2" borderId="0" xfId="3" applyFont="1" applyFill="1" applyAlignment="1">
      <alignment horizontal="center"/>
    </xf>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0" fontId="12" fillId="0" borderId="54" xfId="0" applyFont="1" applyFill="1" applyBorder="1" applyAlignment="1">
      <alignment horizontal="left" vertical="top"/>
    </xf>
    <xf numFmtId="173" fontId="13" fillId="106" borderId="54" xfId="0" applyNumberFormat="1" applyFont="1" applyFill="1" applyBorder="1" applyAlignment="1">
      <alignment horizontal="right" vertical="center"/>
    </xf>
    <xf numFmtId="5" fontId="31" fillId="0" borderId="0" xfId="0" applyNumberFormat="1" applyFont="1"/>
    <xf numFmtId="10" fontId="31" fillId="0" borderId="0" xfId="0" applyNumberFormat="1" applyFont="1"/>
    <xf numFmtId="0" fontId="0" fillId="0" borderId="0" xfId="0" applyAlignment="1">
      <alignment shrinkToFit="1"/>
    </xf>
    <xf numFmtId="0" fontId="11" fillId="0" borderId="0" xfId="0" applyFont="1" applyFill="1" applyBorder="1" applyAlignment="1">
      <alignment horizontal="left" vertical="top" wrapText="1"/>
    </xf>
    <xf numFmtId="4" fontId="13" fillId="107" borderId="3" xfId="0" applyNumberFormat="1" applyFont="1" applyFill="1" applyBorder="1" applyAlignment="1">
      <alignment horizontal="right" vertical="center"/>
    </xf>
    <xf numFmtId="5" fontId="0" fillId="0" borderId="0" xfId="0" applyNumberFormat="1" applyFill="1"/>
    <xf numFmtId="17" fontId="0" fillId="0" borderId="0" xfId="0" applyNumberFormat="1" applyAlignment="1"/>
    <xf numFmtId="0" fontId="0" fillId="0" borderId="0" xfId="0" applyAlignment="1">
      <alignment horizontal="center" vertical="center"/>
    </xf>
    <xf numFmtId="5" fontId="0" fillId="0" borderId="0" xfId="0" applyNumberFormat="1" applyBorder="1"/>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0" fillId="0" borderId="0" xfId="0"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4"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view="pageLayout" topLeftCell="A24" zoomScaleNormal="100" workbookViewId="0">
      <selection activeCell="B31" sqref="B31"/>
    </sheetView>
  </sheetViews>
  <sheetFormatPr defaultRowHeight="14.4"/>
  <cols>
    <col min="1" max="1" width="7.44140625" customWidth="1"/>
    <col min="2" max="2" width="29.6640625" customWidth="1"/>
    <col min="3" max="3" width="14.6640625" customWidth="1"/>
    <col min="4" max="5" width="14.6640625" style="75" hidden="1" customWidth="1"/>
    <col min="6" max="6" width="12.44140625" hidden="1" customWidth="1"/>
    <col min="7" max="7" width="12.5546875" hidden="1" customWidth="1"/>
    <col min="8" max="8" width="12.44140625" hidden="1" customWidth="1"/>
    <col min="9" max="11" width="12.33203125" hidden="1" customWidth="1"/>
    <col min="12" max="12" width="12.6640625" hidden="1" customWidth="1"/>
    <col min="13" max="13" width="13" hidden="1" customWidth="1"/>
    <col min="14" max="14" width="12.44140625" hidden="1" customWidth="1"/>
    <col min="15" max="16" width="12.6640625" customWidth="1"/>
    <col min="17" max="17" width="12.5546875" customWidth="1"/>
    <col min="18" max="18" width="15.5546875" style="39" bestFit="1" customWidth="1"/>
    <col min="19" max="19" width="12.88671875" style="39" customWidth="1"/>
    <col min="20" max="21" width="12" style="39" customWidth="1"/>
    <col min="22" max="22" width="13.33203125" style="39" customWidth="1"/>
    <col min="23" max="23" width="9" bestFit="1" customWidth="1"/>
  </cols>
  <sheetData>
    <row r="1" spans="1:22" ht="15.6">
      <c r="A1" s="146" t="s">
        <v>0</v>
      </c>
      <c r="B1" s="146"/>
      <c r="C1" s="146"/>
      <c r="D1" s="146"/>
      <c r="E1" s="146"/>
      <c r="F1" s="146"/>
      <c r="G1" s="146"/>
      <c r="H1" s="146"/>
      <c r="I1" s="146"/>
      <c r="J1" s="146"/>
      <c r="K1" s="146"/>
      <c r="L1" s="146"/>
      <c r="M1" s="146"/>
      <c r="N1" s="146"/>
      <c r="O1" s="146"/>
      <c r="P1" s="146"/>
      <c r="Q1" s="146"/>
      <c r="R1" s="129"/>
      <c r="S1" s="129"/>
      <c r="T1" s="129"/>
      <c r="U1" s="129"/>
      <c r="V1" s="129"/>
    </row>
    <row r="2" spans="1:22" ht="17.399999999999999">
      <c r="A2" s="146" t="s">
        <v>95</v>
      </c>
      <c r="B2" s="146"/>
      <c r="C2" s="146"/>
      <c r="D2" s="146"/>
      <c r="E2" s="146"/>
      <c r="F2" s="146"/>
      <c r="G2" s="146"/>
      <c r="H2" s="146"/>
      <c r="I2" s="146"/>
      <c r="J2" s="146"/>
      <c r="K2" s="146"/>
      <c r="L2" s="146"/>
      <c r="M2" s="146"/>
      <c r="N2" s="146"/>
      <c r="O2" s="146"/>
      <c r="P2" s="146"/>
      <c r="Q2" s="146"/>
      <c r="R2" s="130"/>
      <c r="S2" s="130"/>
      <c r="T2" s="130"/>
      <c r="U2" s="130"/>
      <c r="V2" s="130"/>
    </row>
    <row r="3" spans="1:22" ht="15.6">
      <c r="A3" s="147" t="s">
        <v>96</v>
      </c>
      <c r="B3" s="146"/>
      <c r="C3" s="146"/>
      <c r="D3" s="146"/>
      <c r="E3" s="146"/>
      <c r="F3" s="146"/>
      <c r="G3" s="146"/>
      <c r="H3" s="146"/>
      <c r="I3" s="146"/>
      <c r="J3" s="146"/>
      <c r="K3" s="146"/>
      <c r="L3" s="146"/>
      <c r="M3" s="146"/>
      <c r="N3" s="146"/>
      <c r="O3" s="146"/>
      <c r="P3" s="146"/>
      <c r="Q3" s="146"/>
      <c r="R3" s="131"/>
      <c r="S3" s="131"/>
      <c r="T3" s="131"/>
      <c r="U3" s="131"/>
      <c r="V3" s="131"/>
    </row>
    <row r="4" spans="1:22" ht="14.4" customHeight="1">
      <c r="A4" s="66"/>
      <c r="B4" s="108"/>
      <c r="C4" s="109"/>
      <c r="D4" s="109"/>
      <c r="E4" s="109"/>
      <c r="F4" s="109"/>
      <c r="G4" s="109"/>
      <c r="H4" s="109"/>
      <c r="I4" s="109"/>
      <c r="J4" s="109"/>
      <c r="K4" s="109"/>
      <c r="L4" s="109"/>
      <c r="M4" s="109"/>
      <c r="N4" s="109"/>
      <c r="O4" s="109"/>
      <c r="P4" s="109"/>
      <c r="Q4" s="109"/>
      <c r="R4" s="132"/>
      <c r="S4" s="132"/>
      <c r="T4" s="132"/>
      <c r="U4" s="132"/>
      <c r="V4" s="132"/>
    </row>
    <row r="5" spans="1:22" ht="27">
      <c r="A5" s="36"/>
      <c r="B5" s="36"/>
      <c r="C5" s="36"/>
      <c r="D5" s="110">
        <v>0.32258064516129031</v>
      </c>
      <c r="E5" s="110">
        <f>21/31</f>
        <v>0.67741935483870963</v>
      </c>
      <c r="F5" s="110" t="s">
        <v>97</v>
      </c>
      <c r="G5" s="36"/>
      <c r="H5" s="36"/>
      <c r="I5" s="36"/>
      <c r="J5" s="36"/>
      <c r="K5" s="36"/>
      <c r="L5" s="36"/>
      <c r="M5" s="36"/>
      <c r="N5" s="36"/>
      <c r="O5" s="36"/>
      <c r="P5" s="36"/>
      <c r="Q5" s="36"/>
      <c r="R5" s="132" t="s">
        <v>107</v>
      </c>
      <c r="S5" s="132" t="s">
        <v>104</v>
      </c>
      <c r="T5" s="132" t="s">
        <v>105</v>
      </c>
      <c r="U5" s="132" t="s">
        <v>106</v>
      </c>
      <c r="V5" s="132" t="s">
        <v>103</v>
      </c>
    </row>
    <row r="6" spans="1:22" ht="26.4">
      <c r="A6" s="111" t="s">
        <v>1</v>
      </c>
      <c r="B6" s="112"/>
      <c r="C6" s="107" t="s">
        <v>2</v>
      </c>
      <c r="D6" s="107" t="s">
        <v>98</v>
      </c>
      <c r="E6" s="107" t="s">
        <v>99</v>
      </c>
      <c r="F6" s="113">
        <v>42370</v>
      </c>
      <c r="G6" s="114">
        <f>EDATE(F6,1)</f>
        <v>42401</v>
      </c>
      <c r="H6" s="114">
        <f t="shared" ref="H6:Q6" si="0">EDATE(G6,1)</f>
        <v>42430</v>
      </c>
      <c r="I6" s="114">
        <f t="shared" si="0"/>
        <v>42461</v>
      </c>
      <c r="J6" s="114">
        <f t="shared" si="0"/>
        <v>42491</v>
      </c>
      <c r="K6" s="114">
        <f t="shared" si="0"/>
        <v>42522</v>
      </c>
      <c r="L6" s="114">
        <f t="shared" si="0"/>
        <v>42552</v>
      </c>
      <c r="M6" s="114">
        <f t="shared" si="0"/>
        <v>42583</v>
      </c>
      <c r="N6" s="114">
        <f t="shared" si="0"/>
        <v>42614</v>
      </c>
      <c r="O6" s="114">
        <f t="shared" si="0"/>
        <v>42644</v>
      </c>
      <c r="P6" s="114">
        <f t="shared" si="0"/>
        <v>42675</v>
      </c>
      <c r="Q6" s="114">
        <f t="shared" si="0"/>
        <v>42705</v>
      </c>
      <c r="R6" s="133" t="s">
        <v>3</v>
      </c>
      <c r="S6" s="133" t="s">
        <v>3</v>
      </c>
      <c r="T6" s="133" t="s">
        <v>3</v>
      </c>
      <c r="U6" s="133" t="s">
        <v>3</v>
      </c>
      <c r="V6" s="133" t="s">
        <v>3</v>
      </c>
    </row>
    <row r="7" spans="1:22">
      <c r="A7" s="66"/>
      <c r="B7" s="66" t="s">
        <v>4</v>
      </c>
      <c r="C7" s="66" t="s">
        <v>5</v>
      </c>
      <c r="D7" s="66"/>
      <c r="E7" s="66"/>
      <c r="F7" s="66" t="s">
        <v>6</v>
      </c>
      <c r="G7" s="66" t="s">
        <v>7</v>
      </c>
      <c r="H7" s="66" t="s">
        <v>8</v>
      </c>
      <c r="I7" s="66" t="s">
        <v>9</v>
      </c>
      <c r="J7" s="66" t="s">
        <v>10</v>
      </c>
      <c r="K7" s="66" t="s">
        <v>11</v>
      </c>
      <c r="L7" s="66" t="s">
        <v>12</v>
      </c>
      <c r="M7" s="66" t="s">
        <v>13</v>
      </c>
      <c r="N7" s="66" t="s">
        <v>14</v>
      </c>
      <c r="O7" s="66" t="s">
        <v>15</v>
      </c>
      <c r="P7" s="66" t="s">
        <v>16</v>
      </c>
      <c r="Q7" s="66" t="s">
        <v>17</v>
      </c>
      <c r="R7" s="8"/>
      <c r="S7" s="8"/>
      <c r="T7" s="8"/>
      <c r="U7" s="8"/>
      <c r="V7" s="17"/>
    </row>
    <row r="8" spans="1:22">
      <c r="A8" s="66"/>
      <c r="B8" s="2" t="s">
        <v>19</v>
      </c>
      <c r="C8" s="66"/>
      <c r="D8" s="66"/>
      <c r="E8" s="66"/>
      <c r="F8" s="66"/>
      <c r="G8" s="66"/>
      <c r="H8" s="66"/>
      <c r="I8" s="66"/>
      <c r="J8" s="66"/>
      <c r="K8" s="66"/>
      <c r="L8" s="66"/>
      <c r="M8" s="66"/>
      <c r="N8" s="66"/>
      <c r="O8" s="66"/>
      <c r="P8" s="66"/>
      <c r="Q8" s="66"/>
      <c r="R8" s="137"/>
      <c r="S8" s="137"/>
      <c r="T8" s="137"/>
      <c r="U8" s="137"/>
      <c r="V8" s="17"/>
    </row>
    <row r="9" spans="1:22" ht="21" customHeight="1">
      <c r="A9" s="66">
        <v>1</v>
      </c>
      <c r="B9" s="36" t="s">
        <v>20</v>
      </c>
      <c r="C9" s="66" t="s">
        <v>21</v>
      </c>
      <c r="D9" s="115">
        <f>$F9*D$5</f>
        <v>67166.774193548379</v>
      </c>
      <c r="E9" s="115">
        <f>$F9*E$5</f>
        <v>141050.22580645161</v>
      </c>
      <c r="F9" s="34">
        <v>208217</v>
      </c>
      <c r="G9" s="34">
        <v>210418</v>
      </c>
      <c r="H9" s="34">
        <v>209750</v>
      </c>
      <c r="I9" s="34">
        <v>209405</v>
      </c>
      <c r="J9" s="34">
        <v>209004</v>
      </c>
      <c r="K9" s="34">
        <v>208965</v>
      </c>
      <c r="L9" s="34">
        <v>209204</v>
      </c>
      <c r="M9" s="34">
        <v>209512</v>
      </c>
      <c r="N9" s="34">
        <v>210314</v>
      </c>
      <c r="O9" s="34">
        <v>210674</v>
      </c>
      <c r="P9" s="34">
        <v>211346</v>
      </c>
      <c r="Q9" s="34">
        <v>211562</v>
      </c>
      <c r="R9" s="134">
        <f>SUM(F9:H9)</f>
        <v>628385</v>
      </c>
      <c r="S9" s="134">
        <f>SUM(I9:K9)</f>
        <v>627374</v>
      </c>
      <c r="T9" s="134">
        <f>SUM(L9:N9)</f>
        <v>629030</v>
      </c>
      <c r="U9" s="134">
        <f>SUM(O9:Q9)</f>
        <v>633582</v>
      </c>
      <c r="V9" s="135">
        <f>SUM(F9:Q9)</f>
        <v>2518371</v>
      </c>
    </row>
    <row r="10" spans="1:22" ht="26.4">
      <c r="A10" s="106">
        <f>A9+1</f>
        <v>2</v>
      </c>
      <c r="B10" s="116" t="s">
        <v>22</v>
      </c>
      <c r="C10" s="116" t="s">
        <v>100</v>
      </c>
      <c r="D10" s="117">
        <v>78.809318650824423</v>
      </c>
      <c r="E10" s="117">
        <v>88.322763278236906</v>
      </c>
      <c r="F10" s="117">
        <f>$D$10*$D$5+$E$10*$E$5</f>
        <v>85.253910172619968</v>
      </c>
      <c r="G10" s="117">
        <v>72.165165657020907</v>
      </c>
      <c r="H10" s="117">
        <v>70.972141606104245</v>
      </c>
      <c r="I10" s="117">
        <v>53.464415602104843</v>
      </c>
      <c r="J10" s="117">
        <v>51.698952694282845</v>
      </c>
      <c r="K10" s="117">
        <v>45.971109410999645</v>
      </c>
      <c r="L10" s="117">
        <v>47.581058675761213</v>
      </c>
      <c r="M10" s="117">
        <v>56.256559389250889</v>
      </c>
      <c r="N10" s="117">
        <v>45.471467138196999</v>
      </c>
      <c r="O10" s="117">
        <v>54.001684320194592</v>
      </c>
      <c r="P10" s="117">
        <v>65.980997284292343</v>
      </c>
      <c r="Q10" s="117">
        <v>86.053684943554572</v>
      </c>
      <c r="R10" s="117">
        <f>R11/R9</f>
        <v>76.103933008445139</v>
      </c>
      <c r="S10" s="117">
        <f>S11/S9</f>
        <v>50.380405844271834</v>
      </c>
      <c r="T10" s="117">
        <f>T11/T9</f>
        <v>49.76528656767951</v>
      </c>
      <c r="U10" s="117">
        <f>U11/U9</f>
        <v>68.700279345920521</v>
      </c>
      <c r="V10" s="117">
        <f>V11/V9</f>
        <v>61.254297034817526</v>
      </c>
    </row>
    <row r="11" spans="1:22">
      <c r="A11" s="66">
        <f>A10+1</f>
        <v>3</v>
      </c>
      <c r="B11" s="36" t="s">
        <v>23</v>
      </c>
      <c r="C11" s="66" t="str">
        <f>"("&amp;A9&amp;") x ("&amp;A10&amp;")"</f>
        <v>(1) x (2)</v>
      </c>
      <c r="D11" s="70">
        <f>D9*D10</f>
        <v>5293367.7101673251</v>
      </c>
      <c r="E11" s="70">
        <f>E9*E10</f>
        <v>12457945.704245087</v>
      </c>
      <c r="F11" s="70">
        <f>F9*F10</f>
        <v>17751313.414412413</v>
      </c>
      <c r="G11" s="70">
        <f t="shared" ref="G11:Q11" si="1">G9*G10</f>
        <v>15184849.827219024</v>
      </c>
      <c r="H11" s="70">
        <f t="shared" si="1"/>
        <v>14886406.701880366</v>
      </c>
      <c r="I11" s="70">
        <f t="shared" si="1"/>
        <v>11195715.949158765</v>
      </c>
      <c r="J11" s="70">
        <f t="shared" si="1"/>
        <v>10805287.908915892</v>
      </c>
      <c r="K11" s="70">
        <f t="shared" si="1"/>
        <v>9606352.8780695405</v>
      </c>
      <c r="L11" s="70">
        <f t="shared" si="1"/>
        <v>9954147.799203949</v>
      </c>
      <c r="M11" s="70">
        <f t="shared" si="1"/>
        <v>11786424.270760732</v>
      </c>
      <c r="N11" s="70">
        <f t="shared" si="1"/>
        <v>9563286.1397027634</v>
      </c>
      <c r="O11" s="70">
        <f t="shared" si="1"/>
        <v>11376750.842472676</v>
      </c>
      <c r="P11" s="70">
        <f t="shared" si="1"/>
        <v>13944819.85204605</v>
      </c>
      <c r="Q11" s="70">
        <f t="shared" si="1"/>
        <v>18205689.694028292</v>
      </c>
      <c r="R11" s="124">
        <f>SUM(F11:H11)</f>
        <v>47822569.943511799</v>
      </c>
      <c r="S11" s="124">
        <f>SUM(I11:K11)</f>
        <v>31607356.7361442</v>
      </c>
      <c r="T11" s="124">
        <f>SUM(L11:N11)</f>
        <v>31303858.209667444</v>
      </c>
      <c r="U11" s="124">
        <f>SUM(O11:Q11)</f>
        <v>43527260.388547018</v>
      </c>
      <c r="V11" s="136">
        <f>SUM(F11:Q11)</f>
        <v>154261045.27787045</v>
      </c>
    </row>
    <row r="12" spans="1:22">
      <c r="A12" s="66"/>
      <c r="B12" s="36"/>
      <c r="C12" s="66"/>
      <c r="D12" s="66"/>
      <c r="E12" s="66"/>
      <c r="F12" s="67"/>
      <c r="G12" s="67"/>
      <c r="H12" s="67"/>
      <c r="I12" s="67"/>
      <c r="J12" s="67"/>
      <c r="K12" s="67"/>
      <c r="L12" s="67"/>
      <c r="M12" s="67"/>
      <c r="N12" s="67"/>
      <c r="O12" s="67"/>
      <c r="P12" s="67"/>
      <c r="Q12" s="67"/>
      <c r="R12" s="134"/>
      <c r="S12" s="134"/>
      <c r="T12" s="134"/>
      <c r="U12" s="134"/>
      <c r="V12" s="134"/>
    </row>
    <row r="13" spans="1:22">
      <c r="A13" s="66">
        <v>4</v>
      </c>
      <c r="B13" s="36" t="s">
        <v>37</v>
      </c>
      <c r="C13" s="66" t="s">
        <v>21</v>
      </c>
      <c r="D13" s="70">
        <f t="shared" ref="D13:E15" si="2">$F13*D$5</f>
        <v>8069976.6002741931</v>
      </c>
      <c r="E13" s="70">
        <f t="shared" si="2"/>
        <v>16946950.860575806</v>
      </c>
      <c r="F13" s="118">
        <v>25016927.46085</v>
      </c>
      <c r="G13" s="118">
        <v>18682933.729059998</v>
      </c>
      <c r="H13" s="118">
        <v>17505110.81546</v>
      </c>
      <c r="I13" s="118">
        <v>13895472.85121</v>
      </c>
      <c r="J13" s="118">
        <v>12707668.140389999</v>
      </c>
      <c r="K13" s="118">
        <v>13822016.88274</v>
      </c>
      <c r="L13" s="118">
        <v>15745170.28418</v>
      </c>
      <c r="M13" s="118">
        <v>16208772.710109999</v>
      </c>
      <c r="N13" s="118">
        <v>13825249.57612</v>
      </c>
      <c r="O13" s="118">
        <v>13859174.32642</v>
      </c>
      <c r="P13" s="118">
        <v>17109790.395769998</v>
      </c>
      <c r="Q13" s="118">
        <v>25244722.10193</v>
      </c>
      <c r="R13" s="177"/>
      <c r="S13" s="177"/>
      <c r="T13" s="177"/>
      <c r="U13" s="138"/>
      <c r="V13" s="139"/>
    </row>
    <row r="14" spans="1:22">
      <c r="A14" s="66">
        <v>5</v>
      </c>
      <c r="B14" s="36" t="s">
        <v>38</v>
      </c>
      <c r="C14" s="66" t="s">
        <v>21</v>
      </c>
      <c r="D14" s="70">
        <f t="shared" si="2"/>
        <v>582373.38709677418</v>
      </c>
      <c r="E14" s="70">
        <f t="shared" si="2"/>
        <v>1222984.1129032257</v>
      </c>
      <c r="F14" s="118">
        <v>1805357.5</v>
      </c>
      <c r="G14" s="118">
        <v>1824049</v>
      </c>
      <c r="H14" s="118">
        <v>1818744.5</v>
      </c>
      <c r="I14" s="118">
        <v>1824227.5</v>
      </c>
      <c r="J14" s="118">
        <v>1831180.5</v>
      </c>
      <c r="K14" s="118">
        <v>1838974</v>
      </c>
      <c r="L14" s="118">
        <v>1833280</v>
      </c>
      <c r="M14" s="118">
        <v>1848333.5</v>
      </c>
      <c r="N14" s="118">
        <v>1838516</v>
      </c>
      <c r="O14" s="118">
        <v>1835028.5</v>
      </c>
      <c r="P14" s="118">
        <v>1834654.5</v>
      </c>
      <c r="Q14" s="118">
        <v>1836303.5</v>
      </c>
      <c r="R14" s="124"/>
      <c r="S14" s="124"/>
      <c r="T14" s="124"/>
      <c r="U14" s="124"/>
      <c r="V14" s="136"/>
    </row>
    <row r="15" spans="1:22">
      <c r="A15" s="66">
        <v>6</v>
      </c>
      <c r="B15" s="6" t="s">
        <v>41</v>
      </c>
      <c r="C15" s="66" t="s">
        <v>21</v>
      </c>
      <c r="D15" s="119">
        <f t="shared" si="2"/>
        <v>88782350.322580636</v>
      </c>
      <c r="E15" s="119">
        <f t="shared" si="2"/>
        <v>186442935.67741933</v>
      </c>
      <c r="F15" s="120">
        <v>275225286</v>
      </c>
      <c r="G15" s="120">
        <v>209519142</v>
      </c>
      <c r="H15" s="120">
        <v>198506123</v>
      </c>
      <c r="I15" s="120">
        <v>156664757</v>
      </c>
      <c r="J15" s="120">
        <v>142430315</v>
      </c>
      <c r="K15" s="120">
        <v>156502975</v>
      </c>
      <c r="L15" s="120">
        <v>178634451</v>
      </c>
      <c r="M15" s="120">
        <v>181567778</v>
      </c>
      <c r="N15" s="120">
        <v>154183097</v>
      </c>
      <c r="O15" s="120">
        <v>157178161</v>
      </c>
      <c r="P15" s="120">
        <v>193299820</v>
      </c>
      <c r="Q15" s="120">
        <v>284514826</v>
      </c>
      <c r="R15" s="124"/>
      <c r="S15" s="124"/>
      <c r="T15" s="124"/>
      <c r="U15" s="124"/>
      <c r="V15" s="136"/>
    </row>
    <row r="16" spans="1:22" ht="27">
      <c r="A16" s="66">
        <v>7</v>
      </c>
      <c r="B16" s="17" t="s">
        <v>39</v>
      </c>
      <c r="C16" s="121" t="s">
        <v>101</v>
      </c>
      <c r="D16" s="122">
        <v>2.1080000000000002E-2</v>
      </c>
      <c r="E16" s="122">
        <v>1.6410000000000001E-2</v>
      </c>
      <c r="F16" s="122">
        <f>$D$16*$D$5+$E$16*$E$5</f>
        <v>1.7916451612903228E-2</v>
      </c>
      <c r="G16" s="122">
        <v>1.6410000000000001E-2</v>
      </c>
      <c r="H16" s="122">
        <v>1.6410000000000001E-2</v>
      </c>
      <c r="I16" s="122">
        <v>1.6410000000000001E-2</v>
      </c>
      <c r="J16" s="122">
        <v>1.6410000000000001E-2</v>
      </c>
      <c r="K16" s="122">
        <v>1.6410000000000001E-2</v>
      </c>
      <c r="L16" s="122">
        <v>1.6410000000000001E-2</v>
      </c>
      <c r="M16" s="122">
        <v>1.6410000000000001E-2</v>
      </c>
      <c r="N16" s="122">
        <v>1.6410000000000001E-2</v>
      </c>
      <c r="O16" s="122">
        <v>1.6410000000000001E-2</v>
      </c>
      <c r="P16" s="122">
        <v>1.6410000000000001E-2</v>
      </c>
      <c r="Q16" s="122">
        <v>1.6410000000000001E-2</v>
      </c>
      <c r="R16" s="140"/>
      <c r="S16" s="140"/>
      <c r="T16" s="140"/>
      <c r="U16" s="140"/>
      <c r="V16" s="140"/>
    </row>
    <row r="17" spans="1:23">
      <c r="A17" s="66">
        <v>8</v>
      </c>
      <c r="B17" s="36" t="s">
        <v>40</v>
      </c>
      <c r="C17" s="66" t="str">
        <f>"("&amp;A15&amp;") x ("&amp;A16&amp;")"</f>
        <v>(6) x (7)</v>
      </c>
      <c r="D17" s="70">
        <f t="shared" ref="D17:Q17" si="3">D15*D16</f>
        <v>1871531.9447999999</v>
      </c>
      <c r="E17" s="70">
        <f t="shared" si="3"/>
        <v>3059528.5744664515</v>
      </c>
      <c r="F17" s="70">
        <f t="shared" si="3"/>
        <v>4931060.5192664526</v>
      </c>
      <c r="G17" s="70">
        <f t="shared" si="3"/>
        <v>3438209.1202200004</v>
      </c>
      <c r="H17" s="70">
        <f t="shared" si="3"/>
        <v>3257485.4784300001</v>
      </c>
      <c r="I17" s="70">
        <f t="shared" si="3"/>
        <v>2570868.66237</v>
      </c>
      <c r="J17" s="70">
        <f t="shared" si="3"/>
        <v>2337281.4691500003</v>
      </c>
      <c r="K17" s="70">
        <f t="shared" si="3"/>
        <v>2568213.8197500003</v>
      </c>
      <c r="L17" s="70">
        <f t="shared" si="3"/>
        <v>2931391.3409100003</v>
      </c>
      <c r="M17" s="70">
        <f t="shared" si="3"/>
        <v>2979527.23698</v>
      </c>
      <c r="N17" s="70">
        <f t="shared" si="3"/>
        <v>2530144.6217700001</v>
      </c>
      <c r="O17" s="70">
        <f t="shared" si="3"/>
        <v>2579293.6220100001</v>
      </c>
      <c r="P17" s="70">
        <f t="shared" si="3"/>
        <v>3172050.0462000002</v>
      </c>
      <c r="Q17" s="70">
        <f t="shared" si="3"/>
        <v>4668888.2946600001</v>
      </c>
      <c r="R17" s="124"/>
      <c r="S17" s="124"/>
      <c r="T17" s="124"/>
      <c r="U17" s="124"/>
      <c r="V17" s="136"/>
    </row>
    <row r="18" spans="1:23">
      <c r="A18" s="66">
        <v>9</v>
      </c>
      <c r="B18" s="36" t="s">
        <v>25</v>
      </c>
      <c r="C18" s="66" t="str">
        <f>"("&amp;A13&amp;") - ("&amp;A14&amp;") -("&amp;A17&amp;")"</f>
        <v>(4) - (5) -(8)</v>
      </c>
      <c r="D18" s="70">
        <f>D13-D14-D17</f>
        <v>5616071.2683774196</v>
      </c>
      <c r="E18" s="70">
        <f>E13-E14-E17</f>
        <v>12664438.173206128</v>
      </c>
      <c r="F18" s="70">
        <f>F13-F14-F17</f>
        <v>18280509.441583548</v>
      </c>
      <c r="G18" s="70">
        <f t="shared" ref="G18:Q18" si="4">G13-G14-G17</f>
        <v>13420675.608839998</v>
      </c>
      <c r="H18" s="70">
        <f t="shared" si="4"/>
        <v>12428880.837030001</v>
      </c>
      <c r="I18" s="70">
        <f t="shared" si="4"/>
        <v>9500376.68884</v>
      </c>
      <c r="J18" s="70">
        <f t="shared" si="4"/>
        <v>8539206.1712399982</v>
      </c>
      <c r="K18" s="70">
        <f t="shared" si="4"/>
        <v>9414829.0629900005</v>
      </c>
      <c r="L18" s="70">
        <f t="shared" si="4"/>
        <v>10980498.94327</v>
      </c>
      <c r="M18" s="70">
        <f t="shared" si="4"/>
        <v>11380911.973129999</v>
      </c>
      <c r="N18" s="70">
        <f t="shared" si="4"/>
        <v>9456588.9543500002</v>
      </c>
      <c r="O18" s="70">
        <f t="shared" si="4"/>
        <v>9444852.2044099998</v>
      </c>
      <c r="P18" s="70">
        <f t="shared" si="4"/>
        <v>12103085.849569999</v>
      </c>
      <c r="Q18" s="70">
        <f t="shared" si="4"/>
        <v>18739530.307269998</v>
      </c>
      <c r="R18" s="124">
        <f>SUM(F18:H18)</f>
        <v>44130065.887453549</v>
      </c>
      <c r="S18" s="124">
        <f>SUM(I18:K18)</f>
        <v>27454411.923069999</v>
      </c>
      <c r="T18" s="124">
        <f>SUM(L18:N18)</f>
        <v>31817999.870750003</v>
      </c>
      <c r="U18" s="124">
        <f>SUM(O18:Q18)</f>
        <v>40287468.361249998</v>
      </c>
      <c r="V18" s="136">
        <f>SUM(F18:Q18)</f>
        <v>143689946.04252353</v>
      </c>
    </row>
    <row r="19" spans="1:23">
      <c r="A19" s="66"/>
      <c r="B19" s="123" t="s">
        <v>26</v>
      </c>
      <c r="C19" s="66"/>
      <c r="D19" s="33">
        <f t="shared" ref="D19:Q19" si="5">D18/D9</f>
        <v>83.613830436371686</v>
      </c>
      <c r="E19" s="33">
        <f t="shared" si="5"/>
        <v>89.786727393008249</v>
      </c>
      <c r="F19" s="33">
        <f t="shared" si="5"/>
        <v>87.795470310222257</v>
      </c>
      <c r="G19" s="33">
        <f t="shared" si="5"/>
        <v>63.781024479084479</v>
      </c>
      <c r="H19" s="33">
        <f t="shared" si="5"/>
        <v>59.255689330297976</v>
      </c>
      <c r="I19" s="33">
        <f t="shared" si="5"/>
        <v>45.368432887657889</v>
      </c>
      <c r="J19" s="33">
        <f t="shared" si="5"/>
        <v>40.856663849687081</v>
      </c>
      <c r="K19" s="33">
        <f t="shared" si="5"/>
        <v>45.054574033881273</v>
      </c>
      <c r="L19" s="33">
        <f t="shared" si="5"/>
        <v>52.487041085591095</v>
      </c>
      <c r="M19" s="33">
        <f t="shared" si="5"/>
        <v>54.321050694614144</v>
      </c>
      <c r="N19" s="33">
        <f t="shared" si="5"/>
        <v>44.964143872257672</v>
      </c>
      <c r="O19" s="33">
        <f t="shared" si="5"/>
        <v>44.831598604526427</v>
      </c>
      <c r="P19" s="33">
        <f t="shared" si="5"/>
        <v>57.266689928221965</v>
      </c>
      <c r="Q19" s="33">
        <f t="shared" si="5"/>
        <v>88.577014337499165</v>
      </c>
      <c r="R19" s="140">
        <f>R18/R9</f>
        <v>70.227751915551053</v>
      </c>
      <c r="S19" s="140">
        <f>S18/S9</f>
        <v>43.760837910193921</v>
      </c>
      <c r="T19" s="140">
        <f>T18/T9</f>
        <v>50.582642911705328</v>
      </c>
      <c r="U19" s="140">
        <f>U18/U9</f>
        <v>63.586825953467738</v>
      </c>
      <c r="V19" s="140">
        <f>V18/V9</f>
        <v>57.05670294111691</v>
      </c>
    </row>
    <row r="20" spans="1:23">
      <c r="A20" s="66">
        <v>10</v>
      </c>
      <c r="B20" s="36" t="s">
        <v>27</v>
      </c>
      <c r="C20" s="66" t="str">
        <f>"("&amp;A$11&amp;") - ("&amp;A18&amp;")"</f>
        <v>(3) - (9)</v>
      </c>
      <c r="D20" s="124">
        <f>D11-D18</f>
        <v>-322703.55821009446</v>
      </c>
      <c r="E20" s="124">
        <f>E11-E18</f>
        <v>-206492.46896104142</v>
      </c>
      <c r="F20" s="124">
        <f t="shared" ref="F20:Q20" si="6">F11-F18</f>
        <v>-529196.02717113495</v>
      </c>
      <c r="G20" s="124">
        <f t="shared" si="6"/>
        <v>1764174.2183790263</v>
      </c>
      <c r="H20" s="124">
        <f t="shared" si="6"/>
        <v>2457525.8648503646</v>
      </c>
      <c r="I20" s="124">
        <f t="shared" si="6"/>
        <v>1695339.2603187654</v>
      </c>
      <c r="J20" s="124">
        <f t="shared" si="6"/>
        <v>2266081.7376758941</v>
      </c>
      <c r="K20" s="124">
        <f t="shared" si="6"/>
        <v>191523.81507954001</v>
      </c>
      <c r="L20" s="124">
        <f t="shared" si="6"/>
        <v>-1026351.1440660506</v>
      </c>
      <c r="M20" s="124">
        <f t="shared" si="6"/>
        <v>405512.29763073288</v>
      </c>
      <c r="N20" s="124">
        <f t="shared" si="6"/>
        <v>106697.18535276316</v>
      </c>
      <c r="O20" s="124">
        <f>O11-O18</f>
        <v>1931898.6380626764</v>
      </c>
      <c r="P20" s="124">
        <f t="shared" si="6"/>
        <v>1841734.0024760514</v>
      </c>
      <c r="Q20" s="124">
        <f t="shared" si="6"/>
        <v>-533840.61324170604</v>
      </c>
      <c r="R20" s="124">
        <f>SUM(F20:H20)</f>
        <v>3692504.056058256</v>
      </c>
      <c r="S20" s="124">
        <f>SUM(I20:K20)</f>
        <v>4152944.8130741995</v>
      </c>
      <c r="T20" s="124">
        <f>SUM(L20:N20)</f>
        <v>-514141.66108255461</v>
      </c>
      <c r="U20" s="124">
        <f>SUM(O20:Q20)</f>
        <v>3239792.0272970218</v>
      </c>
      <c r="V20" s="136">
        <f>SUM(F20:Q20)</f>
        <v>10571099.235346923</v>
      </c>
    </row>
    <row r="21" spans="1:23">
      <c r="A21" s="66">
        <v>11</v>
      </c>
      <c r="B21" s="36" t="s">
        <v>28</v>
      </c>
      <c r="C21" s="16" t="s">
        <v>29</v>
      </c>
      <c r="D21" s="124">
        <f>D20*-0.045395</f>
        <v>14649.128024947237</v>
      </c>
      <c r="E21" s="124">
        <f>E20*-0.04588</f>
        <v>9473.87447593258</v>
      </c>
      <c r="F21" s="124">
        <f>D21+E21</f>
        <v>24123.002500879818</v>
      </c>
      <c r="G21" s="124">
        <f>G20*-0.04588</f>
        <v>-80940.313139229722</v>
      </c>
      <c r="H21" s="124">
        <f t="shared" ref="H21:Q21" si="7">H20*-0.04588</f>
        <v>-112751.28667933472</v>
      </c>
      <c r="I21" s="124">
        <f t="shared" si="7"/>
        <v>-77782.165263424948</v>
      </c>
      <c r="J21" s="124">
        <f t="shared" si="7"/>
        <v>-103967.83012457001</v>
      </c>
      <c r="K21" s="124">
        <f t="shared" si="7"/>
        <v>-8787.1126358492947</v>
      </c>
      <c r="L21" s="124">
        <f t="shared" si="7"/>
        <v>47088.990489750402</v>
      </c>
      <c r="M21" s="124">
        <f t="shared" si="7"/>
        <v>-18604.904215298022</v>
      </c>
      <c r="N21" s="124">
        <f t="shared" si="7"/>
        <v>-4895.2668639847734</v>
      </c>
      <c r="O21" s="124">
        <f t="shared" si="7"/>
        <v>-88635.509514315592</v>
      </c>
      <c r="P21" s="124">
        <f t="shared" si="7"/>
        <v>-84498.756033601239</v>
      </c>
      <c r="Q21" s="124">
        <f t="shared" si="7"/>
        <v>24492.607335529472</v>
      </c>
      <c r="R21" s="124">
        <f>SUM(F21:H21)</f>
        <v>-169568.59731768462</v>
      </c>
      <c r="S21" s="124">
        <f>SUM(I21:K21)</f>
        <v>-190537.10802384428</v>
      </c>
      <c r="T21" s="124">
        <f>SUM(L21:N21)</f>
        <v>23588.819410467608</v>
      </c>
      <c r="U21" s="124">
        <f>SUM(O21:Q21)</f>
        <v>-148641.65821238735</v>
      </c>
      <c r="V21" s="136">
        <f>SUM(F21:Q21)</f>
        <v>-485158.54414344858</v>
      </c>
    </row>
    <row r="22" spans="1:23" ht="14.4" customHeight="1">
      <c r="A22" s="66"/>
      <c r="B22" s="36"/>
      <c r="C22" s="66" t="s">
        <v>30</v>
      </c>
      <c r="D22" s="66"/>
      <c r="E22" s="66"/>
      <c r="F22" s="125">
        <v>3.2500000000000001E-2</v>
      </c>
      <c r="G22" s="125">
        <f t="shared" ref="G22:K22" si="8">F22</f>
        <v>3.2500000000000001E-2</v>
      </c>
      <c r="H22" s="125">
        <f t="shared" si="8"/>
        <v>3.2500000000000001E-2</v>
      </c>
      <c r="I22" s="125">
        <v>3.4599999999999999E-2</v>
      </c>
      <c r="J22" s="125">
        <f t="shared" si="8"/>
        <v>3.4599999999999999E-2</v>
      </c>
      <c r="K22" s="125">
        <f t="shared" si="8"/>
        <v>3.4599999999999999E-2</v>
      </c>
      <c r="L22" s="125">
        <v>3.5000000000000003E-2</v>
      </c>
      <c r="M22" s="125">
        <f t="shared" ref="M22" si="9">L22</f>
        <v>3.5000000000000003E-2</v>
      </c>
      <c r="N22" s="125">
        <f t="shared" ref="N22" si="10">M22</f>
        <v>3.5000000000000003E-2</v>
      </c>
      <c r="O22" s="125">
        <f t="shared" ref="O22" si="11">N22</f>
        <v>3.5000000000000003E-2</v>
      </c>
      <c r="P22" s="125">
        <f t="shared" ref="P22" si="12">O22</f>
        <v>3.5000000000000003E-2</v>
      </c>
      <c r="Q22" s="125">
        <f t="shared" ref="Q22" si="13">P22</f>
        <v>3.5000000000000003E-2</v>
      </c>
      <c r="R22" s="125"/>
      <c r="S22" s="125"/>
      <c r="T22" s="125"/>
      <c r="U22" s="125"/>
      <c r="V22" s="136"/>
    </row>
    <row r="23" spans="1:23">
      <c r="A23" s="66">
        <v>12</v>
      </c>
      <c r="B23" s="36" t="s">
        <v>31</v>
      </c>
      <c r="C23" s="66" t="s">
        <v>35</v>
      </c>
      <c r="D23" s="66"/>
      <c r="E23" s="66"/>
      <c r="F23" s="9">
        <f>(F20+F21)/2*F22/12</f>
        <v>-683.95305424097057</v>
      </c>
      <c r="G23" s="9">
        <f>(F25+(G20+G21)/2)*G22/12</f>
        <v>909.62076534171422</v>
      </c>
      <c r="H23" s="9">
        <f t="shared" ref="H23:Q23" si="14">(G25+(H20+H21)/2)*H22/12</f>
        <v>6366.6791428666766</v>
      </c>
      <c r="I23" s="9">
        <f t="shared" si="14"/>
        <v>12508.783318169037</v>
      </c>
      <c r="J23" s="9">
        <f t="shared" si="14"/>
        <v>17993.876005494367</v>
      </c>
      <c r="K23" s="9">
        <f t="shared" si="14"/>
        <v>21426.25131071969</v>
      </c>
      <c r="L23" s="9">
        <f t="shared" si="14"/>
        <v>20574.847254765795</v>
      </c>
      <c r="M23" s="9">
        <f t="shared" si="14"/>
        <v>19771.006534024265</v>
      </c>
      <c r="N23" s="9">
        <f t="shared" si="14"/>
        <v>20541.373049608814</v>
      </c>
      <c r="O23" s="9">
        <f t="shared" si="14"/>
        <v>23437.838581266002</v>
      </c>
      <c r="P23" s="9">
        <f t="shared" si="14"/>
        <v>28756.925740656294</v>
      </c>
      <c r="Q23" s="9">
        <f t="shared" si="14"/>
        <v>30660.635666515271</v>
      </c>
      <c r="R23" s="124">
        <f>SUM(F23:H23)</f>
        <v>6592.3468539674204</v>
      </c>
      <c r="S23" s="124">
        <f>SUM(I23:K23)</f>
        <v>51928.910634383094</v>
      </c>
      <c r="T23" s="124">
        <f>SUM(L23:N23)</f>
        <v>60887.22683839887</v>
      </c>
      <c r="U23" s="124">
        <f>SUM(O23:Q23)</f>
        <v>82855.399988437566</v>
      </c>
      <c r="V23" s="136">
        <f>SUM(F23:Q23)</f>
        <v>202263.88431518694</v>
      </c>
    </row>
    <row r="24" spans="1:23" ht="14.4" customHeight="1" thickBot="1">
      <c r="A24" s="66"/>
      <c r="B24" s="10" t="s">
        <v>32</v>
      </c>
      <c r="C24" s="66"/>
      <c r="D24" s="66"/>
      <c r="E24" s="66"/>
      <c r="F24" s="12">
        <f>F20+F21+F23</f>
        <v>-505756.9777244961</v>
      </c>
      <c r="G24" s="12">
        <f t="shared" ref="G24:Q24" si="15">G20+G21+G23</f>
        <v>1684143.5260051382</v>
      </c>
      <c r="H24" s="12">
        <f t="shared" si="15"/>
        <v>2351141.2573138964</v>
      </c>
      <c r="I24" s="12">
        <f t="shared" si="15"/>
        <v>1630065.8783735095</v>
      </c>
      <c r="J24" s="12">
        <f t="shared" si="15"/>
        <v>2180107.7835568185</v>
      </c>
      <c r="K24" s="12">
        <f t="shared" si="15"/>
        <v>204162.95375441041</v>
      </c>
      <c r="L24" s="12">
        <f t="shared" si="15"/>
        <v>-958687.30632153444</v>
      </c>
      <c r="M24" s="12">
        <f t="shared" si="15"/>
        <v>406678.39994945913</v>
      </c>
      <c r="N24" s="12">
        <f t="shared" si="15"/>
        <v>122343.2915383872</v>
      </c>
      <c r="O24" s="12">
        <f t="shared" si="15"/>
        <v>1866700.967129627</v>
      </c>
      <c r="P24" s="12">
        <f t="shared" si="15"/>
        <v>1785992.1721831064</v>
      </c>
      <c r="Q24" s="12">
        <f t="shared" si="15"/>
        <v>-478687.37023966131</v>
      </c>
      <c r="R24" s="141">
        <f>R20+R21+R23</f>
        <v>3529527.8055945388</v>
      </c>
      <c r="S24" s="141">
        <f>S20+S21+S23</f>
        <v>4014336.6156847384</v>
      </c>
      <c r="T24" s="141">
        <f>T20+T21+T23</f>
        <v>-429665.61483368813</v>
      </c>
      <c r="U24" s="141">
        <f>U20+U21+U23</f>
        <v>3174005.7690730719</v>
      </c>
      <c r="V24" s="141">
        <f>V20+V21+V23</f>
        <v>10288204.575518662</v>
      </c>
    </row>
    <row r="25" spans="1:23" ht="40.200000000000003" customHeight="1" thickBot="1">
      <c r="A25" s="66">
        <v>13</v>
      </c>
      <c r="B25" s="145" t="s">
        <v>113</v>
      </c>
      <c r="C25" s="66" t="str">
        <f>"Σ(("&amp;A$20&amp;") ~ ("&amp;A23&amp;"))"</f>
        <v>Σ((10) ~ (12))</v>
      </c>
      <c r="D25" s="66"/>
      <c r="E25" s="66"/>
      <c r="F25" s="70">
        <f>F20+F21+F23</f>
        <v>-505756.9777244961</v>
      </c>
      <c r="G25" s="70">
        <f>F25+G20+G21+G23</f>
        <v>1178386.5482806421</v>
      </c>
      <c r="H25" s="70">
        <f t="shared" ref="H25:Q25" si="16">G25+H20+H21+H23</f>
        <v>3529527.8055945388</v>
      </c>
      <c r="I25" s="70">
        <f t="shared" si="16"/>
        <v>5159593.6839680495</v>
      </c>
      <c r="J25" s="70">
        <f t="shared" si="16"/>
        <v>7339701.4675248675</v>
      </c>
      <c r="K25" s="70">
        <f t="shared" si="16"/>
        <v>7543864.4212792786</v>
      </c>
      <c r="L25" s="70">
        <f t="shared" si="16"/>
        <v>6585177.1149577443</v>
      </c>
      <c r="M25" s="70">
        <f t="shared" si="16"/>
        <v>6991855.5149072036</v>
      </c>
      <c r="N25" s="70">
        <f t="shared" si="16"/>
        <v>7114198.8064455902</v>
      </c>
      <c r="O25" s="70">
        <f t="shared" si="16"/>
        <v>8980899.7735752165</v>
      </c>
      <c r="P25" s="70">
        <f t="shared" si="16"/>
        <v>10766891.945758322</v>
      </c>
      <c r="Q25" s="126">
        <f t="shared" si="16"/>
        <v>10288204.575518662</v>
      </c>
      <c r="R25" s="124"/>
      <c r="S25" s="124"/>
      <c r="T25" s="124"/>
      <c r="U25" s="124"/>
      <c r="V25" s="136"/>
    </row>
    <row r="26" spans="1:23" ht="14.4" customHeight="1">
      <c r="A26" s="66"/>
      <c r="B26" s="157"/>
      <c r="C26" s="66"/>
      <c r="D26" s="66"/>
      <c r="E26" s="66"/>
      <c r="F26" s="67"/>
      <c r="G26" s="67"/>
      <c r="H26" s="67"/>
      <c r="I26" s="67"/>
      <c r="J26" s="67"/>
      <c r="K26" s="67"/>
      <c r="L26" s="67"/>
      <c r="M26" s="67"/>
      <c r="N26" s="67"/>
      <c r="O26" s="67"/>
      <c r="P26" s="67"/>
      <c r="Q26" s="67"/>
      <c r="R26" s="124"/>
      <c r="S26" s="124"/>
      <c r="T26" s="124"/>
      <c r="U26" s="124"/>
      <c r="V26" s="136"/>
    </row>
    <row r="27" spans="1:23" ht="9" customHeight="1">
      <c r="A27" s="66"/>
      <c r="B27" s="157"/>
      <c r="C27" s="66"/>
      <c r="D27" s="66"/>
      <c r="E27" s="66"/>
      <c r="F27" s="70"/>
      <c r="G27" s="70"/>
      <c r="H27" s="70"/>
      <c r="I27" s="70"/>
      <c r="J27" s="68"/>
      <c r="K27" s="70"/>
      <c r="L27" s="70"/>
      <c r="M27" s="70"/>
      <c r="N27" s="70"/>
      <c r="O27" s="70"/>
      <c r="P27" s="70"/>
      <c r="Q27" s="70"/>
      <c r="R27" s="117"/>
      <c r="S27" s="142"/>
      <c r="T27" s="142"/>
      <c r="U27" s="142"/>
      <c r="V27" s="142"/>
      <c r="W27" s="83"/>
    </row>
    <row r="28" spans="1:23">
      <c r="A28" s="66"/>
      <c r="B28" s="2" t="s">
        <v>33</v>
      </c>
      <c r="C28" s="66"/>
      <c r="D28" s="66"/>
      <c r="E28" s="66"/>
      <c r="F28" s="70"/>
      <c r="G28" s="70"/>
      <c r="H28" s="70"/>
      <c r="I28" s="70"/>
      <c r="J28" s="70"/>
      <c r="K28" s="70"/>
      <c r="L28" s="70"/>
      <c r="M28" s="70"/>
      <c r="N28" s="70"/>
      <c r="O28" s="70"/>
      <c r="P28" s="70"/>
      <c r="Q28" s="70"/>
      <c r="R28" s="124"/>
      <c r="S28" s="124"/>
      <c r="T28" s="124"/>
      <c r="U28" s="124"/>
      <c r="V28" s="136"/>
    </row>
    <row r="29" spans="1:23">
      <c r="A29" s="66">
        <v>14</v>
      </c>
      <c r="B29" s="36" t="s">
        <v>20</v>
      </c>
      <c r="C29" s="66" t="s">
        <v>21</v>
      </c>
      <c r="D29" s="115">
        <f>$F29*D$5</f>
        <v>11397.096774193547</v>
      </c>
      <c r="E29" s="115">
        <f>$F29*E$5</f>
        <v>23933.903225806451</v>
      </c>
      <c r="F29" s="34">
        <v>35331</v>
      </c>
      <c r="G29" s="34">
        <v>35572</v>
      </c>
      <c r="H29" s="34">
        <v>35571</v>
      </c>
      <c r="I29" s="34">
        <v>35497</v>
      </c>
      <c r="J29" s="34">
        <v>35658</v>
      </c>
      <c r="K29" s="34">
        <v>35516</v>
      </c>
      <c r="L29" s="34">
        <v>35519</v>
      </c>
      <c r="M29" s="34">
        <v>35694</v>
      </c>
      <c r="N29" s="34">
        <v>35669</v>
      </c>
      <c r="O29" s="34">
        <v>35828</v>
      </c>
      <c r="P29" s="34">
        <v>35762</v>
      </c>
      <c r="Q29" s="34">
        <v>35782</v>
      </c>
      <c r="R29" s="134">
        <f>SUM(F29:H29)</f>
        <v>106474</v>
      </c>
      <c r="S29" s="134">
        <f>SUM(I29:K29)</f>
        <v>106671</v>
      </c>
      <c r="T29" s="134">
        <f>SUM(L29:N29)</f>
        <v>106882</v>
      </c>
      <c r="U29" s="134">
        <f>SUM(O29:Q29)</f>
        <v>107372</v>
      </c>
      <c r="V29" s="135">
        <f>SUM(F29:Q29)</f>
        <v>427399</v>
      </c>
    </row>
    <row r="30" spans="1:23" ht="29.4" customHeight="1">
      <c r="A30" s="106">
        <f>A29+1</f>
        <v>15</v>
      </c>
      <c r="B30" s="116" t="s">
        <v>22</v>
      </c>
      <c r="C30" s="116" t="s">
        <v>102</v>
      </c>
      <c r="D30" s="117">
        <v>356.03329356425502</v>
      </c>
      <c r="E30" s="117">
        <v>362.51153702538215</v>
      </c>
      <c r="F30" s="117">
        <f>$D$30*$D$5+$E$30*$E$5</f>
        <v>360.4217810701798</v>
      </c>
      <c r="G30" s="117">
        <v>368.64634553355734</v>
      </c>
      <c r="H30" s="117">
        <v>345.3608332677303</v>
      </c>
      <c r="I30" s="117">
        <v>343.55068665310012</v>
      </c>
      <c r="J30" s="117">
        <v>369.90915568717207</v>
      </c>
      <c r="K30" s="117">
        <v>385.26617826211447</v>
      </c>
      <c r="L30" s="117">
        <v>416.90498753163007</v>
      </c>
      <c r="M30" s="117">
        <v>389.59606971640318</v>
      </c>
      <c r="N30" s="117">
        <v>372.63402682785289</v>
      </c>
      <c r="O30" s="117">
        <v>380.4894875098293</v>
      </c>
      <c r="P30" s="117">
        <v>350.01632614600436</v>
      </c>
      <c r="Q30" s="117">
        <v>369.7043658392239</v>
      </c>
      <c r="R30" s="117">
        <f>R31/R29</f>
        <v>358.13794870556814</v>
      </c>
      <c r="S30" s="117">
        <f>S31/S29</f>
        <v>366.25093028822766</v>
      </c>
      <c r="T30" s="117">
        <f>T31/T29</f>
        <v>393.0107358349951</v>
      </c>
      <c r="U30" s="117">
        <f>U31/U29</f>
        <v>366.74573289679506</v>
      </c>
      <c r="V30" s="117">
        <f>V31/V29</f>
        <v>371.04609331178318</v>
      </c>
    </row>
    <row r="31" spans="1:23">
      <c r="A31" s="66">
        <f>A30+1</f>
        <v>16</v>
      </c>
      <c r="B31" s="36" t="s">
        <v>23</v>
      </c>
      <c r="C31" s="66" t="str">
        <f>"("&amp;A29&amp;") x ("&amp;A30&amp;")"</f>
        <v>(14) x (15)</v>
      </c>
      <c r="D31" s="70">
        <f t="shared" ref="D31:Q31" si="17">D29*D30</f>
        <v>4057745.9015866751</v>
      </c>
      <c r="E31" s="70">
        <f t="shared" si="17"/>
        <v>8676316.0454038493</v>
      </c>
      <c r="F31" s="70">
        <f t="shared" si="17"/>
        <v>12734061.946990523</v>
      </c>
      <c r="G31" s="70">
        <f t="shared" si="17"/>
        <v>13113487.803319702</v>
      </c>
      <c r="H31" s="70">
        <f t="shared" si="17"/>
        <v>12284830.200166434</v>
      </c>
      <c r="I31" s="70">
        <f t="shared" si="17"/>
        <v>12195018.724125095</v>
      </c>
      <c r="J31" s="70">
        <f t="shared" si="17"/>
        <v>13190220.673493182</v>
      </c>
      <c r="K31" s="70">
        <f t="shared" si="17"/>
        <v>13683113.587157257</v>
      </c>
      <c r="L31" s="70">
        <f t="shared" si="17"/>
        <v>14808048.252135968</v>
      </c>
      <c r="M31" s="70">
        <f t="shared" si="17"/>
        <v>13906242.112457296</v>
      </c>
      <c r="N31" s="70">
        <f t="shared" si="17"/>
        <v>13291483.102922685</v>
      </c>
      <c r="O31" s="70">
        <f t="shared" si="17"/>
        <v>13632177.358502164</v>
      </c>
      <c r="P31" s="70">
        <f t="shared" si="17"/>
        <v>12517283.855633408</v>
      </c>
      <c r="Q31" s="70">
        <f t="shared" si="17"/>
        <v>13228761.618459109</v>
      </c>
      <c r="R31" s="124">
        <f>SUM(F31:H31)</f>
        <v>38132379.950476661</v>
      </c>
      <c r="S31" s="124">
        <f>SUM(I31:K31)</f>
        <v>39068352.984775536</v>
      </c>
      <c r="T31" s="124">
        <f>SUM(L31:N31)</f>
        <v>42005773.467515945</v>
      </c>
      <c r="U31" s="124">
        <f>SUM(O31:Q31)</f>
        <v>39378222.832594678</v>
      </c>
      <c r="V31" s="136">
        <f>SUM(F31:Q31)</f>
        <v>158584729.23536283</v>
      </c>
    </row>
    <row r="32" spans="1:23">
      <c r="A32" s="66"/>
      <c r="B32" s="36"/>
      <c r="C32" s="66"/>
      <c r="D32" s="66"/>
      <c r="E32" s="66"/>
      <c r="F32" s="67"/>
      <c r="G32" s="67"/>
      <c r="H32" s="67"/>
      <c r="I32" s="67"/>
      <c r="J32" s="67"/>
      <c r="K32" s="70"/>
      <c r="L32" s="67"/>
      <c r="M32" s="67"/>
      <c r="N32" s="67"/>
      <c r="O32" s="67"/>
      <c r="P32" s="67"/>
      <c r="Q32" s="67"/>
      <c r="R32" s="137"/>
      <c r="S32" s="137"/>
      <c r="T32" s="137"/>
      <c r="U32" s="137"/>
      <c r="V32" s="17"/>
    </row>
    <row r="33" spans="1:22">
      <c r="A33" s="66">
        <v>17</v>
      </c>
      <c r="B33" s="36" t="s">
        <v>37</v>
      </c>
      <c r="C33" s="66" t="s">
        <v>21</v>
      </c>
      <c r="D33" s="70">
        <f t="shared" ref="D33:E35" si="18">$F33*D$5</f>
        <v>5689115.5556193544</v>
      </c>
      <c r="E33" s="70">
        <f t="shared" si="18"/>
        <v>11947142.666800644</v>
      </c>
      <c r="F33" s="118">
        <v>17636258.22242</v>
      </c>
      <c r="G33" s="118">
        <v>16471104.690100003</v>
      </c>
      <c r="H33" s="118">
        <v>16873160.45101</v>
      </c>
      <c r="I33" s="118">
        <v>16097542.17726</v>
      </c>
      <c r="J33" s="118">
        <v>17385509.408640001</v>
      </c>
      <c r="K33" s="118">
        <v>18365177.307980005</v>
      </c>
      <c r="L33" s="118">
        <v>19234390.372470006</v>
      </c>
      <c r="M33" s="118">
        <v>18762262.963300001</v>
      </c>
      <c r="N33" s="118">
        <v>17379615.102119997</v>
      </c>
      <c r="O33" s="118">
        <v>17841079.74963</v>
      </c>
      <c r="P33" s="118">
        <v>16178486.967369998</v>
      </c>
      <c r="Q33" s="118">
        <v>18917893.96215</v>
      </c>
      <c r="R33" s="124"/>
      <c r="S33" s="124"/>
      <c r="T33" s="124"/>
      <c r="U33" s="124"/>
      <c r="V33" s="17"/>
    </row>
    <row r="34" spans="1:22">
      <c r="A34" s="66">
        <f>A33+1</f>
        <v>18</v>
      </c>
      <c r="B34" s="36" t="s">
        <v>38</v>
      </c>
      <c r="C34" s="66" t="s">
        <v>21</v>
      </c>
      <c r="D34" s="70">
        <f t="shared" si="18"/>
        <v>512506.27741935482</v>
      </c>
      <c r="E34" s="70">
        <f t="shared" si="18"/>
        <v>1076263.182580645</v>
      </c>
      <c r="F34" s="118">
        <v>1588769.46</v>
      </c>
      <c r="G34" s="118">
        <v>1582403.56</v>
      </c>
      <c r="H34" s="118">
        <v>1565686.23</v>
      </c>
      <c r="I34" s="118">
        <v>1575040.83</v>
      </c>
      <c r="J34" s="118">
        <v>1566939</v>
      </c>
      <c r="K34" s="118">
        <v>1572601.69</v>
      </c>
      <c r="L34" s="118">
        <v>1567372.29</v>
      </c>
      <c r="M34" s="118">
        <v>1565138.3199999998</v>
      </c>
      <c r="N34" s="118">
        <v>1570580.62</v>
      </c>
      <c r="O34" s="118">
        <v>1567535.3399999999</v>
      </c>
      <c r="P34" s="118">
        <v>1580196.74</v>
      </c>
      <c r="Q34" s="118">
        <v>1573243.8199999998</v>
      </c>
      <c r="R34" s="124"/>
      <c r="S34" s="124"/>
      <c r="T34" s="124"/>
      <c r="U34" s="124"/>
      <c r="V34" s="17"/>
    </row>
    <row r="35" spans="1:22">
      <c r="A35" s="66">
        <f>A34+1</f>
        <v>19</v>
      </c>
      <c r="B35" s="6" t="s">
        <v>41</v>
      </c>
      <c r="C35" s="66" t="s">
        <v>21</v>
      </c>
      <c r="D35" s="119">
        <f t="shared" si="18"/>
        <v>57402939.032258064</v>
      </c>
      <c r="E35" s="119">
        <f t="shared" si="18"/>
        <v>120546171.96774192</v>
      </c>
      <c r="F35" s="120">
        <v>177949111</v>
      </c>
      <c r="G35" s="120">
        <v>164762769</v>
      </c>
      <c r="H35" s="120">
        <v>170862451</v>
      </c>
      <c r="I35" s="120">
        <v>162142313</v>
      </c>
      <c r="J35" s="120">
        <v>179654733</v>
      </c>
      <c r="K35" s="120">
        <v>189325960</v>
      </c>
      <c r="L35" s="120">
        <v>201220320</v>
      </c>
      <c r="M35" s="120">
        <v>194881850</v>
      </c>
      <c r="N35" s="120">
        <v>178530679</v>
      </c>
      <c r="O35" s="120">
        <v>182657424</v>
      </c>
      <c r="P35" s="120">
        <v>160599007</v>
      </c>
      <c r="Q35" s="120">
        <v>196411492</v>
      </c>
      <c r="R35" s="134"/>
      <c r="S35" s="134"/>
      <c r="T35" s="134"/>
      <c r="U35" s="134"/>
      <c r="V35" s="17"/>
    </row>
    <row r="36" spans="1:22" ht="27">
      <c r="A36" s="66">
        <f>A35+1</f>
        <v>20</v>
      </c>
      <c r="B36" s="17" t="s">
        <v>39</v>
      </c>
      <c r="C36" s="121" t="s">
        <v>101</v>
      </c>
      <c r="D36" s="122">
        <v>2.1080000000000002E-2</v>
      </c>
      <c r="E36" s="122">
        <v>1.6410000000000001E-2</v>
      </c>
      <c r="F36" s="122">
        <f>$D$36*$D$5+$E$36*$E$5</f>
        <v>1.7916451612903228E-2</v>
      </c>
      <c r="G36" s="122">
        <v>1.6410000000000001E-2</v>
      </c>
      <c r="H36" s="122">
        <v>1.6410000000000001E-2</v>
      </c>
      <c r="I36" s="122">
        <v>1.6410000000000001E-2</v>
      </c>
      <c r="J36" s="122">
        <v>1.6410000000000001E-2</v>
      </c>
      <c r="K36" s="122">
        <v>1.6410000000000001E-2</v>
      </c>
      <c r="L36" s="122">
        <v>1.6410000000000001E-2</v>
      </c>
      <c r="M36" s="122">
        <v>1.6410000000000001E-2</v>
      </c>
      <c r="N36" s="122">
        <v>1.6410000000000001E-2</v>
      </c>
      <c r="O36" s="122">
        <v>1.6410000000000001E-2</v>
      </c>
      <c r="P36" s="122">
        <v>1.6410000000000001E-2</v>
      </c>
      <c r="Q36" s="122">
        <v>1.6410000000000001E-2</v>
      </c>
      <c r="R36" s="138"/>
      <c r="S36" s="138"/>
      <c r="T36" s="138"/>
      <c r="U36" s="138"/>
      <c r="V36" s="139"/>
    </row>
    <row r="37" spans="1:22">
      <c r="A37" s="66">
        <f>A36+1</f>
        <v>21</v>
      </c>
      <c r="B37" s="36" t="s">
        <v>40</v>
      </c>
      <c r="C37" s="66" t="str">
        <f>"("&amp;A35&amp;") x ("&amp;A36&amp;")"</f>
        <v>(19) x (20)</v>
      </c>
      <c r="D37" s="70">
        <f t="shared" ref="D37:Q37" si="19">D35*D36</f>
        <v>1210053.9548000002</v>
      </c>
      <c r="E37" s="70">
        <f t="shared" si="19"/>
        <v>1978162.6819906451</v>
      </c>
      <c r="F37" s="70">
        <f t="shared" si="19"/>
        <v>3188216.6367906458</v>
      </c>
      <c r="G37" s="70">
        <f t="shared" si="19"/>
        <v>2703757.0392900002</v>
      </c>
      <c r="H37" s="70">
        <f t="shared" si="19"/>
        <v>2803852.8209100002</v>
      </c>
      <c r="I37" s="70">
        <f t="shared" si="19"/>
        <v>2660755.3563300003</v>
      </c>
      <c r="J37" s="70">
        <f t="shared" si="19"/>
        <v>2948134.1685300004</v>
      </c>
      <c r="K37" s="70">
        <f t="shared" si="19"/>
        <v>3106839.0036000004</v>
      </c>
      <c r="L37" s="70">
        <f t="shared" si="19"/>
        <v>3302025.4512</v>
      </c>
      <c r="M37" s="70">
        <f t="shared" si="19"/>
        <v>3198011.1585000004</v>
      </c>
      <c r="N37" s="70">
        <f t="shared" si="19"/>
        <v>2929688.44239</v>
      </c>
      <c r="O37" s="70">
        <f t="shared" si="19"/>
        <v>2997408.3278400004</v>
      </c>
      <c r="P37" s="70">
        <f t="shared" si="19"/>
        <v>2635429.70487</v>
      </c>
      <c r="Q37" s="70">
        <f t="shared" si="19"/>
        <v>3223112.58372</v>
      </c>
      <c r="R37" s="124"/>
      <c r="S37" s="124"/>
      <c r="T37" s="124"/>
      <c r="U37" s="124"/>
      <c r="V37" s="136"/>
    </row>
    <row r="38" spans="1:22">
      <c r="A38" s="66">
        <f>A37+1</f>
        <v>22</v>
      </c>
      <c r="B38" s="36" t="s">
        <v>25</v>
      </c>
      <c r="C38" s="66" t="str">
        <f>"("&amp;A33&amp;") - ("&amp;A34&amp;") -("&amp;A37&amp;")"</f>
        <v>(17) - (18) -(21)</v>
      </c>
      <c r="D38" s="70">
        <f>D33-D34-D37</f>
        <v>3966555.3233999992</v>
      </c>
      <c r="E38" s="70">
        <f>E33-E34-E37</f>
        <v>8892716.8022293542</v>
      </c>
      <c r="F38" s="70">
        <f>F33-F34-F37</f>
        <v>12859272.125629352</v>
      </c>
      <c r="G38" s="70">
        <f t="shared" ref="G38:Q38" si="20">G33-G34-G37</f>
        <v>12184944.090810003</v>
      </c>
      <c r="H38" s="70">
        <f t="shared" si="20"/>
        <v>12503621.4001</v>
      </c>
      <c r="I38" s="70">
        <f t="shared" si="20"/>
        <v>11861745.99093</v>
      </c>
      <c r="J38" s="70">
        <f t="shared" si="20"/>
        <v>12870436.240110001</v>
      </c>
      <c r="K38" s="70">
        <f t="shared" si="20"/>
        <v>13685736.614380002</v>
      </c>
      <c r="L38" s="70">
        <f t="shared" si="20"/>
        <v>14364992.631270006</v>
      </c>
      <c r="M38" s="70">
        <f t="shared" si="20"/>
        <v>13999113.4848</v>
      </c>
      <c r="N38" s="70">
        <f t="shared" si="20"/>
        <v>12879346.039729996</v>
      </c>
      <c r="O38" s="70">
        <f t="shared" si="20"/>
        <v>13276136.08179</v>
      </c>
      <c r="P38" s="70">
        <f t="shared" si="20"/>
        <v>11962860.522499997</v>
      </c>
      <c r="Q38" s="70">
        <f t="shared" si="20"/>
        <v>14121537.558429999</v>
      </c>
      <c r="R38" s="124">
        <f>SUM(F38:H38)</f>
        <v>37547837.616539359</v>
      </c>
      <c r="S38" s="124">
        <f>SUM(I38:K38)</f>
        <v>38417918.845420003</v>
      </c>
      <c r="T38" s="124">
        <f>SUM(L38:N38)</f>
        <v>41243452.1558</v>
      </c>
      <c r="U38" s="124">
        <f>SUM(O38:Q38)</f>
        <v>39360534.162719995</v>
      </c>
      <c r="V38" s="136">
        <f>SUM(F38:Q38)</f>
        <v>156569742.78047934</v>
      </c>
    </row>
    <row r="39" spans="1:22">
      <c r="A39" s="66"/>
      <c r="B39" s="66" t="s">
        <v>34</v>
      </c>
      <c r="C39" s="66"/>
      <c r="D39" s="33">
        <f t="shared" ref="D39:Q39" si="21">D38/D29</f>
        <v>348.0320823792137</v>
      </c>
      <c r="E39" s="33">
        <f t="shared" si="21"/>
        <v>371.55313608191108</v>
      </c>
      <c r="F39" s="33">
        <f t="shared" si="21"/>
        <v>363.96569940362156</v>
      </c>
      <c r="G39" s="33">
        <f t="shared" si="21"/>
        <v>342.54312635809072</v>
      </c>
      <c r="H39" s="33">
        <f t="shared" si="21"/>
        <v>351.51166399876303</v>
      </c>
      <c r="I39" s="33">
        <f t="shared" si="21"/>
        <v>334.16192892159904</v>
      </c>
      <c r="J39" s="33">
        <f t="shared" si="21"/>
        <v>360.94105783022042</v>
      </c>
      <c r="K39" s="33">
        <f t="shared" si="21"/>
        <v>385.34003306622373</v>
      </c>
      <c r="L39" s="33">
        <f t="shared" si="21"/>
        <v>404.43122360623909</v>
      </c>
      <c r="M39" s="33">
        <f t="shared" si="21"/>
        <v>392.19794600773241</v>
      </c>
      <c r="N39" s="33">
        <f t="shared" si="21"/>
        <v>361.07953796658148</v>
      </c>
      <c r="O39" s="33">
        <f t="shared" si="21"/>
        <v>370.55197280869709</v>
      </c>
      <c r="P39" s="33">
        <f t="shared" si="21"/>
        <v>334.51318501482012</v>
      </c>
      <c r="Q39" s="33">
        <f t="shared" si="21"/>
        <v>394.65478616147783</v>
      </c>
      <c r="R39" s="140">
        <f>R38/R29</f>
        <v>352.64794801115164</v>
      </c>
      <c r="S39" s="140">
        <f>S38/S29</f>
        <v>360.15335794564601</v>
      </c>
      <c r="T39" s="140">
        <f>T38/T29</f>
        <v>385.87837199715574</v>
      </c>
      <c r="U39" s="140">
        <f>U38/U29</f>
        <v>366.58099097269303</v>
      </c>
      <c r="V39" s="140">
        <f>V38/V29</f>
        <v>366.33156086111421</v>
      </c>
    </row>
    <row r="40" spans="1:22">
      <c r="A40" s="66">
        <v>23</v>
      </c>
      <c r="B40" s="36" t="s">
        <v>27</v>
      </c>
      <c r="C40" s="66" t="str">
        <f>"("&amp;A$31&amp;") - ("&amp;A38&amp;")"</f>
        <v>(16) - (22)</v>
      </c>
      <c r="D40" s="124">
        <f>D31-D38</f>
        <v>91190.578186675906</v>
      </c>
      <c r="E40" s="124">
        <f t="shared" ref="E40:Q40" si="22">E31-E38</f>
        <v>-216400.75682550482</v>
      </c>
      <c r="F40" s="124">
        <f t="shared" si="22"/>
        <v>-125210.17863882892</v>
      </c>
      <c r="G40" s="124">
        <f t="shared" si="22"/>
        <v>928543.71250969917</v>
      </c>
      <c r="H40" s="124">
        <f t="shared" si="22"/>
        <v>-218791.19993356615</v>
      </c>
      <c r="I40" s="124">
        <f t="shared" si="22"/>
        <v>333272.73319509439</v>
      </c>
      <c r="J40" s="124">
        <f t="shared" si="22"/>
        <v>319784.43338318169</v>
      </c>
      <c r="K40" s="124">
        <f t="shared" si="22"/>
        <v>-2623.0272227451205</v>
      </c>
      <c r="L40" s="124">
        <f t="shared" si="22"/>
        <v>443055.62086596154</v>
      </c>
      <c r="M40" s="124">
        <f t="shared" si="22"/>
        <v>-92871.372342703864</v>
      </c>
      <c r="N40" s="124">
        <f t="shared" si="22"/>
        <v>412137.06319268979</v>
      </c>
      <c r="O40" s="124">
        <f t="shared" si="22"/>
        <v>356041.27671216428</v>
      </c>
      <c r="P40" s="124">
        <f t="shared" si="22"/>
        <v>554423.33313341066</v>
      </c>
      <c r="Q40" s="124">
        <f t="shared" si="22"/>
        <v>-892775.93997089006</v>
      </c>
      <c r="R40" s="124">
        <f>SUM(F40:H40)</f>
        <v>584542.33393730409</v>
      </c>
      <c r="S40" s="124">
        <f>SUM(I40:K40)</f>
        <v>650434.13935553096</v>
      </c>
      <c r="T40" s="124">
        <f>SUM(L40:N40)</f>
        <v>762321.31171594746</v>
      </c>
      <c r="U40" s="124">
        <f>SUM(O40:Q40)</f>
        <v>17688.669874684885</v>
      </c>
      <c r="V40" s="136">
        <f>SUM(F40:Q40)</f>
        <v>2014986.4548834674</v>
      </c>
    </row>
    <row r="41" spans="1:22">
      <c r="A41" s="66">
        <v>24</v>
      </c>
      <c r="B41" s="36" t="s">
        <v>28</v>
      </c>
      <c r="C41" s="16" t="s">
        <v>29</v>
      </c>
      <c r="D41" s="124">
        <f>D40*-0.045395</f>
        <v>-4139.5962967841524</v>
      </c>
      <c r="E41" s="124">
        <f>E40*-0.04588</f>
        <v>9928.4667231541607</v>
      </c>
      <c r="F41" s="124">
        <f>D41+E41</f>
        <v>5788.8704263700083</v>
      </c>
      <c r="G41" s="124">
        <f>G40*-0.04588</f>
        <v>-42601.585529944998</v>
      </c>
      <c r="H41" s="124">
        <f t="shared" ref="H41:Q41" si="23">H40*-0.04588</f>
        <v>10038.140252952015</v>
      </c>
      <c r="I41" s="124">
        <f t="shared" si="23"/>
        <v>-15290.55299899093</v>
      </c>
      <c r="J41" s="124">
        <f t="shared" si="23"/>
        <v>-14671.709803620375</v>
      </c>
      <c r="K41" s="124">
        <f t="shared" si="23"/>
        <v>120.34448897954613</v>
      </c>
      <c r="L41" s="124">
        <f t="shared" si="23"/>
        <v>-20327.391885330315</v>
      </c>
      <c r="M41" s="124">
        <f t="shared" si="23"/>
        <v>4260.938563083253</v>
      </c>
      <c r="N41" s="124">
        <f t="shared" si="23"/>
        <v>-18908.848459280605</v>
      </c>
      <c r="O41" s="124">
        <f t="shared" si="23"/>
        <v>-16335.173775554096</v>
      </c>
      <c r="P41" s="124">
        <f t="shared" si="23"/>
        <v>-25436.942524160881</v>
      </c>
      <c r="Q41" s="124">
        <f t="shared" si="23"/>
        <v>40960.560125864431</v>
      </c>
      <c r="R41" s="124">
        <f>SUM(F41:H41)</f>
        <v>-26774.574850622979</v>
      </c>
      <c r="S41" s="124">
        <f>SUM(I41:K41)</f>
        <v>-29841.918313631759</v>
      </c>
      <c r="T41" s="124">
        <f>SUM(L41:N41)</f>
        <v>-34975.301781527669</v>
      </c>
      <c r="U41" s="124">
        <f>SUM(O41:Q41)</f>
        <v>-811.55617385054938</v>
      </c>
      <c r="V41" s="136">
        <f>SUM(F41:Q41)</f>
        <v>-92403.351119632949</v>
      </c>
    </row>
    <row r="42" spans="1:22">
      <c r="A42" s="66"/>
      <c r="B42" s="36"/>
      <c r="C42" s="66" t="s">
        <v>30</v>
      </c>
      <c r="D42" s="66"/>
      <c r="E42" s="66"/>
      <c r="F42" s="125">
        <f t="shared" ref="F42:Q42" si="24">F22</f>
        <v>3.2500000000000001E-2</v>
      </c>
      <c r="G42" s="125">
        <f t="shared" si="24"/>
        <v>3.2500000000000001E-2</v>
      </c>
      <c r="H42" s="125">
        <f t="shared" si="24"/>
        <v>3.2500000000000001E-2</v>
      </c>
      <c r="I42" s="125">
        <f t="shared" si="24"/>
        <v>3.4599999999999999E-2</v>
      </c>
      <c r="J42" s="125">
        <f t="shared" si="24"/>
        <v>3.4599999999999999E-2</v>
      </c>
      <c r="K42" s="125">
        <f t="shared" si="24"/>
        <v>3.4599999999999999E-2</v>
      </c>
      <c r="L42" s="125">
        <f t="shared" si="24"/>
        <v>3.5000000000000003E-2</v>
      </c>
      <c r="M42" s="125">
        <f t="shared" si="24"/>
        <v>3.5000000000000003E-2</v>
      </c>
      <c r="N42" s="125">
        <f t="shared" si="24"/>
        <v>3.5000000000000003E-2</v>
      </c>
      <c r="O42" s="125">
        <f t="shared" si="24"/>
        <v>3.5000000000000003E-2</v>
      </c>
      <c r="P42" s="125">
        <f t="shared" si="24"/>
        <v>3.5000000000000003E-2</v>
      </c>
      <c r="Q42" s="125">
        <f t="shared" si="24"/>
        <v>3.5000000000000003E-2</v>
      </c>
      <c r="R42" s="125"/>
      <c r="S42" s="125"/>
      <c r="T42" s="125"/>
      <c r="U42" s="125"/>
      <c r="V42" s="136"/>
    </row>
    <row r="43" spans="1:22" ht="14.4" customHeight="1">
      <c r="A43" s="66">
        <v>25</v>
      </c>
      <c r="B43" s="36" t="s">
        <v>31</v>
      </c>
      <c r="C43" s="66" t="s">
        <v>35</v>
      </c>
      <c r="D43" s="66"/>
      <c r="E43" s="66"/>
      <c r="F43" s="9">
        <f>(F40+F41)/2*F42/12</f>
        <v>-161.71635487103813</v>
      </c>
      <c r="G43" s="9">
        <f t="shared" ref="G43:Q43" si="25">(F45+(G40+G41)/2)*G42/12</f>
        <v>875.8426054152319</v>
      </c>
      <c r="H43" s="9">
        <f t="shared" si="25"/>
        <v>1795.2415411058173</v>
      </c>
      <c r="I43" s="9">
        <f t="shared" si="25"/>
        <v>2073.8900256152374</v>
      </c>
      <c r="J43" s="9">
        <f t="shared" si="25"/>
        <v>2978.1648947990111</v>
      </c>
      <c r="K43" s="9">
        <f t="shared" si="25"/>
        <v>3423.0147457983699</v>
      </c>
      <c r="L43" s="9">
        <f t="shared" si="25"/>
        <v>4085.3998852238797</v>
      </c>
      <c r="M43" s="9">
        <f t="shared" si="25"/>
        <v>4584.5707528905905</v>
      </c>
      <c r="N43" s="9">
        <f t="shared" si="25"/>
        <v>5042.1766814774628</v>
      </c>
      <c r="O43" s="9">
        <f t="shared" si="25"/>
        <v>6125.7455767338843</v>
      </c>
      <c r="P43" s="9">
        <f t="shared" si="25"/>
        <v>7410.455554420404</v>
      </c>
      <c r="Q43" s="9">
        <f t="shared" si="25"/>
        <v>6961.2771071519574</v>
      </c>
      <c r="R43" s="124">
        <f>SUM(F43:H43)</f>
        <v>2509.367791650011</v>
      </c>
      <c r="S43" s="124">
        <f>SUM(I43:K43)</f>
        <v>8475.0696662126174</v>
      </c>
      <c r="T43" s="124">
        <f>SUM(L43:N43)</f>
        <v>13712.147319591932</v>
      </c>
      <c r="U43" s="124">
        <f>SUM(O43:Q43)</f>
        <v>20497.478238306245</v>
      </c>
      <c r="V43" s="136">
        <f>SUM(F43:Q43)</f>
        <v>45194.06301576081</v>
      </c>
    </row>
    <row r="44" spans="1:22" ht="15" thickBot="1">
      <c r="A44" s="66"/>
      <c r="B44" s="10" t="s">
        <v>36</v>
      </c>
      <c r="C44" s="66"/>
      <c r="D44" s="66"/>
      <c r="E44" s="66"/>
      <c r="F44" s="12">
        <f>F40+F41+F43</f>
        <v>-119583.02456732995</v>
      </c>
      <c r="G44" s="12">
        <f t="shared" ref="G44:V44" si="26">G40+G41+G43</f>
        <v>886817.96958516946</v>
      </c>
      <c r="H44" s="12">
        <f t="shared" si="26"/>
        <v>-206957.81813950831</v>
      </c>
      <c r="I44" s="12">
        <f t="shared" si="26"/>
        <v>320056.07022171869</v>
      </c>
      <c r="J44" s="12">
        <f t="shared" si="26"/>
        <v>308090.88847436034</v>
      </c>
      <c r="K44" s="12">
        <f t="shared" si="26"/>
        <v>920.33201203279532</v>
      </c>
      <c r="L44" s="12">
        <f t="shared" si="26"/>
        <v>426813.62886585511</v>
      </c>
      <c r="M44" s="12">
        <f t="shared" si="26"/>
        <v>-84025.863026730018</v>
      </c>
      <c r="N44" s="12">
        <f t="shared" si="26"/>
        <v>398270.39141488663</v>
      </c>
      <c r="O44" s="12">
        <f t="shared" si="26"/>
        <v>345831.84851334407</v>
      </c>
      <c r="P44" s="12">
        <f t="shared" si="26"/>
        <v>536396.84616367018</v>
      </c>
      <c r="Q44" s="12">
        <f t="shared" si="26"/>
        <v>-844854.10273787368</v>
      </c>
      <c r="R44" s="141">
        <f t="shared" si="26"/>
        <v>560277.12687833107</v>
      </c>
      <c r="S44" s="141">
        <f t="shared" si="26"/>
        <v>629067.29070811183</v>
      </c>
      <c r="T44" s="141">
        <f t="shared" si="26"/>
        <v>741058.15725401172</v>
      </c>
      <c r="U44" s="141">
        <f t="shared" si="26"/>
        <v>37374.591939140577</v>
      </c>
      <c r="V44" s="141">
        <f t="shared" si="26"/>
        <v>1967777.1667795954</v>
      </c>
    </row>
    <row r="45" spans="1:22" ht="34.950000000000003" customHeight="1" thickBot="1">
      <c r="A45" s="66">
        <v>26</v>
      </c>
      <c r="B45" s="145" t="s">
        <v>114</v>
      </c>
      <c r="C45" s="66" t="str">
        <f>"Σ(("&amp;A$40&amp;") ~ ("&amp;A43&amp;"))"</f>
        <v>Σ((23) ~ (25))</v>
      </c>
      <c r="D45" s="66"/>
      <c r="E45" s="66"/>
      <c r="F45" s="70">
        <f>F40+F41+F43</f>
        <v>-119583.02456732995</v>
      </c>
      <c r="G45" s="70">
        <f t="shared" ref="G45:Q45" si="27">F45+G40+G41+G43</f>
        <v>767234.94501783955</v>
      </c>
      <c r="H45" s="70">
        <f t="shared" si="27"/>
        <v>560277.12687833118</v>
      </c>
      <c r="I45" s="70">
        <f t="shared" si="27"/>
        <v>880333.19710004982</v>
      </c>
      <c r="J45" s="70">
        <f t="shared" si="27"/>
        <v>1188424.0855744102</v>
      </c>
      <c r="K45" s="70">
        <f t="shared" si="27"/>
        <v>1189344.417586443</v>
      </c>
      <c r="L45" s="70">
        <f t="shared" si="27"/>
        <v>1616158.0464522983</v>
      </c>
      <c r="M45" s="70">
        <f t="shared" si="27"/>
        <v>1532132.1834255683</v>
      </c>
      <c r="N45" s="70">
        <f t="shared" si="27"/>
        <v>1930402.5748404551</v>
      </c>
      <c r="O45" s="70">
        <f t="shared" si="27"/>
        <v>2276234.4233537992</v>
      </c>
      <c r="P45" s="70">
        <f t="shared" si="27"/>
        <v>2812631.2695174697</v>
      </c>
      <c r="Q45" s="126">
        <f t="shared" si="27"/>
        <v>1967777.1667795959</v>
      </c>
      <c r="R45" s="124"/>
      <c r="S45" s="124"/>
      <c r="T45" s="124"/>
      <c r="U45" s="124"/>
      <c r="V45" s="136"/>
    </row>
    <row r="46" spans="1:22" ht="14.4" hidden="1" customHeight="1">
      <c r="A46" s="66"/>
      <c r="B46" s="157"/>
      <c r="C46" s="66"/>
      <c r="D46" s="66"/>
      <c r="E46" s="66"/>
      <c r="F46" s="70"/>
      <c r="G46" s="70"/>
      <c r="H46" s="70"/>
      <c r="I46" s="70"/>
      <c r="J46" s="70"/>
      <c r="K46" s="70"/>
      <c r="L46" s="70"/>
      <c r="M46" s="70"/>
      <c r="N46" s="70"/>
      <c r="O46" s="70"/>
      <c r="P46" s="70"/>
      <c r="Q46" s="30"/>
      <c r="R46" s="141">
        <f>R42+R43+R45</f>
        <v>2509.367791650011</v>
      </c>
      <c r="S46" s="141">
        <f>S42+S43+S45</f>
        <v>8475.0696662126174</v>
      </c>
      <c r="T46" s="141">
        <f>T42+T43+T45</f>
        <v>13712.147319591932</v>
      </c>
      <c r="U46" s="141">
        <f>U42+U43+U45</f>
        <v>20497.478238306245</v>
      </c>
      <c r="V46" s="141">
        <f>V42+V43+V45</f>
        <v>45194.06301576081</v>
      </c>
    </row>
    <row r="47" spans="1:22" ht="23.4" customHeight="1" thickBot="1">
      <c r="A47" s="2">
        <v>27</v>
      </c>
      <c r="B47" s="127" t="s">
        <v>115</v>
      </c>
      <c r="C47" s="2" t="str">
        <f>"("&amp;A$25&amp;") + ("&amp;A45&amp;")"</f>
        <v>(13) + (26)</v>
      </c>
      <c r="D47" s="2"/>
      <c r="E47" s="2"/>
      <c r="F47" s="15">
        <f t="shared" ref="F47:Q47" si="28">F25+F45</f>
        <v>-625340.00229182607</v>
      </c>
      <c r="G47" s="15">
        <f t="shared" si="28"/>
        <v>1945621.4932984817</v>
      </c>
      <c r="H47" s="15">
        <f t="shared" si="28"/>
        <v>4089804.9324728698</v>
      </c>
      <c r="I47" s="15">
        <f t="shared" si="28"/>
        <v>6039926.8810680993</v>
      </c>
      <c r="J47" s="15">
        <f t="shared" si="28"/>
        <v>8528125.5530992784</v>
      </c>
      <c r="K47" s="15">
        <f t="shared" si="28"/>
        <v>8733208.8388657216</v>
      </c>
      <c r="L47" s="15">
        <f t="shared" si="28"/>
        <v>8201335.161410043</v>
      </c>
      <c r="M47" s="15">
        <f t="shared" si="28"/>
        <v>8523987.6983327717</v>
      </c>
      <c r="N47" s="15">
        <f t="shared" si="28"/>
        <v>9044601.3812860455</v>
      </c>
      <c r="O47" s="15">
        <f t="shared" si="28"/>
        <v>11257134.196929015</v>
      </c>
      <c r="P47" s="15">
        <f t="shared" si="28"/>
        <v>13579523.215275792</v>
      </c>
      <c r="Q47" s="128">
        <f t="shared" si="28"/>
        <v>12255981.742298258</v>
      </c>
      <c r="R47" s="143"/>
      <c r="S47" s="143"/>
      <c r="T47" s="143"/>
      <c r="U47" s="143"/>
      <c r="V47" s="17"/>
    </row>
  </sheetData>
  <printOptions horizontalCentered="1"/>
  <pageMargins left="0.7" right="0.71" top="0.9" bottom="0.75" header="0.5" footer="0.5"/>
  <pageSetup scale="60" orientation="landscape" r:id="rId1"/>
  <headerFooter>
    <oddHeader>&amp;CAvista Corporation Decoupling Mechanism
Washington Jurisdiction
Quarterly Report for 4th Quarter 2016</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68"/>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opLeftCell="A28" zoomScaleNormal="100" workbookViewId="0">
      <selection activeCell="C44" sqref="C44"/>
    </sheetView>
  </sheetViews>
  <sheetFormatPr defaultRowHeight="14.4"/>
  <cols>
    <col min="1" max="1" width="7.33203125" customWidth="1"/>
    <col min="2" max="2" width="35" customWidth="1"/>
    <col min="3" max="3" width="15" customWidth="1"/>
    <col min="4" max="5" width="15" style="75" hidden="1" customWidth="1"/>
    <col min="6" max="6" width="13.33203125" hidden="1" customWidth="1"/>
    <col min="7" max="7" width="11.33203125" hidden="1" customWidth="1"/>
    <col min="8" max="8" width="12.44140625" hidden="1" customWidth="1"/>
    <col min="9" max="12" width="11.33203125" hidden="1" customWidth="1"/>
    <col min="13" max="13" width="11.88671875" hidden="1" customWidth="1"/>
    <col min="14" max="14" width="11.33203125" hidden="1" customWidth="1"/>
    <col min="15" max="15" width="12.33203125" customWidth="1"/>
    <col min="16" max="16" width="11.5546875" customWidth="1"/>
    <col min="17" max="17" width="12.33203125" customWidth="1"/>
    <col min="18" max="18" width="12.6640625" style="65" customWidth="1"/>
    <col min="19" max="19" width="12.88671875" style="26" customWidth="1"/>
    <col min="20" max="20" width="12.33203125" style="65" customWidth="1"/>
    <col min="21" max="21" width="12.33203125" style="75" customWidth="1"/>
    <col min="22" max="22" width="12.44140625" customWidth="1"/>
  </cols>
  <sheetData>
    <row r="1" spans="1:22" ht="15.6">
      <c r="A1" s="146" t="s">
        <v>0</v>
      </c>
      <c r="B1" s="146"/>
      <c r="C1" s="146"/>
      <c r="D1" s="146"/>
      <c r="E1" s="146"/>
      <c r="F1" s="146"/>
      <c r="G1" s="146"/>
      <c r="H1" s="146"/>
      <c r="I1" s="146"/>
      <c r="J1" s="146"/>
      <c r="K1" s="146"/>
      <c r="L1" s="146"/>
      <c r="M1" s="146"/>
      <c r="N1" s="146"/>
      <c r="O1" s="146"/>
      <c r="P1" s="146"/>
      <c r="Q1" s="146"/>
      <c r="R1" s="146"/>
      <c r="S1" s="146"/>
      <c r="T1" s="146"/>
      <c r="U1" s="146"/>
      <c r="V1" s="146"/>
    </row>
    <row r="2" spans="1:22" ht="17.399999999999999">
      <c r="A2" s="146" t="s">
        <v>108</v>
      </c>
      <c r="B2" s="146"/>
      <c r="C2" s="146"/>
      <c r="D2" s="146"/>
      <c r="E2" s="146"/>
      <c r="F2" s="146"/>
      <c r="G2" s="146"/>
      <c r="H2" s="146"/>
      <c r="I2" s="146"/>
      <c r="J2" s="146"/>
      <c r="K2" s="146"/>
      <c r="L2" s="146"/>
      <c r="M2" s="146"/>
      <c r="N2" s="146"/>
      <c r="O2" s="146"/>
      <c r="P2" s="146"/>
      <c r="Q2" s="146"/>
      <c r="R2" s="148"/>
      <c r="S2" s="148"/>
      <c r="T2" s="148"/>
      <c r="U2" s="148"/>
      <c r="V2" s="148"/>
    </row>
    <row r="3" spans="1:22" ht="15.6">
      <c r="A3" s="147" t="s">
        <v>109</v>
      </c>
      <c r="B3" s="146"/>
      <c r="C3" s="146"/>
      <c r="D3" s="146"/>
      <c r="E3" s="146"/>
      <c r="F3" s="146"/>
      <c r="G3" s="146"/>
      <c r="H3" s="146"/>
      <c r="I3" s="146"/>
      <c r="J3" s="146"/>
      <c r="K3" s="146"/>
      <c r="L3" s="146"/>
      <c r="M3" s="146"/>
      <c r="N3" s="146"/>
      <c r="O3" s="146"/>
      <c r="P3" s="146"/>
      <c r="Q3" s="146"/>
      <c r="R3" s="147"/>
      <c r="S3" s="147"/>
      <c r="T3" s="147"/>
      <c r="U3" s="147"/>
      <c r="V3" s="147"/>
    </row>
    <row r="4" spans="1:22" ht="6" customHeight="1">
      <c r="A4" s="14"/>
      <c r="B4" s="13"/>
      <c r="C4" s="13"/>
      <c r="D4" s="144"/>
      <c r="E4" s="144"/>
      <c r="F4" s="13"/>
      <c r="G4" s="13"/>
      <c r="H4" s="13"/>
      <c r="I4" s="13"/>
      <c r="J4" s="13"/>
      <c r="K4" s="13"/>
      <c r="L4" s="13"/>
      <c r="M4" s="13"/>
      <c r="N4" s="13"/>
      <c r="O4" s="13"/>
      <c r="P4" s="13"/>
      <c r="Q4" s="13"/>
      <c r="R4" s="74"/>
      <c r="S4" s="63"/>
      <c r="T4" s="74"/>
      <c r="U4" s="80"/>
      <c r="V4" s="1"/>
    </row>
    <row r="5" spans="1:22" ht="27.6">
      <c r="A5" s="36"/>
      <c r="B5" s="36"/>
      <c r="C5" s="36"/>
      <c r="D5" s="110">
        <f>10/31</f>
        <v>0.32258064516129031</v>
      </c>
      <c r="E5" s="110">
        <f>21/31</f>
        <v>0.67741935483870963</v>
      </c>
      <c r="F5" s="66" t="s">
        <v>97</v>
      </c>
      <c r="G5" s="10"/>
      <c r="H5" s="10"/>
      <c r="I5" s="10"/>
      <c r="J5" s="10"/>
      <c r="K5" s="10"/>
      <c r="L5" s="10"/>
      <c r="M5" s="10"/>
      <c r="N5" s="10"/>
      <c r="O5" s="10"/>
      <c r="P5" s="10"/>
      <c r="Q5" s="10"/>
      <c r="R5" s="64" t="s">
        <v>107</v>
      </c>
      <c r="S5" s="64" t="s">
        <v>104</v>
      </c>
      <c r="T5" s="64" t="s">
        <v>105</v>
      </c>
      <c r="U5" s="64" t="s">
        <v>106</v>
      </c>
      <c r="V5" s="62" t="s">
        <v>103</v>
      </c>
    </row>
    <row r="6" spans="1:22" ht="26.4">
      <c r="A6" s="111" t="s">
        <v>1</v>
      </c>
      <c r="B6" s="112"/>
      <c r="C6" s="107" t="s">
        <v>2</v>
      </c>
      <c r="D6" s="107" t="s">
        <v>98</v>
      </c>
      <c r="E6" s="107" t="s">
        <v>99</v>
      </c>
      <c r="F6" s="149">
        <v>42370</v>
      </c>
      <c r="G6" s="114">
        <f t="shared" ref="G6:Q6" si="0">EDATE(F6,1)</f>
        <v>42401</v>
      </c>
      <c r="H6" s="114">
        <f t="shared" si="0"/>
        <v>42430</v>
      </c>
      <c r="I6" s="114">
        <f t="shared" si="0"/>
        <v>42461</v>
      </c>
      <c r="J6" s="114">
        <f t="shared" si="0"/>
        <v>42491</v>
      </c>
      <c r="K6" s="114">
        <f t="shared" si="0"/>
        <v>42522</v>
      </c>
      <c r="L6" s="114">
        <f t="shared" si="0"/>
        <v>42552</v>
      </c>
      <c r="M6" s="114">
        <f t="shared" si="0"/>
        <v>42583</v>
      </c>
      <c r="N6" s="114">
        <f t="shared" si="0"/>
        <v>42614</v>
      </c>
      <c r="O6" s="114">
        <f t="shared" si="0"/>
        <v>42644</v>
      </c>
      <c r="P6" s="114">
        <f t="shared" si="0"/>
        <v>42675</v>
      </c>
      <c r="Q6" s="114">
        <f t="shared" si="0"/>
        <v>42705</v>
      </c>
      <c r="R6" s="114" t="s">
        <v>3</v>
      </c>
      <c r="S6" s="25" t="s">
        <v>3</v>
      </c>
      <c r="T6" s="25" t="s">
        <v>3</v>
      </c>
      <c r="U6" s="25" t="s">
        <v>3</v>
      </c>
      <c r="V6" s="3" t="s">
        <v>3</v>
      </c>
    </row>
    <row r="7" spans="1:22">
      <c r="A7" s="66"/>
      <c r="B7" s="66" t="s">
        <v>4</v>
      </c>
      <c r="C7" s="66" t="s">
        <v>5</v>
      </c>
      <c r="D7" s="66"/>
      <c r="E7" s="66"/>
      <c r="F7" s="66" t="s">
        <v>6</v>
      </c>
      <c r="G7" s="66" t="s">
        <v>7</v>
      </c>
      <c r="H7" s="66" t="s">
        <v>8</v>
      </c>
      <c r="I7" s="66" t="s">
        <v>9</v>
      </c>
      <c r="J7" s="66" t="s">
        <v>10</v>
      </c>
      <c r="K7" s="66" t="s">
        <v>11</v>
      </c>
      <c r="L7" s="66" t="s">
        <v>12</v>
      </c>
      <c r="M7" s="66" t="s">
        <v>13</v>
      </c>
      <c r="N7" s="66" t="s">
        <v>14</v>
      </c>
      <c r="O7" s="66" t="s">
        <v>15</v>
      </c>
      <c r="P7" s="66" t="s">
        <v>16</v>
      </c>
      <c r="Q7" s="66" t="s">
        <v>17</v>
      </c>
      <c r="R7" s="66" t="s">
        <v>18</v>
      </c>
      <c r="S7" s="27"/>
      <c r="T7" s="66"/>
      <c r="U7" s="66"/>
      <c r="V7" s="4" t="s">
        <v>18</v>
      </c>
    </row>
    <row r="8" spans="1:22">
      <c r="A8" s="66"/>
      <c r="B8" s="2" t="s">
        <v>19</v>
      </c>
      <c r="C8" s="66"/>
      <c r="D8" s="66"/>
      <c r="E8" s="66"/>
      <c r="F8" s="66"/>
      <c r="G8" s="66"/>
      <c r="H8" s="66"/>
      <c r="I8" s="66"/>
      <c r="J8" s="66"/>
      <c r="K8" s="66"/>
      <c r="L8" s="66"/>
      <c r="M8" s="66"/>
      <c r="N8" s="66"/>
      <c r="O8" s="66"/>
      <c r="P8" s="66"/>
      <c r="Q8" s="66"/>
      <c r="R8" s="70"/>
      <c r="S8" s="29"/>
      <c r="T8" s="70"/>
      <c r="U8" s="70"/>
      <c r="V8" s="5"/>
    </row>
    <row r="9" spans="1:22">
      <c r="A9" s="66">
        <v>1</v>
      </c>
      <c r="B9" s="36" t="s">
        <v>20</v>
      </c>
      <c r="C9" s="66" t="s">
        <v>21</v>
      </c>
      <c r="D9" s="115">
        <f>$F9*D$5</f>
        <v>49326.451612903227</v>
      </c>
      <c r="E9" s="115">
        <f>$F9*E$5</f>
        <v>103585.54838709677</v>
      </c>
      <c r="F9" s="150">
        <v>152912</v>
      </c>
      <c r="G9" s="150">
        <v>153882</v>
      </c>
      <c r="H9" s="150">
        <v>153511</v>
      </c>
      <c r="I9" s="150">
        <v>153360</v>
      </c>
      <c r="J9" s="150">
        <v>153389</v>
      </c>
      <c r="K9" s="150">
        <v>153224</v>
      </c>
      <c r="L9" s="150">
        <v>153459</v>
      </c>
      <c r="M9" s="150">
        <v>153740</v>
      </c>
      <c r="N9" s="150">
        <v>154156</v>
      </c>
      <c r="O9" s="150">
        <v>154684</v>
      </c>
      <c r="P9" s="150">
        <v>155353</v>
      </c>
      <c r="Q9" s="150">
        <v>155792</v>
      </c>
      <c r="R9" s="69">
        <f>SUM(F9:H9)</f>
        <v>460305</v>
      </c>
      <c r="S9" s="69">
        <f>SUM(I9:K9)</f>
        <v>459973</v>
      </c>
      <c r="T9" s="69">
        <f>SUM(L9:N9)</f>
        <v>461355</v>
      </c>
      <c r="U9" s="69">
        <f>SUM(O9:Q9)</f>
        <v>465829</v>
      </c>
      <c r="V9" s="69">
        <f>SUM(F9:Q9)</f>
        <v>1847462</v>
      </c>
    </row>
    <row r="10" spans="1:22" s="75" customFormat="1" ht="27">
      <c r="A10" s="151">
        <f>A9+1</f>
        <v>2</v>
      </c>
      <c r="B10" s="116" t="s">
        <v>22</v>
      </c>
      <c r="C10" s="121" t="s">
        <v>110</v>
      </c>
      <c r="D10" s="152">
        <v>48.137706084246098</v>
      </c>
      <c r="E10" s="152">
        <v>61.486922879017001</v>
      </c>
      <c r="F10" s="152">
        <f>$D$10*$D$5+$E$10*$E$5</f>
        <v>57.180723912961867</v>
      </c>
      <c r="G10" s="152">
        <v>50.866570431256761</v>
      </c>
      <c r="H10" s="152">
        <v>41.030399057560587</v>
      </c>
      <c r="I10" s="152">
        <v>22.870205136351437</v>
      </c>
      <c r="J10" s="152">
        <v>14.23092748790198</v>
      </c>
      <c r="K10" s="152">
        <v>8.7158034693822444</v>
      </c>
      <c r="L10" s="152">
        <v>6.0908076255147918</v>
      </c>
      <c r="M10" s="152">
        <v>5.9532658136335108</v>
      </c>
      <c r="N10" s="152">
        <v>7.9296716744335587</v>
      </c>
      <c r="O10" s="152">
        <v>25.196066218038329</v>
      </c>
      <c r="P10" s="152">
        <v>43.401260450086617</v>
      </c>
      <c r="Q10" s="152">
        <v>63.188099756823149</v>
      </c>
      <c r="R10" s="156">
        <f>R11/R9</f>
        <v>49.68376627628782</v>
      </c>
      <c r="S10" s="156">
        <f>S11/S9</f>
        <v>15.274184934648941</v>
      </c>
      <c r="T10" s="156">
        <f>T11/T9</f>
        <v>6.6594071815323783</v>
      </c>
      <c r="U10" s="156">
        <f>U11/U9</f>
        <v>43.973528395373286</v>
      </c>
      <c r="V10" s="156">
        <f>V11/V9</f>
        <v>28.932608227869451</v>
      </c>
    </row>
    <row r="11" spans="1:22">
      <c r="A11" s="66">
        <f>A10+1</f>
        <v>3</v>
      </c>
      <c r="B11" s="36" t="s">
        <v>23</v>
      </c>
      <c r="C11" s="66" t="str">
        <f>"("&amp;A9&amp;") x ("&amp;A10&amp;")"</f>
        <v>(1) x (2)</v>
      </c>
      <c r="D11" s="70">
        <f t="shared" ref="D11:Q11" si="1">D9*D10</f>
        <v>2374462.2299207225</v>
      </c>
      <c r="E11" s="70">
        <f t="shared" si="1"/>
        <v>6369156.6250581034</v>
      </c>
      <c r="F11" s="70">
        <f t="shared" si="1"/>
        <v>8743618.854978824</v>
      </c>
      <c r="G11" s="70">
        <f t="shared" si="1"/>
        <v>7827449.5911026532</v>
      </c>
      <c r="H11" s="70">
        <f t="shared" si="1"/>
        <v>6298617.5897251833</v>
      </c>
      <c r="I11" s="70">
        <f t="shared" si="1"/>
        <v>3507374.6597108566</v>
      </c>
      <c r="J11" s="70">
        <f t="shared" si="1"/>
        <v>2182867.7364417966</v>
      </c>
      <c r="K11" s="70">
        <f t="shared" si="1"/>
        <v>1335470.2707926249</v>
      </c>
      <c r="L11" s="70">
        <f t="shared" si="1"/>
        <v>934689.24740387441</v>
      </c>
      <c r="M11" s="70">
        <f t="shared" si="1"/>
        <v>915255.08618801599</v>
      </c>
      <c r="N11" s="70">
        <f t="shared" si="1"/>
        <v>1222406.4666439798</v>
      </c>
      <c r="O11" s="70">
        <f t="shared" si="1"/>
        <v>3897428.3068710407</v>
      </c>
      <c r="P11" s="70">
        <f t="shared" si="1"/>
        <v>6742516.0147023061</v>
      </c>
      <c r="Q11" s="70">
        <f t="shared" si="1"/>
        <v>9844200.4373149928</v>
      </c>
      <c r="R11" s="70">
        <f>SUM(F11:H11)</f>
        <v>22869686.035806663</v>
      </c>
      <c r="S11" s="70">
        <f>SUM(I11:K11)</f>
        <v>7025712.6669452777</v>
      </c>
      <c r="T11" s="70">
        <f>SUM(L11:N11)</f>
        <v>3072350.8002358703</v>
      </c>
      <c r="U11" s="70">
        <f>SUM(O11:Q11)</f>
        <v>20484144.758888341</v>
      </c>
      <c r="V11" s="70">
        <f>SUM(F11:Q11)</f>
        <v>53451894.261876151</v>
      </c>
    </row>
    <row r="12" spans="1:22">
      <c r="A12" s="66"/>
      <c r="B12" s="36"/>
      <c r="C12" s="66"/>
      <c r="D12" s="70"/>
      <c r="E12" s="70"/>
      <c r="F12" s="70"/>
      <c r="G12" s="70"/>
      <c r="H12" s="70"/>
      <c r="I12" s="70"/>
      <c r="J12" s="70"/>
      <c r="K12" s="70"/>
      <c r="L12" s="70"/>
      <c r="M12" s="70"/>
      <c r="N12" s="70"/>
      <c r="O12" s="70"/>
      <c r="P12" s="70"/>
      <c r="Q12" s="70"/>
      <c r="R12" s="67"/>
      <c r="S12" s="67"/>
      <c r="T12" s="67"/>
      <c r="U12" s="67"/>
      <c r="V12" s="67"/>
    </row>
    <row r="13" spans="1:22">
      <c r="A13" s="66"/>
      <c r="B13" s="36" t="s">
        <v>111</v>
      </c>
      <c r="C13" s="66" t="s">
        <v>21</v>
      </c>
      <c r="D13" s="119">
        <f t="shared" ref="D13:E15" si="2">$F13*D$5</f>
        <v>6502858.7096774196</v>
      </c>
      <c r="E13" s="119">
        <f t="shared" si="2"/>
        <v>13656003.290322579</v>
      </c>
      <c r="F13" s="150">
        <v>20158862</v>
      </c>
      <c r="G13" s="150">
        <v>14311636</v>
      </c>
      <c r="H13" s="150">
        <v>12256797</v>
      </c>
      <c r="I13" s="150">
        <v>5360973</v>
      </c>
      <c r="J13" s="150">
        <v>3390462</v>
      </c>
      <c r="K13" s="150">
        <v>2769530</v>
      </c>
      <c r="L13" s="150">
        <v>2296193</v>
      </c>
      <c r="M13" s="150">
        <v>2357534</v>
      </c>
      <c r="N13" s="150">
        <v>3002763</v>
      </c>
      <c r="O13" s="150">
        <v>7275160</v>
      </c>
      <c r="P13" s="150">
        <v>11371977.854</v>
      </c>
      <c r="Q13" s="150">
        <v>24244299</v>
      </c>
      <c r="R13" s="67"/>
      <c r="S13" s="67"/>
      <c r="T13" s="67"/>
      <c r="U13" s="67"/>
      <c r="V13" s="67"/>
    </row>
    <row r="14" spans="1:22" ht="27">
      <c r="A14" s="66">
        <v>4</v>
      </c>
      <c r="B14" s="153" t="s">
        <v>112</v>
      </c>
      <c r="C14" s="66" t="s">
        <v>21</v>
      </c>
      <c r="D14" s="70">
        <f t="shared" si="2"/>
        <v>3329859.0213516126</v>
      </c>
      <c r="E14" s="70">
        <f t="shared" si="2"/>
        <v>6992703.944838386</v>
      </c>
      <c r="F14" s="154">
        <v>10322562.966189999</v>
      </c>
      <c r="G14" s="154">
        <v>7563311.6368199997</v>
      </c>
      <c r="H14" s="154">
        <v>6495024.7852400001</v>
      </c>
      <c r="I14" s="154">
        <v>3429417.5249099997</v>
      </c>
      <c r="J14" s="154">
        <v>2661585.5977799995</v>
      </c>
      <c r="K14" s="154">
        <v>2472638.1836200003</v>
      </c>
      <c r="L14" s="154">
        <v>2330789.9289899999</v>
      </c>
      <c r="M14" s="154">
        <v>2442105.8187199999</v>
      </c>
      <c r="N14" s="154">
        <v>2634492.3074999996</v>
      </c>
      <c r="O14" s="154">
        <v>4372688.1463000001</v>
      </c>
      <c r="P14" s="154">
        <v>6355325.3420700002</v>
      </c>
      <c r="Q14" s="154">
        <v>11925970.28899</v>
      </c>
      <c r="R14" s="38"/>
      <c r="S14" s="38"/>
      <c r="T14" s="38"/>
      <c r="U14" s="38"/>
      <c r="V14" s="38"/>
    </row>
    <row r="15" spans="1:22">
      <c r="A15" s="66">
        <v>5</v>
      </c>
      <c r="B15" s="36" t="s">
        <v>24</v>
      </c>
      <c r="C15" s="66" t="s">
        <v>21</v>
      </c>
      <c r="D15" s="70">
        <f t="shared" si="2"/>
        <v>449250.96774193546</v>
      </c>
      <c r="E15" s="70">
        <f t="shared" si="2"/>
        <v>943427.03225806449</v>
      </c>
      <c r="F15" s="154">
        <v>1392678</v>
      </c>
      <c r="G15" s="154">
        <v>1402065</v>
      </c>
      <c r="H15" s="154">
        <v>1398500</v>
      </c>
      <c r="I15" s="154">
        <v>1402389</v>
      </c>
      <c r="J15" s="154">
        <v>1406025</v>
      </c>
      <c r="K15" s="154">
        <v>1409895</v>
      </c>
      <c r="L15" s="154">
        <v>1407339</v>
      </c>
      <c r="M15" s="154">
        <v>1413126</v>
      </c>
      <c r="N15" s="154">
        <v>1411704</v>
      </c>
      <c r="O15" s="154">
        <v>1414452.86</v>
      </c>
      <c r="P15" s="154">
        <v>1417987.5</v>
      </c>
      <c r="Q15" s="154">
        <v>1420220.72</v>
      </c>
      <c r="R15" s="38"/>
      <c r="S15" s="38"/>
      <c r="T15" s="38"/>
      <c r="U15" s="38"/>
      <c r="V15" s="38"/>
    </row>
    <row r="16" spans="1:22">
      <c r="A16" s="66">
        <v>6</v>
      </c>
      <c r="B16" s="36" t="s">
        <v>25</v>
      </c>
      <c r="C16" s="66" t="str">
        <f>"("&amp;A14&amp;") - ("&amp;A15&amp;")"</f>
        <v>(4) - (5)</v>
      </c>
      <c r="D16" s="70">
        <f>D14-D15</f>
        <v>2880608.0536096771</v>
      </c>
      <c r="E16" s="70">
        <f>E14-E15</f>
        <v>6049276.9125803215</v>
      </c>
      <c r="F16" s="70">
        <f>F14-F15</f>
        <v>8929884.9661899991</v>
      </c>
      <c r="G16" s="70">
        <f t="shared" ref="G16:Q16" si="3">G14-G15</f>
        <v>6161246.6368199997</v>
      </c>
      <c r="H16" s="70">
        <f t="shared" si="3"/>
        <v>5096524.7852400001</v>
      </c>
      <c r="I16" s="70">
        <f t="shared" si="3"/>
        <v>2027028.5249099997</v>
      </c>
      <c r="J16" s="70">
        <f t="shared" si="3"/>
        <v>1255560.5977799995</v>
      </c>
      <c r="K16" s="70">
        <f t="shared" si="3"/>
        <v>1062743.1836200003</v>
      </c>
      <c r="L16" s="70">
        <f t="shared" si="3"/>
        <v>923450.92898999993</v>
      </c>
      <c r="M16" s="70">
        <f t="shared" si="3"/>
        <v>1028979.8187199999</v>
      </c>
      <c r="N16" s="70">
        <f t="shared" si="3"/>
        <v>1222788.3074999996</v>
      </c>
      <c r="O16" s="70">
        <f t="shared" si="3"/>
        <v>2958235.2862999998</v>
      </c>
      <c r="P16" s="70">
        <f t="shared" si="3"/>
        <v>4937337.8420700002</v>
      </c>
      <c r="Q16" s="70">
        <f t="shared" si="3"/>
        <v>10505749.56899</v>
      </c>
      <c r="R16" s="70">
        <f>SUM(F16:H16)</f>
        <v>20187656.388250001</v>
      </c>
      <c r="S16" s="70">
        <f>SUM(I16:K16)</f>
        <v>4345332.3063099999</v>
      </c>
      <c r="T16" s="70">
        <f>SUM(L16:N16)</f>
        <v>3175219.0552099994</v>
      </c>
      <c r="U16" s="70">
        <f>SUM(O16:Q16)</f>
        <v>18401322.697360002</v>
      </c>
      <c r="V16" s="70">
        <f>SUM(F16:Q16)</f>
        <v>46109530.447129995</v>
      </c>
    </row>
    <row r="17" spans="1:22">
      <c r="A17" s="66"/>
      <c r="B17" s="7" t="s">
        <v>26</v>
      </c>
      <c r="C17" s="66"/>
      <c r="D17" s="11">
        <f>D16/D9</f>
        <v>58.398850098030231</v>
      </c>
      <c r="E17" s="11">
        <f>E16/E9</f>
        <v>58.398850098030231</v>
      </c>
      <c r="F17" s="11">
        <f>F16/F9</f>
        <v>58.398850098030231</v>
      </c>
      <c r="G17" s="11">
        <f t="shared" ref="G17:Q17" si="4">G16/G9</f>
        <v>40.038774104963544</v>
      </c>
      <c r="H17" s="11">
        <f t="shared" si="4"/>
        <v>33.199736730527455</v>
      </c>
      <c r="I17" s="11">
        <f t="shared" si="4"/>
        <v>13.217452562010953</v>
      </c>
      <c r="J17" s="11">
        <f t="shared" si="4"/>
        <v>8.1854670007627632</v>
      </c>
      <c r="K17" s="11">
        <f t="shared" si="4"/>
        <v>6.935879389782281</v>
      </c>
      <c r="L17" s="11">
        <f t="shared" si="4"/>
        <v>6.0175742640705332</v>
      </c>
      <c r="M17" s="11">
        <f t="shared" si="4"/>
        <v>6.692986982698061</v>
      </c>
      <c r="N17" s="11">
        <f t="shared" si="4"/>
        <v>7.9321486513661466</v>
      </c>
      <c r="O17" s="11">
        <f t="shared" si="4"/>
        <v>19.124377998370871</v>
      </c>
      <c r="P17" s="11">
        <f t="shared" si="4"/>
        <v>31.781412924565345</v>
      </c>
      <c r="Q17" s="11">
        <f t="shared" si="4"/>
        <v>67.434461134012011</v>
      </c>
      <c r="R17" s="156">
        <f>R16/R9</f>
        <v>43.857130355416515</v>
      </c>
      <c r="S17" s="156">
        <f>S16/S9</f>
        <v>9.4469290725977384</v>
      </c>
      <c r="T17" s="156">
        <f>T16/T9</f>
        <v>6.8823770311582173</v>
      </c>
      <c r="U17" s="156">
        <f>U16/U9</f>
        <v>39.50231243087056</v>
      </c>
      <c r="V17" s="156">
        <f>V16/V9</f>
        <v>24.958310615931474</v>
      </c>
    </row>
    <row r="18" spans="1:22">
      <c r="A18" s="66">
        <v>7</v>
      </c>
      <c r="B18" s="36" t="s">
        <v>27</v>
      </c>
      <c r="C18" s="66" t="str">
        <f>"("&amp;A$11&amp;") - ("&amp;A16&amp;")"</f>
        <v>(3) - (6)</v>
      </c>
      <c r="D18" s="155">
        <f>D11-D16</f>
        <v>-506145.82368895458</v>
      </c>
      <c r="E18" s="155">
        <f t="shared" ref="E18:Q18" si="5">E11-E16</f>
        <v>319879.71247778181</v>
      </c>
      <c r="F18" s="155">
        <f t="shared" si="5"/>
        <v>-186266.1112111751</v>
      </c>
      <c r="G18" s="155">
        <f t="shared" si="5"/>
        <v>1666202.9542826535</v>
      </c>
      <c r="H18" s="155">
        <f t="shared" si="5"/>
        <v>1202092.8044851832</v>
      </c>
      <c r="I18" s="155">
        <f t="shared" si="5"/>
        <v>1480346.1348008569</v>
      </c>
      <c r="J18" s="155">
        <f t="shared" si="5"/>
        <v>927307.13866179716</v>
      </c>
      <c r="K18" s="155">
        <f t="shared" si="5"/>
        <v>272727.08717262466</v>
      </c>
      <c r="L18" s="155">
        <f t="shared" si="5"/>
        <v>11238.318413874484</v>
      </c>
      <c r="M18" s="155">
        <f t="shared" si="5"/>
        <v>-113724.73253198387</v>
      </c>
      <c r="N18" s="155">
        <f t="shared" si="5"/>
        <v>-381.84085601987317</v>
      </c>
      <c r="O18" s="155">
        <f>O11-O16</f>
        <v>939193.02057104092</v>
      </c>
      <c r="P18" s="155">
        <f t="shared" si="5"/>
        <v>1805178.1726323059</v>
      </c>
      <c r="Q18" s="155">
        <f t="shared" si="5"/>
        <v>-661549.13167500682</v>
      </c>
      <c r="R18" s="70">
        <f>SUM(F18:H18)</f>
        <v>2682029.6475566616</v>
      </c>
      <c r="S18" s="70">
        <f>SUM(I18:K18)</f>
        <v>2680380.3606352787</v>
      </c>
      <c r="T18" s="70">
        <f>SUM(L18:N18)</f>
        <v>-102868.25497412926</v>
      </c>
      <c r="U18" s="70">
        <f>SUM(O18:Q18)</f>
        <v>2082822.06152834</v>
      </c>
      <c r="V18" s="70">
        <f>SUM(F18:Q18)</f>
        <v>7342363.8147461507</v>
      </c>
    </row>
    <row r="19" spans="1:22">
      <c r="A19" s="66">
        <v>8</v>
      </c>
      <c r="B19" s="36" t="s">
        <v>28</v>
      </c>
      <c r="C19" s="66" t="s">
        <v>29</v>
      </c>
      <c r="D19" s="155">
        <f>D18*-0.044797</f>
        <v>22673.814463794097</v>
      </c>
      <c r="E19" s="155">
        <f>E18*-0.045668</f>
        <v>-14608.26670943534</v>
      </c>
      <c r="F19" s="124">
        <f>D19+E19</f>
        <v>8065.5477543587567</v>
      </c>
      <c r="G19" s="124">
        <f>G18*-0.045668</f>
        <v>-76092.156516180228</v>
      </c>
      <c r="H19" s="124">
        <f t="shared" ref="H19:Q19" si="6">H18*-0.045668</f>
        <v>-54897.174195229345</v>
      </c>
      <c r="I19" s="124">
        <f t="shared" si="6"/>
        <v>-67604.447284085531</v>
      </c>
      <c r="J19" s="124">
        <f t="shared" si="6"/>
        <v>-42348.262408406954</v>
      </c>
      <c r="K19" s="124">
        <f t="shared" si="6"/>
        <v>-12454.900616999423</v>
      </c>
      <c r="L19" s="124">
        <f t="shared" si="6"/>
        <v>-513.23152532481993</v>
      </c>
      <c r="M19" s="124">
        <f t="shared" si="6"/>
        <v>5193.5810852706391</v>
      </c>
      <c r="N19" s="124">
        <f t="shared" si="6"/>
        <v>17.43790821271557</v>
      </c>
      <c r="O19" s="124">
        <f t="shared" si="6"/>
        <v>-42891.066863438296</v>
      </c>
      <c r="P19" s="124">
        <f t="shared" si="6"/>
        <v>-82438.87678777214</v>
      </c>
      <c r="Q19" s="124">
        <f t="shared" si="6"/>
        <v>30211.625745334211</v>
      </c>
      <c r="R19" s="70">
        <f>SUM(F19:H19)</f>
        <v>-122923.7829570508</v>
      </c>
      <c r="S19" s="70">
        <f>SUM(I19:K19)</f>
        <v>-122407.61030949191</v>
      </c>
      <c r="T19" s="70">
        <f>SUM(L19:N19)</f>
        <v>4697.7874681585345</v>
      </c>
      <c r="U19" s="70">
        <f>SUM(O19:Q19)</f>
        <v>-95118.317905876218</v>
      </c>
      <c r="V19" s="70">
        <f>SUM(F19:Q19)</f>
        <v>-335751.92370426038</v>
      </c>
    </row>
    <row r="20" spans="1:22" ht="14.4" customHeight="1">
      <c r="A20" s="66"/>
      <c r="B20" s="36"/>
      <c r="C20" s="8" t="s">
        <v>30</v>
      </c>
      <c r="D20" s="8"/>
      <c r="E20" s="8"/>
      <c r="F20" s="125">
        <v>3.2500000000000001E-2</v>
      </c>
      <c r="G20" s="125">
        <f t="shared" ref="G20:K20" si="7">F20</f>
        <v>3.2500000000000001E-2</v>
      </c>
      <c r="H20" s="125">
        <f>G20</f>
        <v>3.2500000000000001E-2</v>
      </c>
      <c r="I20" s="125">
        <v>3.4599999999999999E-2</v>
      </c>
      <c r="J20" s="125">
        <f t="shared" si="7"/>
        <v>3.4599999999999999E-2</v>
      </c>
      <c r="K20" s="125">
        <f t="shared" si="7"/>
        <v>3.4599999999999999E-2</v>
      </c>
      <c r="L20" s="125">
        <v>3.5000000000000003E-2</v>
      </c>
      <c r="M20" s="125">
        <f t="shared" ref="M20" si="8">L20</f>
        <v>3.5000000000000003E-2</v>
      </c>
      <c r="N20" s="125">
        <f t="shared" ref="N20" si="9">M20</f>
        <v>3.5000000000000003E-2</v>
      </c>
      <c r="O20" s="125">
        <f t="shared" ref="O20" si="10">N20</f>
        <v>3.5000000000000003E-2</v>
      </c>
      <c r="P20" s="125">
        <f t="shared" ref="P20" si="11">O20</f>
        <v>3.5000000000000003E-2</v>
      </c>
      <c r="Q20" s="125">
        <f t="shared" ref="Q20" si="12">P20</f>
        <v>3.5000000000000003E-2</v>
      </c>
      <c r="R20" s="76"/>
      <c r="S20" s="76"/>
      <c r="T20" s="76"/>
      <c r="U20" s="76"/>
      <c r="V20" s="76"/>
    </row>
    <row r="21" spans="1:22">
      <c r="A21" s="66">
        <v>9</v>
      </c>
      <c r="B21" s="36" t="s">
        <v>31</v>
      </c>
      <c r="C21" s="8" t="s">
        <v>35</v>
      </c>
      <c r="D21" s="8"/>
      <c r="E21" s="8"/>
      <c r="F21" s="9">
        <f>(F18+F19)/2*F20/12</f>
        <v>-241.3132630144388</v>
      </c>
      <c r="G21" s="9">
        <f>(F23+(G18+G19)/2)*G20/12</f>
        <v>1669.9949558592243</v>
      </c>
      <c r="H21" s="9">
        <f t="shared" ref="H21:Q21" si="13">(G23+(H18+H19)/2)*H20/12</f>
        <v>5381.2869801910883</v>
      </c>
      <c r="I21" s="9">
        <f t="shared" si="13"/>
        <v>9435.0932521061422</v>
      </c>
      <c r="J21" s="9">
        <f t="shared" si="13"/>
        <v>12774.816083751699</v>
      </c>
      <c r="K21" s="9">
        <f t="shared" si="13"/>
        <v>14462.691585676179</v>
      </c>
      <c r="L21" s="9">
        <f t="shared" si="13"/>
        <v>15067.277539895704</v>
      </c>
      <c r="M21" s="9">
        <f t="shared" si="13"/>
        <v>14968.58992190641</v>
      </c>
      <c r="N21" s="9">
        <f t="shared" si="13"/>
        <v>14853.442292353293</v>
      </c>
      <c r="O21" s="9">
        <f t="shared" si="13"/>
        <v>16203.340427230694</v>
      </c>
      <c r="P21" s="9">
        <f t="shared" si="13"/>
        <v>20070.035325740319</v>
      </c>
      <c r="Q21" s="9">
        <f t="shared" si="13"/>
        <v>21720.200539066234</v>
      </c>
      <c r="R21" s="70">
        <f>SUM(F21:H21)</f>
        <v>6809.9686730358735</v>
      </c>
      <c r="S21" s="70">
        <f>SUM(I21:K21)</f>
        <v>36672.600921534016</v>
      </c>
      <c r="T21" s="70">
        <f>SUM(L21:N21)</f>
        <v>44889.309754155409</v>
      </c>
      <c r="U21" s="70">
        <f>SUM(O21:Q21)</f>
        <v>57993.576292037251</v>
      </c>
      <c r="V21" s="9">
        <f>SUM(F21:Q21)</f>
        <v>146365.45564076255</v>
      </c>
    </row>
    <row r="22" spans="1:22" ht="15" thickBot="1">
      <c r="A22" s="66"/>
      <c r="B22" s="10" t="s">
        <v>32</v>
      </c>
      <c r="C22" s="66"/>
      <c r="D22" s="66"/>
      <c r="E22" s="66"/>
      <c r="F22" s="12">
        <f>F18+F19+F21</f>
        <v>-178441.87671983076</v>
      </c>
      <c r="G22" s="12">
        <f t="shared" ref="G22:Q22" si="14">G18+G19+G21</f>
        <v>1591780.7927223325</v>
      </c>
      <c r="H22" s="12">
        <f t="shared" si="14"/>
        <v>1152576.9172701449</v>
      </c>
      <c r="I22" s="12">
        <f t="shared" si="14"/>
        <v>1422176.7807688776</v>
      </c>
      <c r="J22" s="12">
        <f t="shared" si="14"/>
        <v>897733.69233714195</v>
      </c>
      <c r="K22" s="12">
        <f t="shared" si="14"/>
        <v>274734.87814130139</v>
      </c>
      <c r="L22" s="12">
        <f t="shared" si="14"/>
        <v>25792.364428445369</v>
      </c>
      <c r="M22" s="12">
        <f t="shared" si="14"/>
        <v>-93562.561524806821</v>
      </c>
      <c r="N22" s="12">
        <f t="shared" si="14"/>
        <v>14489.039344546136</v>
      </c>
      <c r="O22" s="12">
        <f t="shared" si="14"/>
        <v>912505.29413483327</v>
      </c>
      <c r="P22" s="12">
        <f t="shared" si="14"/>
        <v>1742809.3311702739</v>
      </c>
      <c r="Q22" s="12">
        <f t="shared" si="14"/>
        <v>-609617.3053906064</v>
      </c>
      <c r="R22" s="72">
        <f>R18+R19+R21</f>
        <v>2565915.8332726466</v>
      </c>
      <c r="S22" s="72">
        <f>S18+S19+S21</f>
        <v>2594645.3512473209</v>
      </c>
      <c r="T22" s="72">
        <f>T18+T19+T21</f>
        <v>-53281.157751815314</v>
      </c>
      <c r="U22" s="72">
        <f>U18+U19+U21</f>
        <v>2045697.3199145009</v>
      </c>
      <c r="V22" s="72">
        <f>V18+V19+V21</f>
        <v>7152977.3466826528</v>
      </c>
    </row>
    <row r="23" spans="1:22" ht="39.6" customHeight="1" thickBot="1">
      <c r="A23" s="66">
        <v>10</v>
      </c>
      <c r="B23" s="145" t="s">
        <v>113</v>
      </c>
      <c r="C23" s="66" t="str">
        <f>"Σ(("&amp;A$18&amp;") ~ ("&amp;A21&amp;"))"</f>
        <v>Σ((7) ~ (9))</v>
      </c>
      <c r="D23" s="66"/>
      <c r="E23" s="66"/>
      <c r="F23" s="70">
        <f>F18+F19+F21</f>
        <v>-178441.87671983076</v>
      </c>
      <c r="G23" s="70">
        <f>F23+G18+G19+G21</f>
        <v>1413338.9160025017</v>
      </c>
      <c r="H23" s="70">
        <f t="shared" ref="H23:P23" si="15">G23+H18+H19+H21</f>
        <v>2565915.8332726466</v>
      </c>
      <c r="I23" s="70">
        <f t="shared" si="15"/>
        <v>3988092.614041524</v>
      </c>
      <c r="J23" s="70">
        <f t="shared" si="15"/>
        <v>4885826.3063786654</v>
      </c>
      <c r="K23" s="70">
        <f t="shared" si="15"/>
        <v>5160561.1845199661</v>
      </c>
      <c r="L23" s="70">
        <f t="shared" si="15"/>
        <v>5186353.5489484109</v>
      </c>
      <c r="M23" s="70">
        <f t="shared" si="15"/>
        <v>5092790.9874236044</v>
      </c>
      <c r="N23" s="70">
        <f t="shared" si="15"/>
        <v>5107280.0267681507</v>
      </c>
      <c r="O23" s="70">
        <f t="shared" si="15"/>
        <v>6019785.3209029846</v>
      </c>
      <c r="P23" s="70">
        <f t="shared" si="15"/>
        <v>7762594.6520732585</v>
      </c>
      <c r="Q23" s="126">
        <f>P23+Q18+Q19+Q21</f>
        <v>7152977.3466826528</v>
      </c>
      <c r="R23" s="70"/>
      <c r="S23" s="29"/>
      <c r="T23" s="70"/>
      <c r="U23" s="70"/>
      <c r="V23" s="1"/>
    </row>
    <row r="24" spans="1:22">
      <c r="A24" s="66"/>
      <c r="B24" s="36"/>
      <c r="C24" s="66"/>
      <c r="D24" s="66"/>
      <c r="E24" s="66"/>
      <c r="F24" s="67"/>
      <c r="G24" s="67"/>
      <c r="H24" s="67"/>
      <c r="I24" s="67"/>
      <c r="J24" s="67"/>
      <c r="K24" s="67"/>
      <c r="L24" s="67"/>
      <c r="M24" s="67"/>
      <c r="N24" s="67"/>
      <c r="O24" s="67"/>
      <c r="P24" s="67"/>
      <c r="Q24" s="67"/>
      <c r="R24" s="70"/>
      <c r="S24" s="29"/>
      <c r="T24" s="70"/>
      <c r="U24" s="70"/>
      <c r="V24" s="1"/>
    </row>
    <row r="25" spans="1:22">
      <c r="A25" s="66"/>
      <c r="B25" s="2" t="s">
        <v>33</v>
      </c>
      <c r="C25" s="66"/>
      <c r="D25" s="66"/>
      <c r="E25" s="66"/>
      <c r="F25" s="66"/>
      <c r="G25" s="66"/>
      <c r="H25" s="66"/>
      <c r="I25" s="66"/>
      <c r="J25" s="66"/>
      <c r="K25" s="66"/>
      <c r="L25" s="66"/>
      <c r="M25" s="66"/>
      <c r="N25" s="66"/>
      <c r="O25" s="66"/>
      <c r="P25" s="66"/>
      <c r="Q25" s="66"/>
      <c r="R25" s="70"/>
      <c r="S25" s="37"/>
      <c r="T25" s="70"/>
      <c r="U25" s="70"/>
      <c r="V25" s="5"/>
    </row>
    <row r="26" spans="1:22">
      <c r="A26" s="66">
        <v>11</v>
      </c>
      <c r="B26" s="36" t="s">
        <v>20</v>
      </c>
      <c r="C26" s="66" t="s">
        <v>21</v>
      </c>
      <c r="D26" s="115">
        <f>$F26*D$5</f>
        <v>859.35483870967744</v>
      </c>
      <c r="E26" s="115">
        <f>$F26*E$5</f>
        <v>1804.6451612903224</v>
      </c>
      <c r="F26" s="150">
        <v>2664</v>
      </c>
      <c r="G26" s="150">
        <v>2705</v>
      </c>
      <c r="H26" s="150">
        <v>2708</v>
      </c>
      <c r="I26" s="150">
        <v>2797</v>
      </c>
      <c r="J26" s="150">
        <v>2769</v>
      </c>
      <c r="K26" s="150">
        <v>2793</v>
      </c>
      <c r="L26" s="150">
        <v>2794</v>
      </c>
      <c r="M26" s="150">
        <v>2775</v>
      </c>
      <c r="N26" s="150">
        <v>2794</v>
      </c>
      <c r="O26" s="150">
        <v>2798</v>
      </c>
      <c r="P26" s="150">
        <v>2812</v>
      </c>
      <c r="Q26" s="150">
        <v>2833</v>
      </c>
      <c r="R26" s="69">
        <f>SUM(F26:H26)</f>
        <v>8077</v>
      </c>
      <c r="S26" s="69">
        <f>SUM(I26:K26)</f>
        <v>8359</v>
      </c>
      <c r="T26" s="69">
        <f>SUM(L26:N26)</f>
        <v>8363</v>
      </c>
      <c r="U26" s="69">
        <f>SUM(O26:Q26)</f>
        <v>8443</v>
      </c>
      <c r="V26" s="69">
        <f>SUM(F26:Q26)</f>
        <v>33242</v>
      </c>
    </row>
    <row r="27" spans="1:22" s="75" customFormat="1" ht="27">
      <c r="A27" s="151">
        <v>12</v>
      </c>
      <c r="B27" s="116" t="s">
        <v>22</v>
      </c>
      <c r="C27" s="121" t="s">
        <v>110</v>
      </c>
      <c r="D27" s="152">
        <v>642.23525919067015</v>
      </c>
      <c r="E27" s="152">
        <v>753.64912048196356</v>
      </c>
      <c r="F27" s="152">
        <f>$D$27*$D$5+$E$27*$E$5</f>
        <v>717.70916522670757</v>
      </c>
      <c r="G27" s="152">
        <v>633.97166971988349</v>
      </c>
      <c r="H27" s="152">
        <v>560.24514123304027</v>
      </c>
      <c r="I27" s="152">
        <v>374.05059994815878</v>
      </c>
      <c r="J27" s="152">
        <v>292.93939800419764</v>
      </c>
      <c r="K27" s="152">
        <v>222.77670672231574</v>
      </c>
      <c r="L27" s="152">
        <v>168.5764467696693</v>
      </c>
      <c r="M27" s="152">
        <v>165.54758518193424</v>
      </c>
      <c r="N27" s="152">
        <v>202.0360835406639</v>
      </c>
      <c r="O27" s="152">
        <v>414.48355558896066</v>
      </c>
      <c r="P27" s="152">
        <v>584.57214026046665</v>
      </c>
      <c r="Q27" s="152">
        <v>759.99155254874597</v>
      </c>
      <c r="R27" s="156">
        <f>R28/R26</f>
        <v>636.87191100845689</v>
      </c>
      <c r="S27" s="156">
        <f>S28/S26</f>
        <v>296.63644730279356</v>
      </c>
      <c r="T27" s="156">
        <f>T28/T26</f>
        <v>178.74996515209119</v>
      </c>
      <c r="U27" s="156">
        <f>U28/U26</f>
        <v>587.0659617814689</v>
      </c>
      <c r="V27" s="156">
        <f>V28/V26</f>
        <v>423.41262144597914</v>
      </c>
    </row>
    <row r="28" spans="1:22">
      <c r="A28" s="66">
        <v>13</v>
      </c>
      <c r="B28" s="36" t="s">
        <v>23</v>
      </c>
      <c r="C28" s="66" t="str">
        <f>"("&amp;A26&amp;") x ("&amp;A27&amp;")"</f>
        <v>(11) x (12)</v>
      </c>
      <c r="D28" s="70">
        <f t="shared" ref="D28:Q28" si="16">D26*D27</f>
        <v>551907.97757546627</v>
      </c>
      <c r="E28" s="70">
        <f t="shared" si="16"/>
        <v>1360069.2385884828</v>
      </c>
      <c r="F28" s="70">
        <f t="shared" si="16"/>
        <v>1911977.2161639489</v>
      </c>
      <c r="G28" s="70">
        <f t="shared" si="16"/>
        <v>1714893.3665922848</v>
      </c>
      <c r="H28" s="70">
        <f t="shared" si="16"/>
        <v>1517143.8424590731</v>
      </c>
      <c r="I28" s="70">
        <f t="shared" si="16"/>
        <v>1046219.5280550001</v>
      </c>
      <c r="J28" s="70">
        <f t="shared" si="16"/>
        <v>811149.19307362323</v>
      </c>
      <c r="K28" s="70">
        <f t="shared" si="16"/>
        <v>622215.34187542787</v>
      </c>
      <c r="L28" s="70">
        <f t="shared" si="16"/>
        <v>471002.59227445605</v>
      </c>
      <c r="M28" s="70">
        <f t="shared" si="16"/>
        <v>459394.54887986754</v>
      </c>
      <c r="N28" s="70">
        <f t="shared" si="16"/>
        <v>564488.81741261494</v>
      </c>
      <c r="O28" s="70">
        <f t="shared" si="16"/>
        <v>1159724.988537912</v>
      </c>
      <c r="P28" s="70">
        <f t="shared" si="16"/>
        <v>1643816.8584124323</v>
      </c>
      <c r="Q28" s="70">
        <f t="shared" si="16"/>
        <v>2153056.0683705974</v>
      </c>
      <c r="R28" s="70">
        <f>SUM(F28:H28)</f>
        <v>5144014.4252153067</v>
      </c>
      <c r="S28" s="70">
        <f>SUM(I28:K28)</f>
        <v>2479584.0630040513</v>
      </c>
      <c r="T28" s="70">
        <f>SUM(L28:N28)</f>
        <v>1494885.9585669385</v>
      </c>
      <c r="U28" s="70">
        <f>SUM(O28:Q28)</f>
        <v>4956597.9153209422</v>
      </c>
      <c r="V28" s="70">
        <f>SUM(F28:Q28)</f>
        <v>14075082.362107238</v>
      </c>
    </row>
    <row r="29" spans="1:22">
      <c r="A29" s="66"/>
      <c r="B29" s="36"/>
      <c r="C29" s="66"/>
      <c r="D29" s="70"/>
      <c r="E29" s="70"/>
      <c r="F29" s="70"/>
      <c r="G29" s="70"/>
      <c r="H29" s="70"/>
      <c r="I29" s="70"/>
      <c r="J29" s="70"/>
      <c r="K29" s="70"/>
      <c r="L29" s="70"/>
      <c r="M29" s="70"/>
      <c r="N29" s="70"/>
      <c r="O29" s="70"/>
      <c r="P29" s="70"/>
      <c r="Q29" s="70"/>
      <c r="R29" s="67"/>
      <c r="S29" s="67"/>
      <c r="T29" s="67"/>
      <c r="U29" s="67"/>
      <c r="V29" s="67"/>
    </row>
    <row r="30" spans="1:22">
      <c r="A30" s="66"/>
      <c r="B30" s="36" t="s">
        <v>111</v>
      </c>
      <c r="C30" s="66"/>
      <c r="D30" s="66"/>
      <c r="E30" s="66"/>
      <c r="F30" s="150">
        <v>6913974</v>
      </c>
      <c r="G30" s="150">
        <v>5609302</v>
      </c>
      <c r="H30" s="150">
        <v>5156824</v>
      </c>
      <c r="I30" s="150">
        <v>2896859</v>
      </c>
      <c r="J30" s="150">
        <v>2532832</v>
      </c>
      <c r="K30" s="150">
        <v>1900306</v>
      </c>
      <c r="L30" s="150">
        <v>1776830</v>
      </c>
      <c r="M30" s="150">
        <v>1842874</v>
      </c>
      <c r="N30" s="150">
        <v>2260370</v>
      </c>
      <c r="O30" s="150">
        <v>4076896</v>
      </c>
      <c r="P30" s="150">
        <v>4431064.7699999996</v>
      </c>
      <c r="Q30" s="150">
        <v>8810762</v>
      </c>
      <c r="R30" s="67"/>
      <c r="S30" s="67"/>
      <c r="T30" s="67"/>
      <c r="U30" s="67"/>
      <c r="V30" s="67"/>
    </row>
    <row r="31" spans="1:22" ht="27">
      <c r="A31" s="66">
        <v>14</v>
      </c>
      <c r="B31" s="153" t="s">
        <v>112</v>
      </c>
      <c r="C31" s="66" t="s">
        <v>21</v>
      </c>
      <c r="D31" s="38">
        <f>$F31*D$5</f>
        <v>642748.63778709667</v>
      </c>
      <c r="E31" s="38">
        <f>$F31*E$5</f>
        <v>1349772.139352903</v>
      </c>
      <c r="F31" s="154">
        <v>1992520.7771399999</v>
      </c>
      <c r="G31" s="154">
        <v>1706490.5242400002</v>
      </c>
      <c r="H31" s="154">
        <v>1603844.5742800001</v>
      </c>
      <c r="I31" s="154">
        <v>1020533.44995</v>
      </c>
      <c r="J31" s="154">
        <v>884603.25283999997</v>
      </c>
      <c r="K31" s="154">
        <v>726949.16347000003</v>
      </c>
      <c r="L31" s="154">
        <v>690821.1433</v>
      </c>
      <c r="M31" s="154">
        <v>709440.80480000004</v>
      </c>
      <c r="N31" s="154">
        <v>818005.34831999999</v>
      </c>
      <c r="O31" s="154">
        <v>1285547.9046600002</v>
      </c>
      <c r="P31" s="154">
        <v>1504421.7047000001</v>
      </c>
      <c r="Q31" s="154">
        <v>2468211.2837799997</v>
      </c>
      <c r="R31" s="38"/>
      <c r="S31" s="38"/>
      <c r="T31" s="38"/>
      <c r="U31" s="38"/>
      <c r="V31" s="38"/>
    </row>
    <row r="32" spans="1:22">
      <c r="A32" s="66">
        <v>15</v>
      </c>
      <c r="B32" s="36" t="s">
        <v>24</v>
      </c>
      <c r="C32" s="66" t="s">
        <v>21</v>
      </c>
      <c r="D32" s="38">
        <f>$F32*D$5</f>
        <v>78919.635483870967</v>
      </c>
      <c r="E32" s="38">
        <f>$F32*E$5</f>
        <v>165731.23451612901</v>
      </c>
      <c r="F32" s="154">
        <v>244650.87</v>
      </c>
      <c r="G32" s="154">
        <v>275955.91000000003</v>
      </c>
      <c r="H32" s="154">
        <v>279704.68</v>
      </c>
      <c r="I32" s="154">
        <v>288136.46999999997</v>
      </c>
      <c r="J32" s="154">
        <v>285292.27999999997</v>
      </c>
      <c r="K32" s="154">
        <v>287767.86</v>
      </c>
      <c r="L32" s="154">
        <v>287473.12</v>
      </c>
      <c r="M32" s="154">
        <v>286537.25</v>
      </c>
      <c r="N32" s="154">
        <v>287792.26</v>
      </c>
      <c r="O32" s="154">
        <v>287907.95</v>
      </c>
      <c r="P32" s="154">
        <v>324816.72000000003</v>
      </c>
      <c r="Q32" s="154">
        <v>258141.25</v>
      </c>
      <c r="R32" s="38"/>
      <c r="S32" s="38"/>
      <c r="T32" s="38"/>
      <c r="U32" s="38"/>
      <c r="V32" s="38"/>
    </row>
    <row r="33" spans="1:22">
      <c r="A33" s="66">
        <v>16</v>
      </c>
      <c r="B33" s="36" t="s">
        <v>25</v>
      </c>
      <c r="C33" s="66" t="str">
        <f>"("&amp;A31&amp;") - ("&amp;A32&amp;")"</f>
        <v>(14) - (15)</v>
      </c>
      <c r="D33" s="70">
        <f t="shared" ref="D33:Q33" si="17">D31-D32</f>
        <v>563829.00230322569</v>
      </c>
      <c r="E33" s="70">
        <f t="shared" si="17"/>
        <v>1184040.9048367739</v>
      </c>
      <c r="F33" s="70">
        <f t="shared" si="17"/>
        <v>1747869.9071399998</v>
      </c>
      <c r="G33" s="70">
        <f t="shared" si="17"/>
        <v>1430534.61424</v>
      </c>
      <c r="H33" s="70">
        <f t="shared" si="17"/>
        <v>1324139.8942800001</v>
      </c>
      <c r="I33" s="70">
        <f t="shared" si="17"/>
        <v>732396.97995000007</v>
      </c>
      <c r="J33" s="70">
        <f t="shared" si="17"/>
        <v>599310.97283999994</v>
      </c>
      <c r="K33" s="70">
        <f t="shared" si="17"/>
        <v>439181.30347000004</v>
      </c>
      <c r="L33" s="70">
        <f t="shared" si="17"/>
        <v>403348.0233</v>
      </c>
      <c r="M33" s="70">
        <f t="shared" si="17"/>
        <v>422903.55480000004</v>
      </c>
      <c r="N33" s="70">
        <f t="shared" si="17"/>
        <v>530213.08831999998</v>
      </c>
      <c r="O33" s="70">
        <f t="shared" si="17"/>
        <v>997639.95466000028</v>
      </c>
      <c r="P33" s="70">
        <f t="shared" si="17"/>
        <v>1179604.9847000001</v>
      </c>
      <c r="Q33" s="70">
        <f t="shared" si="17"/>
        <v>2210070.0337799997</v>
      </c>
      <c r="R33" s="70">
        <f>SUM(F33:H33)</f>
        <v>4502544.4156599995</v>
      </c>
      <c r="S33" s="70">
        <f>SUM(I33:K33)</f>
        <v>1770889.2562600002</v>
      </c>
      <c r="T33" s="70">
        <f>SUM(L33:N33)</f>
        <v>1356464.6664200001</v>
      </c>
      <c r="U33" s="70">
        <f>SUM(O33:Q33)</f>
        <v>4387314.9731399994</v>
      </c>
      <c r="V33" s="70">
        <f>SUM(F33:Q33)</f>
        <v>12017213.311479999</v>
      </c>
    </row>
    <row r="34" spans="1:22">
      <c r="A34" s="6"/>
      <c r="B34" s="66" t="s">
        <v>34</v>
      </c>
      <c r="C34" s="66"/>
      <c r="D34" s="11">
        <f>D33/D26</f>
        <v>656.1073224999999</v>
      </c>
      <c r="E34" s="11">
        <f>E33/E26</f>
        <v>656.1073224999999</v>
      </c>
      <c r="F34" s="73">
        <f>F33/F26</f>
        <v>656.1073224999999</v>
      </c>
      <c r="G34" s="73">
        <f t="shared" ref="G34:Q34" si="18">G33/G26</f>
        <v>528.84828622550833</v>
      </c>
      <c r="H34" s="73">
        <f t="shared" si="18"/>
        <v>488.97337307237819</v>
      </c>
      <c r="I34" s="73">
        <f t="shared" si="18"/>
        <v>261.85090452270293</v>
      </c>
      <c r="J34" s="73">
        <f t="shared" si="18"/>
        <v>216.43588762730226</v>
      </c>
      <c r="K34" s="73">
        <f t="shared" si="18"/>
        <v>157.24357446115289</v>
      </c>
      <c r="L34" s="73">
        <f t="shared" si="18"/>
        <v>144.36221306370794</v>
      </c>
      <c r="M34" s="73">
        <f t="shared" si="18"/>
        <v>152.39767740540543</v>
      </c>
      <c r="N34" s="73">
        <f t="shared" si="18"/>
        <v>189.76846396564065</v>
      </c>
      <c r="O34" s="73">
        <f t="shared" si="18"/>
        <v>356.55466571122241</v>
      </c>
      <c r="P34" s="73">
        <f t="shared" si="18"/>
        <v>419.48968161450932</v>
      </c>
      <c r="Q34" s="73">
        <f t="shared" si="18"/>
        <v>780.11649621602533</v>
      </c>
      <c r="R34" s="156">
        <f>R33/R26</f>
        <v>557.45257096199077</v>
      </c>
      <c r="S34" s="156">
        <f>S33/S26</f>
        <v>211.85419981576746</v>
      </c>
      <c r="T34" s="156">
        <f>T33/T26</f>
        <v>162.19833390170993</v>
      </c>
      <c r="U34" s="156">
        <f>U33/U26</f>
        <v>519.63934302262226</v>
      </c>
      <c r="V34" s="156">
        <f>V33/V26</f>
        <v>361.50692832801872</v>
      </c>
    </row>
    <row r="35" spans="1:22">
      <c r="A35" s="66">
        <v>17</v>
      </c>
      <c r="B35" s="36" t="s">
        <v>27</v>
      </c>
      <c r="C35" s="66" t="str">
        <f>"("&amp;A28&amp;") - ("&amp;A33&amp;")"</f>
        <v>(13) - (16)</v>
      </c>
      <c r="D35" s="124">
        <f>D28-D33</f>
        <v>-11921.024727759417</v>
      </c>
      <c r="E35" s="124">
        <f t="shared" ref="E35:Q35" si="19">E28-E33</f>
        <v>176028.33375170897</v>
      </c>
      <c r="F35" s="124">
        <f t="shared" si="19"/>
        <v>164107.30902394908</v>
      </c>
      <c r="G35" s="124">
        <f t="shared" si="19"/>
        <v>284358.75235228473</v>
      </c>
      <c r="H35" s="124">
        <f t="shared" si="19"/>
        <v>193003.94817907293</v>
      </c>
      <c r="I35" s="124">
        <f t="shared" si="19"/>
        <v>313822.54810500005</v>
      </c>
      <c r="J35" s="124">
        <f t="shared" si="19"/>
        <v>211838.22023362329</v>
      </c>
      <c r="K35" s="124">
        <f t="shared" si="19"/>
        <v>183034.03840542783</v>
      </c>
      <c r="L35" s="124">
        <f t="shared" si="19"/>
        <v>67654.568974456051</v>
      </c>
      <c r="M35" s="124">
        <f t="shared" si="19"/>
        <v>36490.994079867494</v>
      </c>
      <c r="N35" s="124">
        <f t="shared" si="19"/>
        <v>34275.729092614958</v>
      </c>
      <c r="O35" s="124">
        <f t="shared" si="19"/>
        <v>162085.03387791174</v>
      </c>
      <c r="P35" s="124">
        <f t="shared" si="19"/>
        <v>464211.87371243211</v>
      </c>
      <c r="Q35" s="124">
        <f t="shared" si="19"/>
        <v>-57013.96540940227</v>
      </c>
      <c r="R35" s="70">
        <f>SUM(F35:H35)</f>
        <v>641470.00955530675</v>
      </c>
      <c r="S35" s="70">
        <f>SUM(I35:K35)</f>
        <v>708694.80674405117</v>
      </c>
      <c r="T35" s="70">
        <f>SUM(L35:N35)</f>
        <v>138421.2921469385</v>
      </c>
      <c r="U35" s="70">
        <f>SUM(O35:Q35)</f>
        <v>569282.94218094158</v>
      </c>
      <c r="V35" s="70">
        <f>SUM(F35:Q35)</f>
        <v>2057869.0506272381</v>
      </c>
    </row>
    <row r="36" spans="1:22">
      <c r="A36" s="66">
        <v>18</v>
      </c>
      <c r="B36" s="36" t="s">
        <v>28</v>
      </c>
      <c r="C36" s="66" t="s">
        <v>29</v>
      </c>
      <c r="D36" s="124">
        <f>D35*-0.044797</f>
        <v>534.02614472943856</v>
      </c>
      <c r="E36" s="124">
        <f>E35*-0.045668</f>
        <v>-8038.8619457730456</v>
      </c>
      <c r="F36" s="124">
        <f>D36+E36</f>
        <v>-7504.8358010436068</v>
      </c>
      <c r="G36" s="124">
        <f>G35*-0.045668</f>
        <v>-12986.095502424139</v>
      </c>
      <c r="H36" s="124">
        <f t="shared" ref="H36:Q36" si="20">H35*-0.045668</f>
        <v>-8814.1043054419024</v>
      </c>
      <c r="I36" s="124">
        <f t="shared" si="20"/>
        <v>-14331.648126859143</v>
      </c>
      <c r="J36" s="124">
        <f t="shared" si="20"/>
        <v>-9674.2278416291083</v>
      </c>
      <c r="K36" s="124">
        <f t="shared" si="20"/>
        <v>-8358.7984658990772</v>
      </c>
      <c r="L36" s="124">
        <f t="shared" si="20"/>
        <v>-3089.648855925459</v>
      </c>
      <c r="M36" s="124">
        <f t="shared" si="20"/>
        <v>-1666.4707176393888</v>
      </c>
      <c r="N36" s="124">
        <f t="shared" si="20"/>
        <v>-1565.3039962015398</v>
      </c>
      <c r="O36" s="124">
        <f t="shared" si="20"/>
        <v>-7402.0993271364732</v>
      </c>
      <c r="P36" s="124">
        <f t="shared" si="20"/>
        <v>-21199.627848699351</v>
      </c>
      <c r="Q36" s="124">
        <f t="shared" si="20"/>
        <v>2603.7137723165829</v>
      </c>
      <c r="R36" s="70">
        <f>SUM(F36:H36)</f>
        <v>-29305.035608909649</v>
      </c>
      <c r="S36" s="70">
        <f>SUM(I36:K36)</f>
        <v>-32364.674434387329</v>
      </c>
      <c r="T36" s="70">
        <f>SUM(L36:N36)</f>
        <v>-6321.423569766388</v>
      </c>
      <c r="U36" s="70">
        <f>SUM(O36:Q36)</f>
        <v>-25998.013403519242</v>
      </c>
      <c r="V36" s="70">
        <f>SUM(F36:Q36)</f>
        <v>-93989.147016582618</v>
      </c>
    </row>
    <row r="37" spans="1:22" ht="14.4" customHeight="1">
      <c r="A37" s="8"/>
      <c r="B37" s="17"/>
      <c r="C37" s="66" t="s">
        <v>30</v>
      </c>
      <c r="D37" s="8"/>
      <c r="E37" s="8"/>
      <c r="F37" s="125">
        <f t="shared" ref="F37:Q37" si="21">F20</f>
        <v>3.2500000000000001E-2</v>
      </c>
      <c r="G37" s="125">
        <f t="shared" si="21"/>
        <v>3.2500000000000001E-2</v>
      </c>
      <c r="H37" s="125">
        <f t="shared" si="21"/>
        <v>3.2500000000000001E-2</v>
      </c>
      <c r="I37" s="125">
        <f t="shared" si="21"/>
        <v>3.4599999999999999E-2</v>
      </c>
      <c r="J37" s="125">
        <f t="shared" si="21"/>
        <v>3.4599999999999999E-2</v>
      </c>
      <c r="K37" s="125">
        <f t="shared" si="21"/>
        <v>3.4599999999999999E-2</v>
      </c>
      <c r="L37" s="125">
        <f t="shared" si="21"/>
        <v>3.5000000000000003E-2</v>
      </c>
      <c r="M37" s="125">
        <f t="shared" si="21"/>
        <v>3.5000000000000003E-2</v>
      </c>
      <c r="N37" s="125">
        <f t="shared" si="21"/>
        <v>3.5000000000000003E-2</v>
      </c>
      <c r="O37" s="125">
        <f t="shared" si="21"/>
        <v>3.5000000000000003E-2</v>
      </c>
      <c r="P37" s="125">
        <f t="shared" si="21"/>
        <v>3.5000000000000003E-2</v>
      </c>
      <c r="Q37" s="125">
        <f t="shared" si="21"/>
        <v>3.5000000000000003E-2</v>
      </c>
      <c r="R37" s="76"/>
      <c r="S37" s="76"/>
      <c r="T37" s="76"/>
      <c r="U37" s="76"/>
      <c r="V37" s="76"/>
    </row>
    <row r="38" spans="1:22">
      <c r="A38" s="66">
        <v>19</v>
      </c>
      <c r="B38" s="36" t="s">
        <v>31</v>
      </c>
      <c r="C38" s="66" t="s">
        <v>35</v>
      </c>
      <c r="D38" s="8"/>
      <c r="E38" s="8"/>
      <c r="F38" s="9">
        <f>(F35+F36)/2*F37/12</f>
        <v>212.06584915601786</v>
      </c>
      <c r="G38" s="9">
        <f>(F40+(G35+G36)/2)*G37/12</f>
        <v>792.18984947101956</v>
      </c>
      <c r="H38" s="9">
        <f t="shared" ref="H38:Q38" si="22">(G40+(H35+H36)/2)*H37/12</f>
        <v>1411.2429167097318</v>
      </c>
      <c r="I38" s="9">
        <f t="shared" si="22"/>
        <v>2203.8064100214856</v>
      </c>
      <c r="J38" s="9">
        <f t="shared" si="22"/>
        <v>2933.3798550039924</v>
      </c>
      <c r="K38" s="9">
        <f t="shared" si="22"/>
        <v>3485.1143268638662</v>
      </c>
      <c r="L38" s="9">
        <f t="shared" si="22"/>
        <v>3884.4614827741111</v>
      </c>
      <c r="M38" s="9">
        <f t="shared" si="22"/>
        <v>4040.7341005083085</v>
      </c>
      <c r="N38" s="9">
        <f t="shared" si="22"/>
        <v>4151.0080414703089</v>
      </c>
      <c r="O38" s="9">
        <f t="shared" si="22"/>
        <v>4436.3971310767474</v>
      </c>
      <c r="P38" s="9">
        <f t="shared" si="22"/>
        <v>5320.9754274802117</v>
      </c>
      <c r="Q38" s="9">
        <f t="shared" si="22"/>
        <v>5903.2061807242217</v>
      </c>
      <c r="R38" s="70">
        <f>SUM(F38:H38)</f>
        <v>2415.498615336769</v>
      </c>
      <c r="S38" s="70">
        <f>SUM(I38:K38)</f>
        <v>8622.3005918893432</v>
      </c>
      <c r="T38" s="70">
        <f>SUM(L38:N38)</f>
        <v>12076.203624752729</v>
      </c>
      <c r="U38" s="70">
        <f>SUM(O38:Q38)</f>
        <v>15660.57873928118</v>
      </c>
      <c r="V38" s="9">
        <f>SUM(F38:Q38)</f>
        <v>38774.581571260023</v>
      </c>
    </row>
    <row r="39" spans="1:22" ht="15" thickBot="1">
      <c r="A39" s="66"/>
      <c r="B39" s="10" t="s">
        <v>36</v>
      </c>
      <c r="C39" s="66"/>
      <c r="D39" s="66"/>
      <c r="E39" s="66"/>
      <c r="F39" s="12">
        <f>F35+F36+F38</f>
        <v>156814.53907206151</v>
      </c>
      <c r="G39" s="12">
        <f t="shared" ref="G39:Q39" si="23">G35+G36+G38</f>
        <v>272164.84669933165</v>
      </c>
      <c r="H39" s="12">
        <f t="shared" si="23"/>
        <v>185601.08679034078</v>
      </c>
      <c r="I39" s="12">
        <f t="shared" si="23"/>
        <v>301694.70638816239</v>
      </c>
      <c r="J39" s="12">
        <f t="shared" si="23"/>
        <v>205097.37224699816</v>
      </c>
      <c r="K39" s="12">
        <f t="shared" si="23"/>
        <v>178160.35426639262</v>
      </c>
      <c r="L39" s="12">
        <f t="shared" si="23"/>
        <v>68449.381601304704</v>
      </c>
      <c r="M39" s="12">
        <f t="shared" si="23"/>
        <v>38865.257462736416</v>
      </c>
      <c r="N39" s="12">
        <f t="shared" si="23"/>
        <v>36861.433137883731</v>
      </c>
      <c r="O39" s="12">
        <f t="shared" si="23"/>
        <v>159119.33168185203</v>
      </c>
      <c r="P39" s="12">
        <f t="shared" si="23"/>
        <v>448333.22129121301</v>
      </c>
      <c r="Q39" s="12">
        <f t="shared" si="23"/>
        <v>-48507.045456361469</v>
      </c>
      <c r="R39" s="72">
        <f>R35+R36+R38</f>
        <v>614580.4725617338</v>
      </c>
      <c r="S39" s="72">
        <f>S35+S36+S38</f>
        <v>684952.43290155311</v>
      </c>
      <c r="T39" s="72">
        <f>T35+T36+T38</f>
        <v>144176.07220192484</v>
      </c>
      <c r="U39" s="72">
        <f>U35+U36+U38</f>
        <v>558945.50751670345</v>
      </c>
      <c r="V39" s="72">
        <f>V35+V36+V38</f>
        <v>2002654.4851819156</v>
      </c>
    </row>
    <row r="40" spans="1:22" ht="34.200000000000003" customHeight="1" thickBot="1">
      <c r="A40" s="66">
        <v>20</v>
      </c>
      <c r="B40" s="145" t="s">
        <v>114</v>
      </c>
      <c r="C40" s="66" t="str">
        <f>"Σ(("&amp;A35&amp;") ~ ("&amp;A38&amp;"))"</f>
        <v>Σ((17) ~ (19))</v>
      </c>
      <c r="D40" s="66"/>
      <c r="E40" s="66"/>
      <c r="F40" s="70">
        <f>F35+F36+F38</f>
        <v>156814.53907206151</v>
      </c>
      <c r="G40" s="70">
        <f>F40+G35+G36+G38</f>
        <v>428979.38577139319</v>
      </c>
      <c r="H40" s="70">
        <f t="shared" ref="H40:Q40" si="24">G40+H35+H36+H38</f>
        <v>614580.47256173391</v>
      </c>
      <c r="I40" s="70">
        <f t="shared" si="24"/>
        <v>916275.17894989636</v>
      </c>
      <c r="J40" s="70">
        <f t="shared" si="24"/>
        <v>1121372.5511968944</v>
      </c>
      <c r="K40" s="70">
        <f t="shared" si="24"/>
        <v>1299532.9054632869</v>
      </c>
      <c r="L40" s="70">
        <f t="shared" si="24"/>
        <v>1367982.2870645914</v>
      </c>
      <c r="M40" s="70">
        <f t="shared" si="24"/>
        <v>1406847.5445273276</v>
      </c>
      <c r="N40" s="70">
        <f t="shared" si="24"/>
        <v>1443708.9776652113</v>
      </c>
      <c r="O40" s="70">
        <f t="shared" si="24"/>
        <v>1602828.3093470633</v>
      </c>
      <c r="P40" s="70">
        <f t="shared" si="24"/>
        <v>2051161.5306382761</v>
      </c>
      <c r="Q40" s="126">
        <f t="shared" si="24"/>
        <v>2002654.4851819149</v>
      </c>
      <c r="R40" s="71"/>
      <c r="S40" s="32"/>
      <c r="T40" s="71"/>
      <c r="U40" s="71"/>
    </row>
    <row r="41" spans="1:22" ht="15" thickBot="1">
      <c r="A41" s="66"/>
      <c r="B41" s="36"/>
      <c r="C41" s="36"/>
      <c r="D41" s="36"/>
      <c r="E41" s="36"/>
      <c r="F41" s="36"/>
      <c r="G41" s="36"/>
      <c r="H41" s="36"/>
      <c r="I41" s="36"/>
      <c r="J41" s="36"/>
      <c r="K41" s="36"/>
      <c r="L41" s="36"/>
      <c r="M41" s="36"/>
      <c r="N41" s="36"/>
      <c r="O41" s="36"/>
      <c r="P41" s="36"/>
      <c r="Q41" s="36"/>
      <c r="R41" s="68"/>
      <c r="S41" s="28"/>
      <c r="T41" s="68"/>
      <c r="U41" s="68"/>
      <c r="V41" s="1"/>
    </row>
    <row r="42" spans="1:22" ht="15" thickBot="1">
      <c r="A42" s="2">
        <v>21</v>
      </c>
      <c r="B42" s="10" t="s">
        <v>65</v>
      </c>
      <c r="C42" s="2" t="str">
        <f>"("&amp;A23&amp;") + ("&amp;A40&amp;")"</f>
        <v>(10) + (20)</v>
      </c>
      <c r="D42" s="2"/>
      <c r="E42" s="2"/>
      <c r="F42" s="70">
        <f t="shared" ref="F42:Q42" si="25">F23+F40</f>
        <v>-21627.337647769251</v>
      </c>
      <c r="G42" s="70">
        <f t="shared" si="25"/>
        <v>1842318.301773895</v>
      </c>
      <c r="H42" s="70">
        <f t="shared" si="25"/>
        <v>3180496.3058343804</v>
      </c>
      <c r="I42" s="70">
        <f t="shared" si="25"/>
        <v>4904367.7929914203</v>
      </c>
      <c r="J42" s="70">
        <f t="shared" si="25"/>
        <v>6007198.85757556</v>
      </c>
      <c r="K42" s="70">
        <f t="shared" si="25"/>
        <v>6460094.0899832528</v>
      </c>
      <c r="L42" s="70">
        <f t="shared" si="25"/>
        <v>6554335.8360130023</v>
      </c>
      <c r="M42" s="70">
        <f t="shared" si="25"/>
        <v>6499638.531950932</v>
      </c>
      <c r="N42" s="70">
        <f t="shared" si="25"/>
        <v>6550989.0044333618</v>
      </c>
      <c r="O42" s="70">
        <f t="shared" si="25"/>
        <v>7622613.6302500479</v>
      </c>
      <c r="P42" s="70">
        <f t="shared" si="25"/>
        <v>9813756.1827115342</v>
      </c>
      <c r="Q42" s="126">
        <f t="shared" si="25"/>
        <v>9155631.8318645675</v>
      </c>
    </row>
  </sheetData>
  <printOptions horizontalCentered="1"/>
  <pageMargins left="0.7" right="0.57999999999999996" top="1.08" bottom="0.75" header="0.5" footer="0.5"/>
  <pageSetup scale="65" orientation="landscape" r:id="rId1"/>
  <headerFooter>
    <oddHeader>&amp;CAvista Corporation Decoupling Mechanism
Washington Jurisdiction
Quarterly Report for 4th Quarter 2016</oddHeader>
    <oddFooter>&amp;Cfile: &amp;F / &amp;A&amp;RPage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view="pageBreakPreview" topLeftCell="A133" zoomScale="60" zoomScaleNormal="100" workbookViewId="0">
      <selection activeCell="T15" sqref="T15"/>
    </sheetView>
  </sheetViews>
  <sheetFormatPr defaultRowHeight="14.4"/>
  <cols>
    <col min="1" max="1" width="7.33203125" customWidth="1"/>
    <col min="2" max="2" width="34.88671875" customWidth="1"/>
    <col min="3" max="3" width="6.33203125" customWidth="1"/>
    <col min="4" max="4" width="9.44140625" customWidth="1"/>
    <col min="5" max="5" width="12.33203125" customWidth="1"/>
    <col min="6" max="6" width="12.44140625" customWidth="1"/>
    <col min="7" max="7" width="13.44140625" customWidth="1"/>
    <col min="8" max="8" width="1.6640625" customWidth="1"/>
    <col min="10" max="11" width="14" bestFit="1" customWidth="1"/>
    <col min="12" max="12" width="11.109375" bestFit="1" customWidth="1"/>
    <col min="13" max="14" width="11.44140625" customWidth="1"/>
  </cols>
  <sheetData>
    <row r="1" spans="1:17" ht="15.6">
      <c r="A1" s="193" t="s">
        <v>42</v>
      </c>
      <c r="B1" s="193"/>
      <c r="C1" s="193"/>
      <c r="D1" s="193"/>
      <c r="E1" s="193"/>
      <c r="F1" s="193"/>
      <c r="G1" s="193"/>
      <c r="H1" s="193"/>
      <c r="I1" s="75"/>
      <c r="J1" s="75"/>
      <c r="K1" s="75"/>
    </row>
    <row r="2" spans="1:17">
      <c r="A2" s="75"/>
      <c r="B2" s="75"/>
      <c r="C2" s="75"/>
      <c r="D2" s="75"/>
      <c r="E2" s="75"/>
      <c r="F2" s="75"/>
      <c r="G2" s="75"/>
      <c r="H2" s="75"/>
      <c r="I2" s="75"/>
      <c r="J2" s="75"/>
      <c r="K2" s="75"/>
    </row>
    <row r="3" spans="1:17">
      <c r="A3" s="75" t="s">
        <v>143</v>
      </c>
      <c r="B3" s="75"/>
      <c r="C3" s="75"/>
      <c r="D3" s="75"/>
      <c r="E3" s="75"/>
      <c r="F3" s="75"/>
      <c r="G3" s="75"/>
      <c r="H3" s="75"/>
      <c r="I3" s="75"/>
      <c r="J3" s="75"/>
      <c r="K3" s="75"/>
      <c r="L3" s="75"/>
      <c r="M3" s="75"/>
      <c r="N3" s="75"/>
      <c r="O3" s="75"/>
      <c r="P3" s="75"/>
      <c r="Q3" s="75"/>
    </row>
    <row r="4" spans="1:17">
      <c r="A4" s="40" t="s">
        <v>43</v>
      </c>
      <c r="B4" s="75"/>
      <c r="C4" s="18" t="s">
        <v>180</v>
      </c>
      <c r="D4" s="75"/>
      <c r="E4" s="75"/>
      <c r="F4" s="75"/>
      <c r="G4" s="75"/>
      <c r="H4" s="75"/>
      <c r="I4" s="75"/>
      <c r="J4" s="75"/>
      <c r="K4" s="75"/>
    </row>
    <row r="5" spans="1:17">
      <c r="A5" s="75"/>
      <c r="B5" s="75"/>
      <c r="C5" s="75"/>
      <c r="D5" s="75"/>
      <c r="E5" s="75"/>
      <c r="F5" s="75"/>
      <c r="G5" s="75"/>
      <c r="H5" s="75"/>
      <c r="I5" s="75"/>
      <c r="J5" s="75"/>
      <c r="K5" s="75"/>
    </row>
    <row r="6" spans="1:17" ht="27">
      <c r="A6" s="92" t="s">
        <v>44</v>
      </c>
      <c r="B6" s="93" t="s">
        <v>45</v>
      </c>
      <c r="C6" s="94" t="s">
        <v>46</v>
      </c>
      <c r="D6" s="92" t="s">
        <v>47</v>
      </c>
      <c r="E6" s="92" t="s">
        <v>48</v>
      </c>
      <c r="F6" s="92" t="s">
        <v>49</v>
      </c>
      <c r="G6" s="92" t="s">
        <v>50</v>
      </c>
      <c r="H6" s="75"/>
      <c r="I6" s="75"/>
      <c r="J6" s="75"/>
      <c r="K6" s="75"/>
    </row>
    <row r="7" spans="1:17" ht="14.4" customHeight="1">
      <c r="A7" s="42" t="s">
        <v>51</v>
      </c>
      <c r="B7" s="41" t="s">
        <v>52</v>
      </c>
      <c r="C7" s="43" t="s">
        <v>53</v>
      </c>
      <c r="D7" s="44" t="s">
        <v>144</v>
      </c>
      <c r="E7" s="45">
        <v>7114199.2999999998</v>
      </c>
      <c r="F7" s="46">
        <v>1866700.97</v>
      </c>
      <c r="G7" s="45">
        <v>8980900.2699999996</v>
      </c>
      <c r="H7" s="75"/>
      <c r="I7" s="75"/>
      <c r="J7" s="75"/>
      <c r="K7" s="75"/>
    </row>
    <row r="8" spans="1:17">
      <c r="A8" s="47"/>
      <c r="B8" s="41" t="s">
        <v>52</v>
      </c>
      <c r="C8" s="48"/>
      <c r="D8" s="44" t="s">
        <v>145</v>
      </c>
      <c r="E8" s="45">
        <v>8980900.2699999996</v>
      </c>
      <c r="F8" s="46">
        <v>1785992.1800000002</v>
      </c>
      <c r="G8" s="45">
        <v>10766892.449999999</v>
      </c>
      <c r="H8" s="75"/>
      <c r="I8" s="75"/>
      <c r="J8" s="75"/>
      <c r="K8" s="75"/>
    </row>
    <row r="9" spans="1:17">
      <c r="A9" s="47"/>
      <c r="B9" s="41" t="s">
        <v>52</v>
      </c>
      <c r="C9" s="49"/>
      <c r="D9" s="44" t="s">
        <v>146</v>
      </c>
      <c r="E9" s="45">
        <v>10766892.449999999</v>
      </c>
      <c r="F9" s="46">
        <v>-478687.37</v>
      </c>
      <c r="G9" s="45">
        <v>10288205.08</v>
      </c>
      <c r="H9" s="75"/>
      <c r="I9" s="75"/>
      <c r="J9" s="75"/>
      <c r="K9" s="75"/>
    </row>
    <row r="10" spans="1:17">
      <c r="A10" s="47"/>
      <c r="B10" s="84"/>
      <c r="C10" s="85"/>
      <c r="D10" s="84"/>
      <c r="E10" s="86"/>
      <c r="F10" s="87" t="s">
        <v>147</v>
      </c>
      <c r="G10" s="86"/>
      <c r="H10" s="75"/>
      <c r="I10" s="75"/>
      <c r="J10" s="75"/>
      <c r="K10" s="75"/>
    </row>
    <row r="11" spans="1:17">
      <c r="A11" s="47"/>
      <c r="B11" s="41" t="s">
        <v>52</v>
      </c>
      <c r="C11" s="43" t="s">
        <v>54</v>
      </c>
      <c r="D11" s="44" t="s">
        <v>144</v>
      </c>
      <c r="E11" s="45">
        <v>5107280.26</v>
      </c>
      <c r="F11" s="46">
        <v>912505.29</v>
      </c>
      <c r="G11" s="45">
        <v>6019785.5499999998</v>
      </c>
      <c r="H11" s="75"/>
      <c r="I11" s="75"/>
      <c r="J11" s="75"/>
      <c r="K11" s="75"/>
    </row>
    <row r="12" spans="1:17">
      <c r="A12" s="47"/>
      <c r="B12" s="41" t="s">
        <v>52</v>
      </c>
      <c r="C12" s="48"/>
      <c r="D12" s="44" t="s">
        <v>145</v>
      </c>
      <c r="E12" s="45">
        <v>6019785.5499999998</v>
      </c>
      <c r="F12" s="46">
        <v>1742809.3399999999</v>
      </c>
      <c r="G12" s="45">
        <v>7762594.8899999997</v>
      </c>
      <c r="H12" s="75"/>
      <c r="I12" s="75"/>
      <c r="J12" s="75"/>
      <c r="K12" s="75"/>
    </row>
    <row r="13" spans="1:17">
      <c r="A13" s="47"/>
      <c r="B13" s="41" t="s">
        <v>52</v>
      </c>
      <c r="C13" s="49"/>
      <c r="D13" s="44" t="s">
        <v>146</v>
      </c>
      <c r="E13" s="45">
        <v>7762594.8899999997</v>
      </c>
      <c r="F13" s="46">
        <v>-609617.31000000006</v>
      </c>
      <c r="G13" s="45">
        <v>7152977.5800000001</v>
      </c>
      <c r="H13" s="75"/>
      <c r="I13" s="75"/>
      <c r="J13" s="75"/>
      <c r="K13" s="75"/>
    </row>
    <row r="14" spans="1:17">
      <c r="A14" s="50"/>
      <c r="B14" s="84"/>
      <c r="C14" s="85"/>
      <c r="D14" s="84"/>
      <c r="E14" s="86"/>
      <c r="F14" s="87" t="s">
        <v>148</v>
      </c>
      <c r="G14" s="86"/>
      <c r="H14" s="75"/>
      <c r="I14" s="75"/>
      <c r="J14" s="75"/>
      <c r="K14" s="75"/>
    </row>
    <row r="15" spans="1:17" ht="14.4" customHeight="1">
      <c r="A15" s="88"/>
      <c r="B15" s="89"/>
      <c r="C15" s="88"/>
      <c r="D15" s="88"/>
      <c r="E15" s="90"/>
      <c r="F15" s="91" t="s">
        <v>149</v>
      </c>
      <c r="G15" s="90"/>
      <c r="H15" s="75"/>
      <c r="I15" s="75"/>
      <c r="J15" s="75"/>
      <c r="K15" s="75"/>
    </row>
    <row r="16" spans="1:17" ht="14.4" customHeight="1">
      <c r="A16" s="42" t="s">
        <v>55</v>
      </c>
      <c r="B16" s="41" t="s">
        <v>56</v>
      </c>
      <c r="C16" s="43" t="s">
        <v>53</v>
      </c>
      <c r="D16" s="44" t="s">
        <v>144</v>
      </c>
      <c r="E16" s="45">
        <v>1930402.5899999999</v>
      </c>
      <c r="F16" s="46">
        <v>345831.85000000003</v>
      </c>
      <c r="G16" s="45">
        <v>2276234.44</v>
      </c>
      <c r="H16" s="75"/>
      <c r="I16" s="75"/>
      <c r="J16" s="75"/>
      <c r="K16" s="75"/>
    </row>
    <row r="17" spans="1:11">
      <c r="A17" s="47"/>
      <c r="B17" s="41" t="s">
        <v>56</v>
      </c>
      <c r="C17" s="48"/>
      <c r="D17" s="44" t="s">
        <v>145</v>
      </c>
      <c r="E17" s="45">
        <v>2276234.44</v>
      </c>
      <c r="F17" s="46">
        <v>536396.85</v>
      </c>
      <c r="G17" s="45">
        <v>2812631.29</v>
      </c>
      <c r="H17" s="75"/>
      <c r="I17" s="75"/>
      <c r="J17" s="75"/>
      <c r="K17" s="75"/>
    </row>
    <row r="18" spans="1:11">
      <c r="A18" s="47"/>
      <c r="B18" s="41" t="s">
        <v>56</v>
      </c>
      <c r="C18" s="49"/>
      <c r="D18" s="44" t="s">
        <v>146</v>
      </c>
      <c r="E18" s="45">
        <v>2812631.29</v>
      </c>
      <c r="F18" s="46">
        <v>-844854.1</v>
      </c>
      <c r="G18" s="45">
        <v>1967777.19</v>
      </c>
      <c r="H18" s="75"/>
      <c r="I18" s="75"/>
      <c r="J18" s="75"/>
      <c r="K18" s="75"/>
    </row>
    <row r="19" spans="1:11">
      <c r="A19" s="47"/>
      <c r="B19" s="84"/>
      <c r="C19" s="85"/>
      <c r="D19" s="84"/>
      <c r="E19" s="86"/>
      <c r="F19" s="87" t="s">
        <v>150</v>
      </c>
      <c r="G19" s="86"/>
      <c r="H19" s="75"/>
      <c r="I19" s="75"/>
      <c r="J19" s="75"/>
      <c r="K19" s="75"/>
    </row>
    <row r="20" spans="1:11">
      <c r="A20" s="47"/>
      <c r="B20" s="41" t="s">
        <v>56</v>
      </c>
      <c r="C20" s="43" t="s">
        <v>54</v>
      </c>
      <c r="D20" s="44" t="s">
        <v>144</v>
      </c>
      <c r="E20" s="45">
        <v>1443709.12</v>
      </c>
      <c r="F20" s="46">
        <v>159119.33000000002</v>
      </c>
      <c r="G20" s="45">
        <v>1602828.4500000002</v>
      </c>
      <c r="H20" s="75"/>
      <c r="I20" s="75"/>
      <c r="J20" s="75"/>
      <c r="K20" s="75"/>
    </row>
    <row r="21" spans="1:11">
      <c r="A21" s="47"/>
      <c r="B21" s="41" t="s">
        <v>56</v>
      </c>
      <c r="C21" s="48"/>
      <c r="D21" s="44" t="s">
        <v>145</v>
      </c>
      <c r="E21" s="45">
        <v>1602828.4500000002</v>
      </c>
      <c r="F21" s="46">
        <v>448333.23</v>
      </c>
      <c r="G21" s="45">
        <v>2051161.68</v>
      </c>
      <c r="H21" s="75"/>
      <c r="I21" s="75"/>
      <c r="J21" s="75"/>
      <c r="K21" s="75"/>
    </row>
    <row r="22" spans="1:11">
      <c r="A22" s="47"/>
      <c r="B22" s="41" t="s">
        <v>56</v>
      </c>
      <c r="C22" s="49"/>
      <c r="D22" s="44" t="s">
        <v>146</v>
      </c>
      <c r="E22" s="45">
        <v>2051161.68</v>
      </c>
      <c r="F22" s="46">
        <v>-48507.040000000001</v>
      </c>
      <c r="G22" s="45">
        <v>2002654.64</v>
      </c>
      <c r="H22" s="75"/>
      <c r="I22" s="75"/>
      <c r="J22" s="75"/>
      <c r="K22" s="75"/>
    </row>
    <row r="23" spans="1:11">
      <c r="A23" s="50"/>
      <c r="B23" s="84"/>
      <c r="C23" s="85"/>
      <c r="D23" s="84"/>
      <c r="E23" s="86"/>
      <c r="F23" s="87" t="s">
        <v>151</v>
      </c>
      <c r="G23" s="86"/>
      <c r="H23" s="75"/>
      <c r="I23" s="75"/>
      <c r="J23" s="75"/>
      <c r="K23" s="75"/>
    </row>
    <row r="24" spans="1:11">
      <c r="A24" s="88"/>
      <c r="B24" s="89"/>
      <c r="C24" s="88"/>
      <c r="D24" s="88"/>
      <c r="E24" s="90"/>
      <c r="F24" s="91" t="s">
        <v>152</v>
      </c>
      <c r="G24" s="90"/>
      <c r="H24" s="75"/>
      <c r="I24" s="75"/>
      <c r="J24" s="75"/>
      <c r="K24" s="75"/>
    </row>
    <row r="25" spans="1:11">
      <c r="A25" s="19"/>
      <c r="B25" s="19"/>
      <c r="C25" s="19"/>
      <c r="D25" s="19"/>
      <c r="E25" s="20"/>
      <c r="F25" s="21"/>
      <c r="G25" s="20"/>
      <c r="H25" s="75"/>
      <c r="I25" s="75"/>
      <c r="J25" s="75"/>
      <c r="K25" s="75"/>
    </row>
    <row r="26" spans="1:11">
      <c r="A26" s="75" t="s">
        <v>143</v>
      </c>
      <c r="B26" s="75"/>
      <c r="C26" s="75"/>
      <c r="D26" s="75"/>
      <c r="E26" s="75"/>
      <c r="F26" s="75"/>
      <c r="G26" s="75"/>
      <c r="H26" s="75"/>
      <c r="I26" s="75"/>
      <c r="J26" s="75"/>
      <c r="K26" s="75"/>
    </row>
    <row r="27" spans="1:11">
      <c r="A27" s="75"/>
      <c r="B27" s="75"/>
      <c r="C27" s="75"/>
      <c r="D27" s="75"/>
      <c r="E27" s="75"/>
      <c r="F27" s="75"/>
      <c r="G27" s="75"/>
      <c r="H27" s="75"/>
      <c r="I27" s="18"/>
      <c r="J27" s="75"/>
      <c r="K27" s="75"/>
    </row>
    <row r="28" spans="1:11">
      <c r="A28" s="40" t="s">
        <v>43</v>
      </c>
      <c r="B28" s="75"/>
      <c r="C28" s="189" t="s">
        <v>181</v>
      </c>
      <c r="D28" s="75"/>
      <c r="E28" s="75"/>
      <c r="F28" s="75"/>
      <c r="G28" s="75"/>
      <c r="H28" s="75"/>
      <c r="I28" s="75"/>
      <c r="J28" s="75"/>
      <c r="K28" s="75"/>
    </row>
    <row r="29" spans="1:11">
      <c r="A29" s="75"/>
      <c r="B29" s="75"/>
      <c r="C29" s="75"/>
      <c r="D29" s="75"/>
      <c r="E29" s="75"/>
      <c r="F29" s="75"/>
      <c r="G29" s="75"/>
      <c r="H29" s="75"/>
      <c r="I29" s="75"/>
      <c r="J29" s="75"/>
      <c r="K29" s="75"/>
    </row>
    <row r="30" spans="1:11" ht="14.4" customHeight="1">
      <c r="A30" s="92" t="s">
        <v>44</v>
      </c>
      <c r="B30" s="93" t="s">
        <v>45</v>
      </c>
      <c r="C30" s="94" t="s">
        <v>46</v>
      </c>
      <c r="D30" s="92" t="s">
        <v>47</v>
      </c>
      <c r="E30" s="92" t="s">
        <v>48</v>
      </c>
      <c r="F30" s="92" t="s">
        <v>49</v>
      </c>
      <c r="G30" s="92" t="s">
        <v>50</v>
      </c>
      <c r="H30" s="75"/>
      <c r="I30" s="75"/>
      <c r="J30" s="75"/>
      <c r="K30" s="75"/>
    </row>
    <row r="31" spans="1:11">
      <c r="A31" s="42" t="s">
        <v>116</v>
      </c>
      <c r="B31" s="41" t="s">
        <v>117</v>
      </c>
      <c r="C31" s="43" t="s">
        <v>53</v>
      </c>
      <c r="D31" s="44" t="s">
        <v>144</v>
      </c>
      <c r="E31" s="45">
        <v>6895609.0800000001</v>
      </c>
      <c r="F31" s="46">
        <v>-6895609.0800000001</v>
      </c>
      <c r="G31" s="45">
        <v>0</v>
      </c>
      <c r="H31" s="75"/>
      <c r="I31" s="75"/>
      <c r="J31" s="75"/>
      <c r="K31" s="75"/>
    </row>
    <row r="32" spans="1:11">
      <c r="A32" s="47"/>
      <c r="B32" s="41" t="s">
        <v>117</v>
      </c>
      <c r="C32" s="48"/>
      <c r="D32" s="44" t="s">
        <v>145</v>
      </c>
      <c r="E32" s="45">
        <v>0</v>
      </c>
      <c r="F32" s="46">
        <v>0</v>
      </c>
      <c r="G32" s="45">
        <v>0</v>
      </c>
      <c r="H32" s="75"/>
      <c r="I32" s="75"/>
      <c r="J32" s="75"/>
      <c r="K32" s="75"/>
    </row>
    <row r="33" spans="1:11">
      <c r="A33" s="47"/>
      <c r="B33" s="41" t="s">
        <v>117</v>
      </c>
      <c r="C33" s="49"/>
      <c r="D33" s="44" t="s">
        <v>146</v>
      </c>
      <c r="E33" s="45">
        <v>0</v>
      </c>
      <c r="F33" s="46">
        <v>0</v>
      </c>
      <c r="G33" s="45">
        <v>0</v>
      </c>
      <c r="H33" s="75"/>
      <c r="I33" s="75"/>
      <c r="J33" s="75"/>
      <c r="K33" s="75"/>
    </row>
    <row r="34" spans="1:11">
      <c r="A34" s="47"/>
      <c r="B34" s="84"/>
      <c r="C34" s="85"/>
      <c r="D34" s="84"/>
      <c r="E34" s="86"/>
      <c r="F34" s="87" t="s">
        <v>158</v>
      </c>
      <c r="G34" s="86"/>
      <c r="H34" s="75"/>
      <c r="I34" s="75"/>
      <c r="J34" s="75"/>
      <c r="K34" s="75"/>
    </row>
    <row r="35" spans="1:11" s="75" customFormat="1">
      <c r="A35" s="47"/>
      <c r="B35" s="41" t="s">
        <v>117</v>
      </c>
      <c r="C35" s="43" t="s">
        <v>54</v>
      </c>
      <c r="D35" s="44" t="s">
        <v>144</v>
      </c>
      <c r="E35" s="45">
        <v>5448683.5300000003</v>
      </c>
      <c r="F35" s="46">
        <v>-5448683.5300000003</v>
      </c>
      <c r="G35" s="45">
        <v>0</v>
      </c>
    </row>
    <row r="36" spans="1:11" s="75" customFormat="1">
      <c r="A36" s="47"/>
      <c r="B36" s="41" t="s">
        <v>117</v>
      </c>
      <c r="C36" s="48"/>
      <c r="D36" s="44" t="s">
        <v>145</v>
      </c>
      <c r="E36" s="45">
        <v>0</v>
      </c>
      <c r="F36" s="46">
        <v>0</v>
      </c>
      <c r="G36" s="45">
        <v>0</v>
      </c>
    </row>
    <row r="37" spans="1:11" s="75" customFormat="1">
      <c r="A37" s="47"/>
      <c r="B37" s="41" t="s">
        <v>117</v>
      </c>
      <c r="C37" s="49"/>
      <c r="D37" s="44" t="s">
        <v>146</v>
      </c>
      <c r="E37" s="45">
        <v>0</v>
      </c>
      <c r="F37" s="46">
        <v>0</v>
      </c>
      <c r="G37" s="45">
        <v>0</v>
      </c>
    </row>
    <row r="38" spans="1:11" s="75" customFormat="1">
      <c r="A38" s="50"/>
      <c r="B38" s="84"/>
      <c r="C38" s="85"/>
      <c r="D38" s="84"/>
      <c r="E38" s="86"/>
      <c r="F38" s="87" t="s">
        <v>159</v>
      </c>
      <c r="G38" s="86"/>
    </row>
    <row r="39" spans="1:11" s="75" customFormat="1">
      <c r="A39" s="88"/>
      <c r="B39" s="89"/>
      <c r="C39" s="88"/>
      <c r="D39" s="88"/>
      <c r="E39" s="90"/>
      <c r="F39" s="91" t="s">
        <v>160</v>
      </c>
      <c r="G39" s="90"/>
    </row>
    <row r="40" spans="1:11" s="75" customFormat="1">
      <c r="A40" s="42" t="s">
        <v>118</v>
      </c>
      <c r="B40" s="41" t="s">
        <v>119</v>
      </c>
      <c r="C40" s="43" t="s">
        <v>53</v>
      </c>
      <c r="D40" s="44" t="s">
        <v>144</v>
      </c>
      <c r="E40" s="45">
        <v>-2899668.99</v>
      </c>
      <c r="F40" s="46">
        <v>2899668.99</v>
      </c>
      <c r="G40" s="45">
        <v>0</v>
      </c>
    </row>
    <row r="41" spans="1:11" s="75" customFormat="1">
      <c r="A41" s="47"/>
      <c r="B41" s="41" t="s">
        <v>119</v>
      </c>
      <c r="C41" s="48"/>
      <c r="D41" s="44" t="s">
        <v>145</v>
      </c>
      <c r="E41" s="45">
        <v>0</v>
      </c>
      <c r="F41" s="46">
        <v>0</v>
      </c>
      <c r="G41" s="45">
        <v>0</v>
      </c>
    </row>
    <row r="42" spans="1:11" s="75" customFormat="1">
      <c r="A42" s="47"/>
      <c r="B42" s="41" t="s">
        <v>119</v>
      </c>
      <c r="C42" s="49"/>
      <c r="D42" s="44" t="s">
        <v>146</v>
      </c>
      <c r="E42" s="45">
        <v>0</v>
      </c>
      <c r="F42" s="46">
        <v>0</v>
      </c>
      <c r="G42" s="45">
        <v>0</v>
      </c>
    </row>
    <row r="43" spans="1:11" s="75" customFormat="1">
      <c r="A43" s="47"/>
      <c r="B43" s="84"/>
      <c r="C43" s="85"/>
      <c r="D43" s="84"/>
      <c r="E43" s="86"/>
      <c r="F43" s="87" t="s">
        <v>161</v>
      </c>
      <c r="G43" s="86"/>
    </row>
    <row r="44" spans="1:11" s="75" customFormat="1" ht="18" customHeight="1">
      <c r="A44" s="47"/>
      <c r="B44" s="41" t="s">
        <v>119</v>
      </c>
      <c r="C44" s="43" t="s">
        <v>54</v>
      </c>
      <c r="D44" s="44" t="s">
        <v>144</v>
      </c>
      <c r="E44" s="45">
        <v>1781572.83</v>
      </c>
      <c r="F44" s="46">
        <v>-1781572.83</v>
      </c>
      <c r="G44" s="45">
        <v>0</v>
      </c>
    </row>
    <row r="45" spans="1:11" s="75" customFormat="1">
      <c r="A45" s="47"/>
      <c r="B45" s="41" t="s">
        <v>119</v>
      </c>
      <c r="C45" s="48"/>
      <c r="D45" s="44" t="s">
        <v>145</v>
      </c>
      <c r="E45" s="45">
        <v>0</v>
      </c>
      <c r="F45" s="46">
        <v>0</v>
      </c>
      <c r="G45" s="45">
        <v>0</v>
      </c>
    </row>
    <row r="46" spans="1:11" s="75" customFormat="1" ht="18" customHeight="1">
      <c r="A46" s="47"/>
      <c r="B46" s="41" t="s">
        <v>119</v>
      </c>
      <c r="C46" s="49"/>
      <c r="D46" s="44" t="s">
        <v>146</v>
      </c>
      <c r="E46" s="45">
        <v>0</v>
      </c>
      <c r="F46" s="46">
        <v>0</v>
      </c>
      <c r="G46" s="45">
        <v>0</v>
      </c>
    </row>
    <row r="47" spans="1:11" s="75" customFormat="1" ht="18" customHeight="1">
      <c r="A47" s="50"/>
      <c r="B47" s="84"/>
      <c r="C47" s="85"/>
      <c r="D47" s="84"/>
      <c r="E47" s="86"/>
      <c r="F47" s="87" t="s">
        <v>162</v>
      </c>
      <c r="G47" s="86"/>
    </row>
    <row r="48" spans="1:11" s="75" customFormat="1" ht="18" customHeight="1">
      <c r="A48" s="88"/>
      <c r="B48" s="89"/>
      <c r="C48" s="88"/>
      <c r="D48" s="88"/>
      <c r="E48" s="90"/>
      <c r="F48" s="91" t="s">
        <v>163</v>
      </c>
      <c r="G48" s="90"/>
    </row>
    <row r="49" spans="1:11" s="75" customFormat="1"/>
    <row r="50" spans="1:11" s="75" customFormat="1">
      <c r="A50" s="75" t="s">
        <v>143</v>
      </c>
      <c r="J50" s="169"/>
      <c r="K50" s="178"/>
    </row>
    <row r="51" spans="1:11" s="75" customFormat="1">
      <c r="A51" s="40" t="s">
        <v>43</v>
      </c>
      <c r="C51" s="189" t="s">
        <v>187</v>
      </c>
    </row>
    <row r="52" spans="1:11" s="75" customFormat="1">
      <c r="C52" s="190" t="s">
        <v>188</v>
      </c>
    </row>
    <row r="53" spans="1:11" s="75" customFormat="1" ht="26.4">
      <c r="A53" s="182" t="s">
        <v>44</v>
      </c>
      <c r="B53" s="183" t="s">
        <v>45</v>
      </c>
      <c r="C53" s="184" t="s">
        <v>46</v>
      </c>
      <c r="D53" s="185" t="s">
        <v>47</v>
      </c>
      <c r="E53" s="186" t="s">
        <v>48</v>
      </c>
      <c r="F53" s="185" t="s">
        <v>49</v>
      </c>
      <c r="G53" s="185" t="s">
        <v>50</v>
      </c>
    </row>
    <row r="54" spans="1:11" s="75" customFormat="1">
      <c r="A54" s="42" t="s">
        <v>57</v>
      </c>
      <c r="B54" s="41" t="s">
        <v>58</v>
      </c>
      <c r="C54" s="43" t="s">
        <v>53</v>
      </c>
      <c r="D54" s="44" t="s">
        <v>144</v>
      </c>
      <c r="E54" s="45">
        <v>0</v>
      </c>
      <c r="F54" s="46">
        <v>6937368.4299999997</v>
      </c>
      <c r="G54" s="45">
        <v>6937368.4299999997</v>
      </c>
    </row>
    <row r="55" spans="1:11" s="75" customFormat="1">
      <c r="A55" s="47"/>
      <c r="B55" s="41" t="s">
        <v>58</v>
      </c>
      <c r="C55" s="48"/>
      <c r="D55" s="44" t="s">
        <v>145</v>
      </c>
      <c r="E55" s="45">
        <v>6937368.4299999997</v>
      </c>
      <c r="F55" s="46">
        <v>-451498.8</v>
      </c>
      <c r="G55" s="45">
        <v>6485869.6299999999</v>
      </c>
    </row>
    <row r="56" spans="1:11" s="75" customFormat="1">
      <c r="A56" s="47"/>
      <c r="B56" s="41" t="s">
        <v>58</v>
      </c>
      <c r="C56" s="49"/>
      <c r="D56" s="44" t="s">
        <v>146</v>
      </c>
      <c r="E56" s="45">
        <v>6485869.6299999999</v>
      </c>
      <c r="F56" s="46">
        <v>-692063.77</v>
      </c>
      <c r="G56" s="45">
        <v>5793805.8600000003</v>
      </c>
    </row>
    <row r="57" spans="1:11">
      <c r="A57" s="47"/>
      <c r="B57" s="84"/>
      <c r="C57" s="84"/>
      <c r="D57" s="84"/>
      <c r="E57" s="86"/>
      <c r="F57" s="87" t="s">
        <v>153</v>
      </c>
      <c r="G57" s="86"/>
      <c r="H57" s="75"/>
      <c r="I57" s="75"/>
      <c r="J57" s="75"/>
      <c r="K57" s="75"/>
    </row>
    <row r="58" spans="1:11">
      <c r="A58" s="47"/>
      <c r="B58" s="41" t="s">
        <v>58</v>
      </c>
      <c r="C58" s="43" t="s">
        <v>54</v>
      </c>
      <c r="D58" s="44" t="s">
        <v>144</v>
      </c>
      <c r="E58" s="45">
        <v>5785.61</v>
      </c>
      <c r="F58" s="46">
        <v>5464592.3899999997</v>
      </c>
      <c r="G58" s="45">
        <v>5470378</v>
      </c>
      <c r="H58" s="75"/>
      <c r="I58" s="75"/>
      <c r="J58" s="75"/>
      <c r="K58" s="75"/>
    </row>
    <row r="59" spans="1:11">
      <c r="A59" s="47"/>
      <c r="B59" s="41" t="s">
        <v>58</v>
      </c>
      <c r="C59" s="48"/>
      <c r="D59" s="44" t="s">
        <v>145</v>
      </c>
      <c r="E59" s="45">
        <v>5470378</v>
      </c>
      <c r="F59" s="46">
        <v>-291801.72000000003</v>
      </c>
      <c r="G59" s="45">
        <v>5178576.28</v>
      </c>
      <c r="H59" s="75"/>
      <c r="I59" s="75"/>
      <c r="J59" s="75"/>
      <c r="K59" s="75"/>
    </row>
    <row r="60" spans="1:11">
      <c r="A60" s="47"/>
      <c r="B60" s="41" t="s">
        <v>58</v>
      </c>
      <c r="C60" s="49"/>
      <c r="D60" s="44" t="s">
        <v>146</v>
      </c>
      <c r="E60" s="45">
        <v>5178576.28</v>
      </c>
      <c r="F60" s="46">
        <v>-661127.05000000005</v>
      </c>
      <c r="G60" s="45">
        <v>4517449.2300000004</v>
      </c>
      <c r="H60" s="75"/>
      <c r="I60" s="75"/>
      <c r="J60" s="75"/>
      <c r="K60" s="75"/>
    </row>
    <row r="61" spans="1:11">
      <c r="A61" s="50"/>
      <c r="B61" s="84"/>
      <c r="C61" s="84"/>
      <c r="D61" s="84"/>
      <c r="E61" s="86"/>
      <c r="F61" s="87" t="s">
        <v>154</v>
      </c>
      <c r="G61" s="86"/>
      <c r="H61" s="75"/>
      <c r="I61" s="75"/>
      <c r="J61" s="75"/>
      <c r="K61" s="75"/>
    </row>
    <row r="62" spans="1:11">
      <c r="A62" s="88"/>
      <c r="B62" s="88"/>
      <c r="C62" s="88"/>
      <c r="D62" s="88"/>
      <c r="E62" s="90"/>
      <c r="F62" s="91" t="s">
        <v>155</v>
      </c>
      <c r="G62" s="90"/>
      <c r="H62" s="75"/>
      <c r="I62" s="75"/>
      <c r="J62" s="75"/>
      <c r="K62" s="75"/>
    </row>
    <row r="63" spans="1:11" s="35" customFormat="1">
      <c r="A63" s="42" t="s">
        <v>156</v>
      </c>
      <c r="B63" s="41" t="s">
        <v>119</v>
      </c>
      <c r="C63" s="43" t="s">
        <v>54</v>
      </c>
      <c r="D63" s="44" t="s">
        <v>144</v>
      </c>
      <c r="E63" s="45">
        <v>0</v>
      </c>
      <c r="F63" s="46">
        <v>1786769.08</v>
      </c>
      <c r="G63" s="45">
        <v>1786769.08</v>
      </c>
      <c r="H63" s="75"/>
      <c r="I63" s="75"/>
      <c r="J63" s="75"/>
      <c r="K63" s="75"/>
    </row>
    <row r="64" spans="1:11" s="35" customFormat="1">
      <c r="A64" s="47"/>
      <c r="B64" s="41" t="s">
        <v>119</v>
      </c>
      <c r="C64" s="48"/>
      <c r="D64" s="44" t="s">
        <v>145</v>
      </c>
      <c r="E64" s="45">
        <v>1786769.08</v>
      </c>
      <c r="F64" s="46">
        <v>-93958.61</v>
      </c>
      <c r="G64" s="45">
        <v>1692810.47</v>
      </c>
      <c r="H64" s="75"/>
      <c r="I64" s="75"/>
      <c r="J64" s="75"/>
      <c r="K64" s="75"/>
    </row>
    <row r="65" spans="1:13">
      <c r="A65" s="47"/>
      <c r="B65" s="41" t="s">
        <v>119</v>
      </c>
      <c r="C65" s="49"/>
      <c r="D65" s="44" t="s">
        <v>146</v>
      </c>
      <c r="E65" s="45">
        <v>1692810.47</v>
      </c>
      <c r="F65" s="46">
        <v>-169565.95</v>
      </c>
      <c r="G65" s="45">
        <v>1523244.52</v>
      </c>
      <c r="H65" s="75"/>
      <c r="I65" s="75"/>
      <c r="J65" s="75"/>
      <c r="K65" s="75"/>
    </row>
    <row r="66" spans="1:13">
      <c r="A66" s="50"/>
      <c r="B66" s="84"/>
      <c r="C66" s="84"/>
      <c r="D66" s="84"/>
      <c r="E66" s="86"/>
      <c r="F66" s="87" t="s">
        <v>157</v>
      </c>
      <c r="G66" s="86"/>
      <c r="H66" s="75"/>
      <c r="I66" s="75"/>
      <c r="J66" s="75"/>
      <c r="K66" s="75"/>
      <c r="L66" s="23"/>
      <c r="M66" s="23"/>
    </row>
    <row r="67" spans="1:13">
      <c r="A67" s="88"/>
      <c r="B67" s="88"/>
      <c r="C67" s="88"/>
      <c r="D67" s="88"/>
      <c r="E67" s="90"/>
      <c r="F67" s="91" t="s">
        <v>157</v>
      </c>
      <c r="G67" s="90"/>
      <c r="H67" s="75"/>
      <c r="I67" s="75"/>
      <c r="J67" s="75"/>
      <c r="K67" s="75"/>
      <c r="L67" s="23"/>
      <c r="M67" s="23"/>
    </row>
    <row r="68" spans="1:13">
      <c r="A68" s="40" t="s">
        <v>43</v>
      </c>
      <c r="B68" s="39"/>
      <c r="C68" s="51" t="s">
        <v>189</v>
      </c>
      <c r="D68" s="39"/>
      <c r="E68" s="39"/>
      <c r="F68" s="39"/>
      <c r="G68" s="39"/>
      <c r="H68" s="75"/>
      <c r="I68" s="75"/>
      <c r="J68" s="75"/>
      <c r="K68" s="75"/>
      <c r="L68" s="23"/>
      <c r="M68" s="23"/>
    </row>
    <row r="69" spans="1:13" ht="26.4">
      <c r="A69" s="182" t="s">
        <v>44</v>
      </c>
      <c r="B69" s="183" t="s">
        <v>45</v>
      </c>
      <c r="C69" s="184" t="s">
        <v>46</v>
      </c>
      <c r="D69" s="185" t="s">
        <v>47</v>
      </c>
      <c r="E69" s="186" t="s">
        <v>48</v>
      </c>
      <c r="F69" s="185" t="s">
        <v>49</v>
      </c>
      <c r="G69" s="185" t="s">
        <v>50</v>
      </c>
      <c r="H69" s="75"/>
      <c r="I69" s="75"/>
      <c r="J69" s="75"/>
      <c r="K69" s="75"/>
    </row>
    <row r="70" spans="1:13">
      <c r="A70" s="42" t="s">
        <v>184</v>
      </c>
      <c r="B70" s="41" t="s">
        <v>185</v>
      </c>
      <c r="C70" s="43" t="s">
        <v>53</v>
      </c>
      <c r="D70" s="44" t="s">
        <v>144</v>
      </c>
      <c r="E70" s="45">
        <v>0</v>
      </c>
      <c r="F70" s="46">
        <v>-2886111.92</v>
      </c>
      <c r="G70" s="45">
        <v>-2886111.92</v>
      </c>
      <c r="H70" s="75"/>
      <c r="I70" s="75"/>
      <c r="J70" s="75"/>
      <c r="K70" s="75"/>
    </row>
    <row r="71" spans="1:13" ht="15.6">
      <c r="A71" s="47"/>
      <c r="B71" s="41" t="s">
        <v>185</v>
      </c>
      <c r="C71" s="48"/>
      <c r="D71" s="44" t="s">
        <v>145</v>
      </c>
      <c r="E71" s="45">
        <v>-2886111.92</v>
      </c>
      <c r="F71" s="46">
        <v>228147.72</v>
      </c>
      <c r="G71" s="45">
        <v>-2657964.2000000002</v>
      </c>
      <c r="H71" s="187"/>
      <c r="I71" s="75"/>
      <c r="J71" s="75"/>
      <c r="K71" s="75"/>
    </row>
    <row r="72" spans="1:13" s="35" customFormat="1" ht="15.6">
      <c r="A72" s="47"/>
      <c r="B72" s="41" t="s">
        <v>185</v>
      </c>
      <c r="C72" s="49"/>
      <c r="D72" s="44" t="s">
        <v>146</v>
      </c>
      <c r="E72" s="45">
        <v>-2657964.2000000002</v>
      </c>
      <c r="F72" s="46">
        <v>253048.6</v>
      </c>
      <c r="G72" s="45">
        <v>-2404915.6</v>
      </c>
      <c r="H72" s="187"/>
      <c r="I72" s="75"/>
      <c r="J72" s="75"/>
      <c r="K72" s="75"/>
    </row>
    <row r="73" spans="1:13">
      <c r="A73" s="50"/>
      <c r="B73" s="84"/>
      <c r="C73" s="84"/>
      <c r="D73" s="84"/>
      <c r="E73" s="86"/>
      <c r="F73" s="87" t="s">
        <v>186</v>
      </c>
      <c r="G73" s="86"/>
      <c r="H73" s="75"/>
      <c r="I73" s="75"/>
      <c r="J73" s="75"/>
      <c r="K73" s="75"/>
    </row>
    <row r="74" spans="1:13">
      <c r="A74" s="75"/>
      <c r="B74" s="75"/>
      <c r="C74" s="75"/>
      <c r="D74" s="75"/>
      <c r="E74" s="75"/>
      <c r="F74" s="75"/>
      <c r="G74" s="75"/>
      <c r="H74" s="75"/>
      <c r="I74" s="75"/>
      <c r="J74" s="75"/>
      <c r="K74" s="75"/>
    </row>
    <row r="75" spans="1:13">
      <c r="A75" s="75"/>
      <c r="B75" s="75"/>
      <c r="C75" s="75"/>
      <c r="D75" s="75"/>
      <c r="E75" s="75"/>
      <c r="F75" s="75"/>
      <c r="G75" s="75"/>
      <c r="H75" s="75"/>
      <c r="I75" s="75"/>
      <c r="J75" s="75"/>
      <c r="K75" s="75"/>
    </row>
    <row r="76" spans="1:13">
      <c r="A76" s="75" t="s">
        <v>143</v>
      </c>
      <c r="B76" s="75"/>
      <c r="C76" s="75"/>
      <c r="D76" s="75"/>
      <c r="E76" s="75"/>
      <c r="F76" s="75"/>
      <c r="G76" s="75"/>
      <c r="H76" s="75"/>
      <c r="I76" s="75"/>
      <c r="J76" s="75"/>
      <c r="K76" s="75"/>
    </row>
    <row r="77" spans="1:13">
      <c r="A77" s="75"/>
      <c r="B77" s="75"/>
      <c r="C77" s="75"/>
      <c r="D77" s="75"/>
      <c r="E77" s="75"/>
      <c r="F77" s="75"/>
      <c r="G77" s="75"/>
      <c r="H77" s="75"/>
      <c r="I77" s="75"/>
      <c r="J77" s="75"/>
      <c r="K77" s="75"/>
    </row>
    <row r="78" spans="1:13">
      <c r="A78" s="40" t="s">
        <v>43</v>
      </c>
      <c r="B78" s="39"/>
      <c r="C78" s="189" t="s">
        <v>182</v>
      </c>
      <c r="D78" s="39"/>
      <c r="E78" s="39"/>
      <c r="F78" s="39"/>
      <c r="G78" s="39"/>
      <c r="H78" s="75"/>
      <c r="I78" s="75"/>
      <c r="J78" s="75"/>
      <c r="K78" s="75"/>
    </row>
    <row r="79" spans="1:13">
      <c r="A79" s="39"/>
      <c r="B79" s="39"/>
      <c r="C79" s="39"/>
      <c r="D79" s="39"/>
      <c r="E79" s="39"/>
      <c r="F79" s="39"/>
      <c r="G79" s="39"/>
      <c r="H79" s="75"/>
      <c r="I79" s="75"/>
      <c r="J79" s="75"/>
      <c r="K79" s="75"/>
    </row>
    <row r="80" spans="1:13" s="75" customFormat="1" ht="27">
      <c r="A80" s="92" t="s">
        <v>44</v>
      </c>
      <c r="B80" s="93" t="s">
        <v>45</v>
      </c>
      <c r="C80" s="94" t="s">
        <v>46</v>
      </c>
      <c r="D80" s="92" t="s">
        <v>47</v>
      </c>
      <c r="E80" s="92" t="s">
        <v>48</v>
      </c>
      <c r="F80" s="92" t="s">
        <v>49</v>
      </c>
      <c r="G80" s="92" t="s">
        <v>50</v>
      </c>
      <c r="J80" s="22" t="s">
        <v>63</v>
      </c>
    </row>
    <row r="81" spans="1:11">
      <c r="A81" s="42" t="s">
        <v>59</v>
      </c>
      <c r="B81" s="41" t="s">
        <v>60</v>
      </c>
      <c r="C81" s="43" t="s">
        <v>53</v>
      </c>
      <c r="D81" s="44" t="s">
        <v>144</v>
      </c>
      <c r="E81" s="45">
        <v>-4564189.63</v>
      </c>
      <c r="F81" s="46">
        <v>-1803886.4</v>
      </c>
      <c r="G81" s="45">
        <v>-6368076.0300000003</v>
      </c>
      <c r="H81" s="75"/>
      <c r="I81" s="75"/>
      <c r="J81" s="31">
        <f>(G7+G16+G54+G168)*-0.35</f>
        <v>-6368076.0989999995</v>
      </c>
      <c r="K81" s="23">
        <f>G81-J81</f>
        <v>6.8999999202787876E-2</v>
      </c>
    </row>
    <row r="82" spans="1:11">
      <c r="A82" s="47"/>
      <c r="B82" s="41" t="s">
        <v>60</v>
      </c>
      <c r="C82" s="48"/>
      <c r="D82" s="44" t="s">
        <v>145</v>
      </c>
      <c r="E82" s="45">
        <v>-6368076.0300000003</v>
      </c>
      <c r="F82" s="46">
        <v>275475.90000000002</v>
      </c>
      <c r="G82" s="45">
        <v>-6092600.1299999999</v>
      </c>
      <c r="H82" s="75"/>
      <c r="I82" s="75"/>
      <c r="J82" s="31">
        <f>(G8+G17+G55+G71+G169)*-0.35</f>
        <v>-6092600.2094999989</v>
      </c>
      <c r="K82" s="23">
        <f>G82-J82</f>
        <v>7.9499999061226845E-2</v>
      </c>
    </row>
    <row r="83" spans="1:11">
      <c r="A83" s="47"/>
      <c r="B83" s="41" t="s">
        <v>60</v>
      </c>
      <c r="C83" s="49"/>
      <c r="D83" s="44" t="s">
        <v>146</v>
      </c>
      <c r="E83" s="45">
        <v>-6092600.1299999999</v>
      </c>
      <c r="F83" s="46">
        <v>616894.82999999996</v>
      </c>
      <c r="G83" s="45">
        <v>-5475705.2999999998</v>
      </c>
      <c r="H83" s="75"/>
      <c r="I83" s="75"/>
      <c r="J83" s="31">
        <f>(G9+G18+G56+G72+G170)*-0.35</f>
        <v>-5475705.3854999999</v>
      </c>
      <c r="K83" s="23">
        <f>G83-J83</f>
        <v>8.5500000044703484E-2</v>
      </c>
    </row>
    <row r="84" spans="1:11" s="75" customFormat="1">
      <c r="A84" s="47"/>
      <c r="B84" s="84"/>
      <c r="C84" s="85"/>
      <c r="D84" s="84"/>
      <c r="E84" s="86"/>
      <c r="F84" s="87" t="s">
        <v>164</v>
      </c>
      <c r="G84" s="86"/>
    </row>
    <row r="85" spans="1:11">
      <c r="A85" s="47"/>
      <c r="B85" s="41" t="s">
        <v>60</v>
      </c>
      <c r="C85" s="43" t="s">
        <v>54</v>
      </c>
      <c r="D85" s="44" t="s">
        <v>144</v>
      </c>
      <c r="E85" s="45">
        <v>-4756931.1399999997</v>
      </c>
      <c r="F85" s="46">
        <v>518626.62</v>
      </c>
      <c r="G85" s="45">
        <v>-4238304.5199999996</v>
      </c>
      <c r="H85" s="75"/>
      <c r="I85" s="75"/>
      <c r="J85" s="31">
        <f>(G11+G20+G58+G172)*-0.35</f>
        <v>-4238225.25</v>
      </c>
      <c r="K85" s="23">
        <f>G85-J85</f>
        <v>-79.269999999552965</v>
      </c>
    </row>
    <row r="86" spans="1:11">
      <c r="A86" s="47"/>
      <c r="B86" s="41" t="s">
        <v>60</v>
      </c>
      <c r="C86" s="48"/>
      <c r="D86" s="44" t="s">
        <v>145</v>
      </c>
      <c r="E86" s="45">
        <v>-4238304.5199999996</v>
      </c>
      <c r="F86" s="46">
        <v>-742752.62</v>
      </c>
      <c r="G86" s="45">
        <v>-4981057.1399999997</v>
      </c>
      <c r="H86" s="75"/>
      <c r="I86" s="75"/>
      <c r="J86" s="31">
        <f>(G12+G21+G59+G64+G173)*-0.35</f>
        <v>-4980977.8620000007</v>
      </c>
      <c r="K86" s="23">
        <f>G86-J86</f>
        <v>-79.277999999001622</v>
      </c>
    </row>
    <row r="87" spans="1:11">
      <c r="A87" s="47"/>
      <c r="B87" s="41" t="s">
        <v>60</v>
      </c>
      <c r="C87" s="49"/>
      <c r="D87" s="44" t="s">
        <v>146</v>
      </c>
      <c r="E87" s="45">
        <v>-4981057.1399999997</v>
      </c>
      <c r="F87" s="46">
        <v>-186002.23</v>
      </c>
      <c r="G87" s="45">
        <v>-5167059.37</v>
      </c>
      <c r="H87" s="75"/>
      <c r="I87" s="75"/>
      <c r="J87" s="31">
        <f>(G13+G22+G60+G65+G174)*-0.35</f>
        <v>-5167059.0894999998</v>
      </c>
      <c r="K87" s="23">
        <f>G87-J87</f>
        <v>-0.28050000034272671</v>
      </c>
    </row>
    <row r="88" spans="1:11" s="75" customFormat="1">
      <c r="A88" s="50"/>
      <c r="B88" s="84"/>
      <c r="C88" s="85"/>
      <c r="D88" s="84"/>
      <c r="E88" s="86"/>
      <c r="F88" s="87" t="s">
        <v>165</v>
      </c>
      <c r="G88" s="86"/>
    </row>
    <row r="89" spans="1:11">
      <c r="A89" s="88"/>
      <c r="B89" s="89"/>
      <c r="C89" s="88"/>
      <c r="D89" s="88"/>
      <c r="E89" s="90"/>
      <c r="F89" s="91" t="s">
        <v>166</v>
      </c>
      <c r="G89" s="90"/>
      <c r="H89" s="75"/>
      <c r="I89" s="75"/>
      <c r="J89" s="75"/>
      <c r="K89" s="75"/>
    </row>
    <row r="90" spans="1:11" s="75" customFormat="1">
      <c r="A90" s="178"/>
      <c r="B90" s="181"/>
      <c r="C90" s="178"/>
      <c r="D90" s="178"/>
      <c r="E90" s="179"/>
      <c r="F90" s="180"/>
      <c r="G90" s="179"/>
    </row>
    <row r="91" spans="1:11" s="75" customFormat="1">
      <c r="A91" s="178"/>
      <c r="B91" s="181"/>
      <c r="C91" s="178"/>
      <c r="D91" s="178"/>
      <c r="E91" s="179"/>
      <c r="F91" s="180"/>
      <c r="G91" s="179"/>
    </row>
    <row r="92" spans="1:11" s="75" customFormat="1" ht="15.6">
      <c r="A92" s="193" t="s">
        <v>61</v>
      </c>
      <c r="B92" s="193"/>
      <c r="C92" s="193"/>
      <c r="D92" s="193"/>
      <c r="E92" s="193"/>
      <c r="F92" s="193"/>
      <c r="G92" s="193"/>
    </row>
    <row r="93" spans="1:11" s="75" customFormat="1" ht="15.6">
      <c r="A93" s="187"/>
      <c r="B93" s="187"/>
      <c r="C93" s="187"/>
      <c r="D93" s="187"/>
      <c r="E93" s="187"/>
      <c r="F93" s="187"/>
      <c r="G93" s="187"/>
    </row>
    <row r="94" spans="1:11" s="75" customFormat="1">
      <c r="A94" s="75" t="s">
        <v>143</v>
      </c>
      <c r="B94" s="39"/>
      <c r="C94" s="39"/>
      <c r="D94" s="39"/>
      <c r="E94" s="39"/>
      <c r="F94" s="39"/>
      <c r="G94" s="39"/>
    </row>
    <row r="95" spans="1:11" s="75" customFormat="1">
      <c r="A95" s="39"/>
      <c r="B95" s="39"/>
      <c r="C95" s="39"/>
      <c r="D95" s="39"/>
      <c r="E95" s="39"/>
      <c r="F95" s="39"/>
      <c r="G95" s="39"/>
    </row>
    <row r="96" spans="1:11" s="75" customFormat="1">
      <c r="A96" s="40" t="s">
        <v>43</v>
      </c>
      <c r="B96" s="39"/>
      <c r="C96" s="18" t="s">
        <v>180</v>
      </c>
      <c r="D96" s="39"/>
      <c r="E96" s="39"/>
      <c r="F96" s="39"/>
      <c r="G96" s="39"/>
    </row>
    <row r="97" spans="1:11" s="75" customFormat="1">
      <c r="A97" s="39"/>
      <c r="B97" s="39"/>
      <c r="C97" s="39"/>
      <c r="D97" s="39"/>
      <c r="E97" s="39"/>
      <c r="F97" s="39"/>
      <c r="G97" s="39"/>
    </row>
    <row r="98" spans="1:11" s="75" customFormat="1" ht="27">
      <c r="A98" s="92" t="s">
        <v>44</v>
      </c>
      <c r="B98" s="93" t="s">
        <v>45</v>
      </c>
      <c r="C98" s="94" t="s">
        <v>46</v>
      </c>
      <c r="D98" s="92" t="s">
        <v>47</v>
      </c>
      <c r="E98" s="92" t="s">
        <v>48</v>
      </c>
      <c r="F98" s="92" t="s">
        <v>49</v>
      </c>
      <c r="G98" s="92" t="s">
        <v>50</v>
      </c>
    </row>
    <row r="99" spans="1:11" s="75" customFormat="1">
      <c r="A99" s="42" t="s">
        <v>66</v>
      </c>
      <c r="B99" s="41" t="s">
        <v>67</v>
      </c>
      <c r="C99" s="43" t="s">
        <v>53</v>
      </c>
      <c r="D99" s="44" t="s">
        <v>144</v>
      </c>
      <c r="E99" s="45">
        <v>-6994790.4299999997</v>
      </c>
      <c r="F99" s="46">
        <v>-1843263.13</v>
      </c>
      <c r="G99" s="45">
        <v>-8838053.5600000005</v>
      </c>
      <c r="I99" s="51"/>
    </row>
    <row r="100" spans="1:11" s="75" customFormat="1">
      <c r="A100" s="47"/>
      <c r="B100" s="41" t="s">
        <v>67</v>
      </c>
      <c r="C100" s="48"/>
      <c r="D100" s="44" t="s">
        <v>145</v>
      </c>
      <c r="E100" s="45">
        <v>-8838053.5600000005</v>
      </c>
      <c r="F100" s="46">
        <v>-1757235.25</v>
      </c>
      <c r="G100" s="45">
        <v>-10595288.810000001</v>
      </c>
    </row>
    <row r="101" spans="1:11" s="75" customFormat="1">
      <c r="A101" s="47"/>
      <c r="B101" s="41" t="s">
        <v>67</v>
      </c>
      <c r="C101" s="49"/>
      <c r="D101" s="44" t="s">
        <v>146</v>
      </c>
      <c r="E101" s="45">
        <v>-10595288.810000001</v>
      </c>
      <c r="F101" s="46">
        <v>509348.01</v>
      </c>
      <c r="G101" s="45">
        <v>-10085940.800000001</v>
      </c>
    </row>
    <row r="102" spans="1:11" s="75" customFormat="1">
      <c r="A102" s="50"/>
      <c r="B102" s="88"/>
      <c r="C102" s="95"/>
      <c r="D102" s="88"/>
      <c r="E102" s="90"/>
      <c r="F102" s="91" t="s">
        <v>167</v>
      </c>
      <c r="G102" s="90"/>
    </row>
    <row r="103" spans="1:11">
      <c r="A103" s="42" t="s">
        <v>68</v>
      </c>
      <c r="B103" s="41" t="s">
        <v>69</v>
      </c>
      <c r="C103" s="43" t="s">
        <v>53</v>
      </c>
      <c r="D103" s="44" t="s">
        <v>144</v>
      </c>
      <c r="E103" s="45">
        <v>-1905705.8599999999</v>
      </c>
      <c r="F103" s="46">
        <v>-339706.10000000003</v>
      </c>
      <c r="G103" s="45">
        <v>-2245411.96</v>
      </c>
      <c r="H103" s="75"/>
      <c r="I103" s="75"/>
      <c r="J103" s="75"/>
      <c r="K103" s="75"/>
    </row>
    <row r="104" spans="1:11">
      <c r="A104" s="47"/>
      <c r="B104" s="41" t="s">
        <v>69</v>
      </c>
      <c r="C104" s="48"/>
      <c r="D104" s="44" t="s">
        <v>145</v>
      </c>
      <c r="E104" s="45">
        <v>-2245411.96</v>
      </c>
      <c r="F104" s="46">
        <v>-528986.39</v>
      </c>
      <c r="G104" s="45">
        <v>-2774398.35</v>
      </c>
      <c r="H104" s="75"/>
      <c r="I104" s="75"/>
      <c r="J104" s="75"/>
      <c r="K104" s="75"/>
    </row>
    <row r="105" spans="1:11" s="75" customFormat="1">
      <c r="A105" s="47"/>
      <c r="B105" s="41" t="s">
        <v>69</v>
      </c>
      <c r="C105" s="49"/>
      <c r="D105" s="44" t="s">
        <v>146</v>
      </c>
      <c r="E105" s="45">
        <v>-2774398.35</v>
      </c>
      <c r="F105" s="46">
        <v>851815.38</v>
      </c>
      <c r="G105" s="45">
        <v>-1922582.97</v>
      </c>
    </row>
    <row r="106" spans="1:11">
      <c r="A106" s="50"/>
      <c r="B106" s="88"/>
      <c r="C106" s="95"/>
      <c r="D106" s="88"/>
      <c r="E106" s="90"/>
      <c r="F106" s="91" t="s">
        <v>168</v>
      </c>
      <c r="G106" s="90"/>
      <c r="H106" s="75"/>
      <c r="I106" s="75"/>
      <c r="J106" s="75"/>
      <c r="K106" s="75"/>
    </row>
    <row r="107" spans="1:11">
      <c r="A107" s="42" t="s">
        <v>70</v>
      </c>
      <c r="B107" s="41" t="s">
        <v>67</v>
      </c>
      <c r="C107" s="43" t="s">
        <v>54</v>
      </c>
      <c r="D107" s="44" t="s">
        <v>144</v>
      </c>
      <c r="E107" s="45">
        <v>-5018908.37</v>
      </c>
      <c r="F107" s="46">
        <v>-896301.95000000007</v>
      </c>
      <c r="G107" s="45">
        <v>-5915210.3200000003</v>
      </c>
      <c r="H107" s="75"/>
      <c r="I107" s="75"/>
      <c r="J107" s="75"/>
      <c r="K107" s="75"/>
    </row>
    <row r="108" spans="1:11">
      <c r="A108" s="47"/>
      <c r="B108" s="41" t="s">
        <v>67</v>
      </c>
      <c r="C108" s="48"/>
      <c r="D108" s="44" t="s">
        <v>145</v>
      </c>
      <c r="E108" s="45">
        <v>-5915210.3200000003</v>
      </c>
      <c r="F108" s="46">
        <v>-1722739.3</v>
      </c>
      <c r="G108" s="45">
        <v>-7637949.6200000001</v>
      </c>
      <c r="H108" s="75"/>
      <c r="I108" s="75"/>
      <c r="J108" s="75"/>
      <c r="K108" s="75"/>
    </row>
    <row r="109" spans="1:11">
      <c r="A109" s="47"/>
      <c r="B109" s="41" t="s">
        <v>67</v>
      </c>
      <c r="C109" s="49"/>
      <c r="D109" s="44" t="s">
        <v>146</v>
      </c>
      <c r="E109" s="45">
        <v>-7637949.6200000001</v>
      </c>
      <c r="F109" s="46">
        <v>631337.51</v>
      </c>
      <c r="G109" s="45">
        <v>-7006612.1100000003</v>
      </c>
      <c r="H109" s="75"/>
      <c r="I109" s="75"/>
      <c r="J109" s="75"/>
      <c r="K109" s="75"/>
    </row>
    <row r="110" spans="1:11">
      <c r="A110" s="50"/>
      <c r="B110" s="88"/>
      <c r="C110" s="95"/>
      <c r="D110" s="88"/>
      <c r="E110" s="90"/>
      <c r="F110" s="91" t="s">
        <v>169</v>
      </c>
      <c r="G110" s="90"/>
      <c r="H110" s="75"/>
      <c r="I110" s="75"/>
      <c r="J110" s="75"/>
      <c r="K110" s="75"/>
    </row>
    <row r="111" spans="1:11">
      <c r="A111" s="42" t="s">
        <v>71</v>
      </c>
      <c r="B111" s="41" t="s">
        <v>69</v>
      </c>
      <c r="C111" s="43" t="s">
        <v>54</v>
      </c>
      <c r="D111" s="44" t="s">
        <v>144</v>
      </c>
      <c r="E111" s="45">
        <v>-1420595.31</v>
      </c>
      <c r="F111" s="46">
        <v>-154682.93</v>
      </c>
      <c r="G111" s="45">
        <v>-1575278.24</v>
      </c>
      <c r="H111" s="75"/>
      <c r="I111" s="75"/>
      <c r="J111" s="75"/>
      <c r="K111" s="75"/>
    </row>
    <row r="112" spans="1:11">
      <c r="A112" s="47"/>
      <c r="B112" s="41" t="s">
        <v>69</v>
      </c>
      <c r="C112" s="48"/>
      <c r="D112" s="44" t="s">
        <v>145</v>
      </c>
      <c r="E112" s="45">
        <v>-1575278.24</v>
      </c>
      <c r="F112" s="46">
        <v>-443012.25</v>
      </c>
      <c r="G112" s="45">
        <v>-2018290.49</v>
      </c>
      <c r="H112" s="75"/>
      <c r="I112" s="75"/>
      <c r="J112" s="75"/>
      <c r="K112" s="75"/>
    </row>
    <row r="113" spans="1:11">
      <c r="A113" s="47"/>
      <c r="B113" s="41" t="s">
        <v>69</v>
      </c>
      <c r="C113" s="49"/>
      <c r="D113" s="44" t="s">
        <v>146</v>
      </c>
      <c r="E113" s="45">
        <v>-2018290.49</v>
      </c>
      <c r="F113" s="46">
        <v>54410.25</v>
      </c>
      <c r="G113" s="45">
        <v>-1963880.24</v>
      </c>
      <c r="H113" s="75"/>
      <c r="I113" s="75"/>
      <c r="J113" s="75"/>
      <c r="K113" s="75"/>
    </row>
    <row r="114" spans="1:11">
      <c r="A114" s="50"/>
      <c r="B114" s="88"/>
      <c r="C114" s="95"/>
      <c r="D114" s="88"/>
      <c r="E114" s="90"/>
      <c r="F114" s="91" t="s">
        <v>170</v>
      </c>
      <c r="G114" s="90"/>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t="s">
        <v>143</v>
      </c>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40" t="s">
        <v>43</v>
      </c>
      <c r="B119" s="75"/>
      <c r="C119" s="191" t="s">
        <v>190</v>
      </c>
      <c r="D119" s="75"/>
      <c r="E119" s="75"/>
      <c r="F119" s="75"/>
      <c r="G119" s="75"/>
      <c r="H119" s="75"/>
      <c r="I119" s="75"/>
      <c r="J119" s="75"/>
      <c r="K119" s="75"/>
    </row>
    <row r="120" spans="1:11">
      <c r="A120" s="75"/>
      <c r="B120" s="75"/>
      <c r="C120" s="75"/>
      <c r="D120" s="75"/>
      <c r="E120" s="75"/>
      <c r="F120" s="75"/>
      <c r="G120" s="75"/>
      <c r="H120" s="75"/>
      <c r="I120" s="75"/>
      <c r="J120" s="75"/>
      <c r="K120" s="75"/>
    </row>
    <row r="121" spans="1:11" ht="27">
      <c r="A121" s="92" t="s">
        <v>44</v>
      </c>
      <c r="B121" s="93" t="s">
        <v>45</v>
      </c>
      <c r="C121" s="94" t="s">
        <v>46</v>
      </c>
      <c r="D121" s="92" t="s">
        <v>47</v>
      </c>
      <c r="E121" s="92" t="s">
        <v>48</v>
      </c>
      <c r="F121" s="92" t="s">
        <v>49</v>
      </c>
      <c r="G121" s="92" t="s">
        <v>50</v>
      </c>
      <c r="H121" s="75"/>
      <c r="I121" s="75"/>
      <c r="J121" s="75"/>
      <c r="K121" s="75"/>
    </row>
    <row r="122" spans="1:11">
      <c r="A122" s="47" t="s">
        <v>191</v>
      </c>
      <c r="B122" s="41" t="s">
        <v>192</v>
      </c>
      <c r="C122" s="48" t="s">
        <v>53</v>
      </c>
      <c r="D122" s="44" t="s">
        <v>145</v>
      </c>
      <c r="E122" s="45">
        <v>0</v>
      </c>
      <c r="F122" s="46">
        <v>471732.79000000004</v>
      </c>
      <c r="G122" s="45">
        <v>471732.79000000004</v>
      </c>
      <c r="H122" s="75"/>
      <c r="I122" s="75"/>
      <c r="J122" s="75"/>
      <c r="K122" s="75"/>
    </row>
    <row r="123" spans="1:11">
      <c r="A123" s="47"/>
      <c r="B123" s="41" t="s">
        <v>192</v>
      </c>
      <c r="C123" s="49"/>
      <c r="D123" s="44" t="s">
        <v>146</v>
      </c>
      <c r="E123" s="45">
        <v>471732.79000000004</v>
      </c>
      <c r="F123" s="46">
        <v>709256.61</v>
      </c>
      <c r="G123" s="45">
        <v>1180989.3999999999</v>
      </c>
      <c r="H123" s="75"/>
      <c r="I123" s="75"/>
      <c r="J123" s="75"/>
      <c r="K123" s="75"/>
    </row>
    <row r="124" spans="1:11">
      <c r="A124" s="47"/>
      <c r="B124" s="84"/>
      <c r="C124" s="85"/>
      <c r="D124" s="84"/>
      <c r="E124" s="86"/>
      <c r="F124" s="87" t="s">
        <v>193</v>
      </c>
      <c r="G124" s="86"/>
      <c r="H124" s="75"/>
      <c r="I124" s="75"/>
      <c r="J124" s="75"/>
      <c r="K124" s="75"/>
    </row>
    <row r="125" spans="1:11">
      <c r="A125" s="47" t="s">
        <v>194</v>
      </c>
      <c r="B125" s="41" t="s">
        <v>195</v>
      </c>
      <c r="C125" s="48" t="s">
        <v>53</v>
      </c>
      <c r="D125" s="44" t="s">
        <v>145</v>
      </c>
      <c r="E125" s="45">
        <v>0</v>
      </c>
      <c r="F125" s="46">
        <v>-236565.55000000002</v>
      </c>
      <c r="G125" s="45">
        <v>-236565.55000000002</v>
      </c>
      <c r="H125" s="75"/>
      <c r="I125" s="75"/>
      <c r="J125" s="75"/>
      <c r="K125" s="75"/>
    </row>
    <row r="126" spans="1:11">
      <c r="A126" s="47"/>
      <c r="B126" s="41" t="s">
        <v>195</v>
      </c>
      <c r="C126" s="49"/>
      <c r="D126" s="44" t="s">
        <v>146</v>
      </c>
      <c r="E126" s="45">
        <v>-236565.55000000002</v>
      </c>
      <c r="F126" s="46">
        <v>-260075.72</v>
      </c>
      <c r="G126" s="45">
        <v>-496641.27</v>
      </c>
      <c r="H126" s="75"/>
      <c r="I126" s="75"/>
      <c r="J126" s="75"/>
      <c r="K126" s="75"/>
    </row>
    <row r="127" spans="1:11">
      <c r="A127" s="47"/>
      <c r="B127" s="84"/>
      <c r="C127" s="85"/>
      <c r="D127" s="84"/>
      <c r="E127" s="86"/>
      <c r="F127" s="87" t="s">
        <v>196</v>
      </c>
      <c r="G127" s="86"/>
      <c r="H127" s="75"/>
      <c r="I127" s="75"/>
      <c r="J127" s="75"/>
      <c r="K127" s="75"/>
    </row>
    <row r="128" spans="1:11">
      <c r="A128" s="47" t="s">
        <v>197</v>
      </c>
      <c r="B128" s="41" t="s">
        <v>192</v>
      </c>
      <c r="C128" s="48" t="s">
        <v>54</v>
      </c>
      <c r="D128" s="44" t="s">
        <v>145</v>
      </c>
      <c r="E128" s="45">
        <v>0</v>
      </c>
      <c r="F128" s="46">
        <v>307756.99</v>
      </c>
      <c r="G128" s="45">
        <v>307756.99</v>
      </c>
      <c r="H128" s="75"/>
      <c r="I128" s="75"/>
      <c r="J128" s="75"/>
      <c r="K128" s="75"/>
    </row>
    <row r="129" spans="1:11">
      <c r="A129" s="47"/>
      <c r="B129" s="41" t="s">
        <v>192</v>
      </c>
      <c r="C129" s="49"/>
      <c r="D129" s="44" t="s">
        <v>146</v>
      </c>
      <c r="E129" s="45">
        <v>307756.99</v>
      </c>
      <c r="F129" s="46">
        <v>674797.01</v>
      </c>
      <c r="G129" s="45">
        <v>982554</v>
      </c>
      <c r="H129" s="75"/>
      <c r="I129" s="75"/>
      <c r="J129" s="75"/>
      <c r="K129" s="75"/>
    </row>
    <row r="130" spans="1:11">
      <c r="A130" s="47"/>
      <c r="B130" s="84"/>
      <c r="C130" s="85"/>
      <c r="D130" s="84"/>
      <c r="E130" s="86"/>
      <c r="F130" s="87" t="s">
        <v>198</v>
      </c>
      <c r="G130" s="86"/>
      <c r="H130" s="75"/>
      <c r="I130" s="75"/>
      <c r="J130" s="75"/>
      <c r="K130" s="75"/>
    </row>
    <row r="131" spans="1:11">
      <c r="A131" s="47" t="s">
        <v>199</v>
      </c>
      <c r="B131" s="41" t="s">
        <v>195</v>
      </c>
      <c r="C131" s="48" t="s">
        <v>54</v>
      </c>
      <c r="D131" s="44" t="s">
        <v>145</v>
      </c>
      <c r="E131" s="45">
        <v>0</v>
      </c>
      <c r="F131" s="46">
        <v>99170.02</v>
      </c>
      <c r="G131" s="45">
        <v>99170.02</v>
      </c>
      <c r="H131" s="75"/>
      <c r="I131" s="75"/>
      <c r="J131" s="75"/>
      <c r="K131" s="75"/>
    </row>
    <row r="132" spans="1:11">
      <c r="A132" s="47"/>
      <c r="B132" s="41" t="s">
        <v>195</v>
      </c>
      <c r="C132" s="49"/>
      <c r="D132" s="44" t="s">
        <v>146</v>
      </c>
      <c r="E132" s="45">
        <v>99170.02</v>
      </c>
      <c r="F132" s="46">
        <v>174104.37</v>
      </c>
      <c r="G132" s="45">
        <v>273274.39</v>
      </c>
      <c r="H132" s="75"/>
      <c r="I132" s="75"/>
      <c r="J132" s="75"/>
      <c r="K132" s="75"/>
    </row>
    <row r="133" spans="1:11">
      <c r="A133" s="47"/>
      <c r="B133" s="84"/>
      <c r="C133" s="85"/>
      <c r="D133" s="84"/>
      <c r="E133" s="86"/>
      <c r="F133" s="87" t="s">
        <v>200</v>
      </c>
      <c r="G133" s="86"/>
      <c r="H133" s="75"/>
      <c r="I133" s="75"/>
      <c r="J133" s="75"/>
      <c r="K133" s="75"/>
    </row>
    <row r="134" spans="1:11">
      <c r="A134" s="75"/>
      <c r="B134" s="75"/>
      <c r="C134" s="75"/>
      <c r="D134" s="75"/>
      <c r="E134" s="75"/>
      <c r="F134" s="75"/>
      <c r="G134" s="75"/>
      <c r="H134" s="75"/>
      <c r="I134" s="75"/>
      <c r="J134" s="75"/>
      <c r="K134" s="75"/>
    </row>
    <row r="135" spans="1:11">
      <c r="A135" s="75"/>
      <c r="B135" s="75"/>
      <c r="C135" s="75"/>
      <c r="D135" s="75"/>
      <c r="E135" s="75"/>
      <c r="F135" s="75"/>
      <c r="G135" s="75"/>
      <c r="H135" s="75"/>
      <c r="I135" s="75"/>
      <c r="J135" s="75"/>
      <c r="K135" s="75"/>
    </row>
    <row r="136" spans="1:11">
      <c r="A136" s="75" t="s">
        <v>143</v>
      </c>
      <c r="B136" s="39"/>
      <c r="C136" s="39"/>
      <c r="D136" s="39"/>
      <c r="E136" s="39"/>
      <c r="F136" s="39"/>
      <c r="G136" s="39"/>
      <c r="H136" s="75"/>
      <c r="I136" s="75"/>
      <c r="J136" s="75"/>
      <c r="K136" s="75"/>
    </row>
    <row r="137" spans="1:11">
      <c r="A137" s="39"/>
      <c r="B137" s="39"/>
      <c r="C137" s="39"/>
      <c r="D137" s="39"/>
      <c r="E137" s="39"/>
      <c r="F137" s="39"/>
      <c r="G137" s="39"/>
      <c r="H137" s="75"/>
      <c r="I137" s="75"/>
      <c r="J137" s="75"/>
      <c r="K137" s="75"/>
    </row>
    <row r="138" spans="1:11" s="75" customFormat="1">
      <c r="A138" s="40" t="s">
        <v>43</v>
      </c>
      <c r="B138" s="39"/>
      <c r="C138" s="192" t="s">
        <v>183</v>
      </c>
      <c r="D138" s="39"/>
      <c r="E138" s="39"/>
      <c r="F138" s="39"/>
      <c r="G138" s="39"/>
    </row>
    <row r="139" spans="1:11" s="75" customFormat="1">
      <c r="A139" s="39"/>
      <c r="B139" s="39"/>
      <c r="C139" s="39"/>
      <c r="D139" s="39"/>
      <c r="E139" s="39"/>
      <c r="F139" s="39"/>
      <c r="G139" s="39"/>
    </row>
    <row r="140" spans="1:11" s="75" customFormat="1" ht="27">
      <c r="A140" s="92" t="s">
        <v>44</v>
      </c>
      <c r="B140" s="93" t="s">
        <v>45</v>
      </c>
      <c r="C140" s="94" t="s">
        <v>46</v>
      </c>
      <c r="D140" s="92" t="s">
        <v>47</v>
      </c>
      <c r="E140" s="92" t="s">
        <v>48</v>
      </c>
      <c r="F140" s="92" t="s">
        <v>49</v>
      </c>
      <c r="G140" s="92" t="s">
        <v>50</v>
      </c>
    </row>
    <row r="141" spans="1:11" s="75" customFormat="1" ht="15.6">
      <c r="A141" s="42" t="s">
        <v>72</v>
      </c>
      <c r="B141" s="41" t="s">
        <v>73</v>
      </c>
      <c r="C141" s="43" t="s">
        <v>53</v>
      </c>
      <c r="D141" s="44" t="s">
        <v>144</v>
      </c>
      <c r="E141" s="45">
        <v>-318491.25</v>
      </c>
      <c r="F141" s="46">
        <v>-50281.94</v>
      </c>
      <c r="G141" s="45">
        <v>-368773.19</v>
      </c>
      <c r="H141" s="187"/>
    </row>
    <row r="142" spans="1:11">
      <c r="A142" s="47"/>
      <c r="B142" s="41" t="s">
        <v>73</v>
      </c>
      <c r="C142" s="48"/>
      <c r="D142" s="44" t="s">
        <v>145</v>
      </c>
      <c r="E142" s="45">
        <v>-368773.19</v>
      </c>
      <c r="F142" s="46">
        <v>-56401.380000000005</v>
      </c>
      <c r="G142" s="45">
        <v>-425174.57</v>
      </c>
      <c r="H142" s="75"/>
      <c r="I142" s="75"/>
      <c r="J142" s="75"/>
      <c r="K142" s="75"/>
    </row>
    <row r="143" spans="1:11">
      <c r="A143" s="47"/>
      <c r="B143" s="41" t="s">
        <v>73</v>
      </c>
      <c r="C143" s="49"/>
      <c r="D143" s="44" t="s">
        <v>146</v>
      </c>
      <c r="E143" s="45">
        <v>-425174.57</v>
      </c>
      <c r="F143" s="46">
        <v>-54814.76</v>
      </c>
      <c r="G143" s="45">
        <v>-479989.33</v>
      </c>
      <c r="H143" s="75"/>
      <c r="I143" s="75"/>
      <c r="J143" s="75"/>
      <c r="K143" s="75"/>
    </row>
    <row r="144" spans="1:11">
      <c r="A144" s="47"/>
      <c r="B144" s="84"/>
      <c r="C144" s="85"/>
      <c r="D144" s="84"/>
      <c r="E144" s="86"/>
      <c r="F144" s="87" t="s">
        <v>171</v>
      </c>
      <c r="G144" s="86"/>
      <c r="H144" s="75"/>
      <c r="I144" s="75"/>
      <c r="J144" s="75"/>
      <c r="K144" s="75"/>
    </row>
    <row r="145" spans="1:11">
      <c r="A145" s="47"/>
      <c r="B145" s="41" t="s">
        <v>73</v>
      </c>
      <c r="C145" s="43" t="s">
        <v>54</v>
      </c>
      <c r="D145" s="44" t="s">
        <v>144</v>
      </c>
      <c r="E145" s="45">
        <v>-293834.57</v>
      </c>
      <c r="F145" s="46">
        <v>-41744.85</v>
      </c>
      <c r="G145" s="45">
        <v>-335579.42</v>
      </c>
      <c r="H145" s="75"/>
      <c r="I145" s="75"/>
      <c r="J145" s="75"/>
      <c r="K145" s="75"/>
    </row>
    <row r="146" spans="1:11">
      <c r="A146" s="47"/>
      <c r="B146" s="41" t="s">
        <v>73</v>
      </c>
      <c r="C146" s="48"/>
      <c r="D146" s="44" t="s">
        <v>145</v>
      </c>
      <c r="E146" s="45">
        <v>-335579.42</v>
      </c>
      <c r="F146" s="46">
        <v>-46557.700000000004</v>
      </c>
      <c r="G146" s="45">
        <v>-382137.12</v>
      </c>
      <c r="H146" s="75"/>
      <c r="I146" s="75"/>
      <c r="J146" s="75"/>
      <c r="K146" s="75"/>
    </row>
    <row r="147" spans="1:11" s="75" customFormat="1">
      <c r="A147" s="47"/>
      <c r="B147" s="41" t="s">
        <v>73</v>
      </c>
      <c r="C147" s="49"/>
      <c r="D147" s="44" t="s">
        <v>146</v>
      </c>
      <c r="E147" s="45">
        <v>-382137.12</v>
      </c>
      <c r="F147" s="46">
        <v>-45831.79</v>
      </c>
      <c r="G147" s="45">
        <v>-427968.91000000003</v>
      </c>
    </row>
    <row r="148" spans="1:11" s="75" customFormat="1">
      <c r="A148" s="50"/>
      <c r="B148" s="84"/>
      <c r="C148" s="85"/>
      <c r="D148" s="84"/>
      <c r="E148" s="86"/>
      <c r="F148" s="87" t="s">
        <v>172</v>
      </c>
      <c r="G148" s="86"/>
    </row>
    <row r="149" spans="1:11">
      <c r="A149" s="88"/>
      <c r="B149" s="95"/>
      <c r="C149" s="88"/>
      <c r="D149" s="88"/>
      <c r="E149" s="90"/>
      <c r="F149" s="91" t="s">
        <v>173</v>
      </c>
      <c r="G149" s="90"/>
      <c r="H149" s="75"/>
      <c r="I149" s="75"/>
      <c r="J149" s="75"/>
      <c r="K149" s="75"/>
    </row>
    <row r="150" spans="1:11">
      <c r="A150" s="42" t="s">
        <v>74</v>
      </c>
      <c r="B150" s="41" t="s">
        <v>75</v>
      </c>
      <c r="C150" s="43" t="s">
        <v>53</v>
      </c>
      <c r="D150" s="44" t="s">
        <v>144</v>
      </c>
      <c r="E150" s="45">
        <v>73820.88</v>
      </c>
      <c r="F150" s="46">
        <v>7840.93</v>
      </c>
      <c r="G150" s="45">
        <v>81661.81</v>
      </c>
      <c r="H150" s="75"/>
      <c r="I150" s="75"/>
      <c r="J150" s="75"/>
      <c r="K150" s="75"/>
    </row>
    <row r="151" spans="1:11" s="75" customFormat="1">
      <c r="A151" s="47"/>
      <c r="B151" s="41" t="s">
        <v>75</v>
      </c>
      <c r="C151" s="48"/>
      <c r="D151" s="44" t="s">
        <v>145</v>
      </c>
      <c r="E151" s="45">
        <v>81661.81</v>
      </c>
      <c r="F151" s="46">
        <v>8417.83</v>
      </c>
      <c r="G151" s="45">
        <v>90079.64</v>
      </c>
    </row>
    <row r="152" spans="1:11" s="75" customFormat="1">
      <c r="A152" s="47"/>
      <c r="B152" s="41" t="s">
        <v>75</v>
      </c>
      <c r="C152" s="49"/>
      <c r="D152" s="44" t="s">
        <v>146</v>
      </c>
      <c r="E152" s="45">
        <v>90079.64</v>
      </c>
      <c r="F152" s="46">
        <v>7027.12</v>
      </c>
      <c r="G152" s="45">
        <v>97106.76</v>
      </c>
    </row>
    <row r="153" spans="1:11" s="75" customFormat="1">
      <c r="A153" s="47"/>
      <c r="B153" s="84"/>
      <c r="C153" s="85"/>
      <c r="D153" s="84"/>
      <c r="E153" s="86"/>
      <c r="F153" s="87" t="s">
        <v>174</v>
      </c>
      <c r="G153" s="86"/>
    </row>
    <row r="154" spans="1:11">
      <c r="A154" s="47"/>
      <c r="B154" s="41" t="s">
        <v>75</v>
      </c>
      <c r="C154" s="43" t="s">
        <v>54</v>
      </c>
      <c r="D154" s="44" t="s">
        <v>144</v>
      </c>
      <c r="E154" s="45">
        <v>241.31</v>
      </c>
      <c r="F154" s="46">
        <v>0</v>
      </c>
      <c r="G154" s="45">
        <v>241.31</v>
      </c>
      <c r="H154" s="75"/>
      <c r="I154" s="75"/>
      <c r="J154" s="75"/>
      <c r="K154" s="75"/>
    </row>
    <row r="155" spans="1:11" s="75" customFormat="1">
      <c r="A155" s="47"/>
      <c r="B155" s="41" t="s">
        <v>75</v>
      </c>
      <c r="C155" s="48"/>
      <c r="D155" s="44" t="s">
        <v>145</v>
      </c>
      <c r="E155" s="45">
        <v>241.31</v>
      </c>
      <c r="F155" s="46">
        <v>0</v>
      </c>
      <c r="G155" s="45">
        <v>241.31</v>
      </c>
    </row>
    <row r="156" spans="1:11">
      <c r="A156" s="47"/>
      <c r="B156" s="41" t="s">
        <v>75</v>
      </c>
      <c r="C156" s="49"/>
      <c r="D156" s="44" t="s">
        <v>146</v>
      </c>
      <c r="E156" s="45">
        <v>241.31</v>
      </c>
      <c r="F156" s="46">
        <v>0</v>
      </c>
      <c r="G156" s="45">
        <v>241.31</v>
      </c>
      <c r="H156" s="75"/>
      <c r="I156" s="75"/>
      <c r="J156" s="75"/>
      <c r="K156" s="75"/>
    </row>
    <row r="157" spans="1:11">
      <c r="A157" s="50"/>
      <c r="B157" s="84"/>
      <c r="C157" s="85"/>
      <c r="D157" s="84"/>
      <c r="E157" s="86"/>
      <c r="F157" s="87" t="s">
        <v>62</v>
      </c>
      <c r="G157" s="86"/>
      <c r="H157" s="75"/>
      <c r="I157" s="75"/>
      <c r="J157" s="75"/>
      <c r="K157" s="75"/>
    </row>
    <row r="158" spans="1:11">
      <c r="A158" s="88"/>
      <c r="B158" s="95"/>
      <c r="C158" s="88"/>
      <c r="D158" s="88"/>
      <c r="E158" s="90"/>
      <c r="F158" s="91" t="s">
        <v>174</v>
      </c>
      <c r="G158" s="90"/>
      <c r="H158" s="75"/>
      <c r="I158" s="75"/>
      <c r="J158" s="75"/>
      <c r="K158" s="75"/>
    </row>
    <row r="159" spans="1:11">
      <c r="A159" s="96"/>
      <c r="B159" s="96"/>
      <c r="C159" s="96"/>
      <c r="D159" s="96"/>
      <c r="E159" s="97"/>
      <c r="F159" s="98" t="s">
        <v>175</v>
      </c>
      <c r="G159" s="97"/>
      <c r="H159" s="75"/>
      <c r="I159" s="75"/>
      <c r="J159" s="75"/>
      <c r="K159" s="75"/>
    </row>
    <row r="160" spans="1:11">
      <c r="A160" s="178"/>
      <c r="B160" s="178"/>
      <c r="C160" s="178"/>
      <c r="D160" s="178"/>
      <c r="E160" s="179"/>
      <c r="F160" s="180"/>
      <c r="G160" s="179"/>
      <c r="H160" s="75"/>
      <c r="I160" s="75"/>
      <c r="J160" s="75"/>
      <c r="K160" s="75"/>
    </row>
    <row r="161" spans="1:11" ht="15.6">
      <c r="A161" s="193" t="s">
        <v>89</v>
      </c>
      <c r="B161" s="193"/>
      <c r="C161" s="193"/>
      <c r="D161" s="193"/>
      <c r="E161" s="193"/>
      <c r="F161" s="193"/>
      <c r="G161" s="193"/>
      <c r="H161" s="75"/>
      <c r="I161" s="75"/>
      <c r="J161" s="75"/>
      <c r="K161" s="75"/>
    </row>
    <row r="162" spans="1:11" ht="15.6">
      <c r="A162" s="187"/>
      <c r="B162" s="187"/>
      <c r="C162" s="187"/>
      <c r="D162" s="187"/>
      <c r="E162" s="187"/>
      <c r="F162" s="187"/>
      <c r="G162" s="187"/>
      <c r="H162" s="75"/>
      <c r="I162" s="75"/>
      <c r="J162" s="75"/>
      <c r="K162" s="75"/>
    </row>
    <row r="163" spans="1:11">
      <c r="A163" s="75" t="s">
        <v>143</v>
      </c>
      <c r="B163" s="39"/>
      <c r="C163" s="39"/>
      <c r="D163" s="39"/>
      <c r="E163" s="39"/>
      <c r="F163" s="39"/>
      <c r="G163" s="39"/>
      <c r="H163" s="75"/>
      <c r="I163" s="75"/>
      <c r="J163" s="75"/>
      <c r="K163" s="75"/>
    </row>
    <row r="164" spans="1:11">
      <c r="A164" s="39"/>
      <c r="B164" s="39"/>
      <c r="C164" s="39"/>
      <c r="D164" s="39"/>
      <c r="E164" s="39"/>
      <c r="F164" s="39"/>
      <c r="G164" s="39"/>
      <c r="H164" s="75"/>
      <c r="I164" s="75"/>
      <c r="J164" s="75"/>
      <c r="K164" s="75"/>
    </row>
    <row r="165" spans="1:11">
      <c r="A165" s="40" t="s">
        <v>43</v>
      </c>
      <c r="B165" s="39"/>
      <c r="C165" s="39"/>
      <c r="D165" s="39"/>
      <c r="E165" s="39"/>
      <c r="F165" s="39"/>
      <c r="G165" s="39"/>
      <c r="H165" s="75"/>
      <c r="I165" s="75"/>
      <c r="J165" s="75"/>
      <c r="K165" s="75"/>
    </row>
    <row r="166" spans="1:11">
      <c r="A166" s="39"/>
      <c r="B166" s="39"/>
      <c r="C166" s="39"/>
      <c r="D166" s="39"/>
      <c r="E166" s="39"/>
      <c r="F166" s="39"/>
      <c r="G166" s="39"/>
      <c r="H166" s="75"/>
      <c r="I166" s="75"/>
      <c r="J166" s="75"/>
      <c r="K166" s="75"/>
    </row>
    <row r="167" spans="1:11" ht="27">
      <c r="A167" s="92" t="s">
        <v>44</v>
      </c>
      <c r="B167" s="93" t="s">
        <v>45</v>
      </c>
      <c r="C167" s="94" t="s">
        <v>46</v>
      </c>
      <c r="D167" s="92" t="s">
        <v>47</v>
      </c>
      <c r="E167" s="92" t="s">
        <v>48</v>
      </c>
      <c r="F167" s="92" t="s">
        <v>49</v>
      </c>
      <c r="G167" s="92" t="s">
        <v>50</v>
      </c>
      <c r="H167" s="75"/>
      <c r="I167" s="75"/>
      <c r="J167" s="75"/>
      <c r="K167" s="75"/>
    </row>
    <row r="168" spans="1:11">
      <c r="A168" s="42" t="s">
        <v>90</v>
      </c>
      <c r="B168" s="41" t="s">
        <v>91</v>
      </c>
      <c r="C168" s="43" t="s">
        <v>53</v>
      </c>
      <c r="D168" s="44" t="s">
        <v>144</v>
      </c>
      <c r="E168" s="45">
        <v>0</v>
      </c>
      <c r="F168" s="46">
        <v>0</v>
      </c>
      <c r="G168" s="45">
        <v>0</v>
      </c>
      <c r="H168" s="75"/>
      <c r="I168" s="75"/>
      <c r="J168" s="75"/>
      <c r="K168" s="75"/>
    </row>
    <row r="169" spans="1:11">
      <c r="A169" s="169"/>
      <c r="B169" s="41" t="s">
        <v>91</v>
      </c>
      <c r="C169" s="48"/>
      <c r="D169" s="44" t="s">
        <v>145</v>
      </c>
      <c r="E169" s="45">
        <v>0</v>
      </c>
      <c r="F169" s="46">
        <v>0</v>
      </c>
      <c r="G169" s="45">
        <v>0</v>
      </c>
      <c r="H169" s="75"/>
      <c r="I169" s="75"/>
      <c r="J169" s="75"/>
      <c r="K169" s="75"/>
    </row>
    <row r="170" spans="1:11">
      <c r="A170" s="75"/>
      <c r="B170" s="164" t="s">
        <v>91</v>
      </c>
      <c r="C170" s="49"/>
      <c r="D170" s="44" t="s">
        <v>146</v>
      </c>
      <c r="E170" s="45">
        <v>0</v>
      </c>
      <c r="F170" s="46">
        <v>0</v>
      </c>
      <c r="G170" s="45">
        <v>0</v>
      </c>
      <c r="H170" s="75"/>
      <c r="I170" s="75"/>
      <c r="J170" s="75"/>
      <c r="K170" s="75"/>
    </row>
    <row r="171" spans="1:11">
      <c r="A171" s="75"/>
      <c r="B171" s="165"/>
      <c r="C171" s="85"/>
      <c r="D171" s="84"/>
      <c r="E171" s="86"/>
      <c r="F171" s="87" t="s">
        <v>62</v>
      </c>
      <c r="G171" s="86"/>
      <c r="H171" s="75"/>
      <c r="I171" s="75"/>
      <c r="J171" s="75"/>
      <c r="K171" s="75"/>
    </row>
    <row r="172" spans="1:11">
      <c r="A172" s="75"/>
      <c r="B172" s="164" t="s">
        <v>91</v>
      </c>
      <c r="C172" s="43" t="s">
        <v>54</v>
      </c>
      <c r="D172" s="44" t="s">
        <v>144</v>
      </c>
      <c r="E172" s="45">
        <v>-196026</v>
      </c>
      <c r="F172" s="46">
        <v>-787751</v>
      </c>
      <c r="G172" s="45">
        <v>-983777</v>
      </c>
      <c r="H172" s="75"/>
      <c r="I172" s="75"/>
      <c r="J172" s="75"/>
      <c r="K172" s="75"/>
    </row>
    <row r="173" spans="1:11">
      <c r="A173" s="75"/>
      <c r="B173" s="164" t="s">
        <v>91</v>
      </c>
      <c r="C173" s="48"/>
      <c r="D173" s="44" t="s">
        <v>145</v>
      </c>
      <c r="E173" s="45">
        <v>-983777</v>
      </c>
      <c r="F173" s="46">
        <v>-1470001</v>
      </c>
      <c r="G173" s="45">
        <v>-2453778</v>
      </c>
      <c r="H173" s="75"/>
      <c r="I173" s="75"/>
      <c r="J173" s="75"/>
      <c r="K173" s="75"/>
    </row>
    <row r="174" spans="1:11">
      <c r="A174" s="162"/>
      <c r="B174" s="164" t="s">
        <v>91</v>
      </c>
      <c r="C174" s="49"/>
      <c r="D174" s="44" t="s">
        <v>146</v>
      </c>
      <c r="E174" s="45">
        <v>-2453778</v>
      </c>
      <c r="F174" s="46">
        <v>2020478</v>
      </c>
      <c r="G174" s="45">
        <v>-433300</v>
      </c>
      <c r="H174" s="75"/>
      <c r="I174" s="75"/>
      <c r="J174" s="75"/>
      <c r="K174" s="75"/>
    </row>
    <row r="175" spans="1:11">
      <c r="A175" s="163"/>
      <c r="B175" s="165"/>
      <c r="C175" s="85"/>
      <c r="D175" s="84"/>
      <c r="E175" s="86"/>
      <c r="F175" s="87" t="s">
        <v>176</v>
      </c>
      <c r="G175" s="86"/>
      <c r="H175" s="75"/>
      <c r="I175" s="75"/>
      <c r="J175" s="75"/>
      <c r="K175" s="75"/>
    </row>
    <row r="176" spans="1:11">
      <c r="A176" s="88"/>
      <c r="B176" s="89"/>
      <c r="C176" s="88"/>
      <c r="D176" s="88"/>
      <c r="E176" s="90"/>
      <c r="F176" s="91" t="s">
        <v>176</v>
      </c>
      <c r="G176" s="90"/>
      <c r="H176" s="75"/>
      <c r="I176" s="75"/>
      <c r="J176" s="75"/>
      <c r="K176" s="75"/>
    </row>
    <row r="177" spans="1:11">
      <c r="A177" s="42" t="s">
        <v>92</v>
      </c>
      <c r="B177" s="41" t="s">
        <v>93</v>
      </c>
      <c r="C177" s="43" t="s">
        <v>54</v>
      </c>
      <c r="D177" s="44" t="s">
        <v>144</v>
      </c>
      <c r="E177" s="45">
        <v>-702763.42</v>
      </c>
      <c r="F177" s="46">
        <v>776477</v>
      </c>
      <c r="G177" s="45">
        <v>73713.58</v>
      </c>
      <c r="H177" s="75"/>
      <c r="I177" s="75"/>
      <c r="J177" s="75"/>
      <c r="K177" s="75"/>
    </row>
    <row r="178" spans="1:11">
      <c r="A178" s="47"/>
      <c r="B178" s="41" t="s">
        <v>93</v>
      </c>
      <c r="C178" s="48"/>
      <c r="D178" s="44" t="s">
        <v>145</v>
      </c>
      <c r="E178" s="45">
        <v>73713.58</v>
      </c>
      <c r="F178" s="46">
        <v>1470001</v>
      </c>
      <c r="G178" s="45">
        <v>1543714.58</v>
      </c>
      <c r="H178" s="75"/>
      <c r="I178" s="75"/>
      <c r="J178" s="75"/>
      <c r="K178" s="75"/>
    </row>
    <row r="179" spans="1:11">
      <c r="A179" s="47"/>
      <c r="B179" s="41" t="s">
        <v>93</v>
      </c>
      <c r="C179" s="49"/>
      <c r="D179" s="44" t="s">
        <v>146</v>
      </c>
      <c r="E179" s="45">
        <v>1543714.58</v>
      </c>
      <c r="F179" s="46">
        <v>-2020478</v>
      </c>
      <c r="G179" s="45">
        <v>-476763.42</v>
      </c>
      <c r="H179" s="75"/>
      <c r="I179" s="75"/>
      <c r="J179" s="75"/>
      <c r="K179" s="75"/>
    </row>
    <row r="180" spans="1:11">
      <c r="A180" s="50"/>
      <c r="B180" s="84"/>
      <c r="C180" s="85"/>
      <c r="D180" s="84"/>
      <c r="E180" s="86"/>
      <c r="F180" s="87" t="s">
        <v>177</v>
      </c>
      <c r="G180" s="86"/>
      <c r="H180" s="75"/>
      <c r="I180" s="75"/>
      <c r="J180" s="75"/>
      <c r="K180" s="75"/>
    </row>
    <row r="181" spans="1:11">
      <c r="A181" s="88"/>
      <c r="B181" s="89" t="s">
        <v>136</v>
      </c>
      <c r="C181" s="88"/>
      <c r="D181" s="88"/>
      <c r="E181" s="90"/>
      <c r="F181" s="170" t="s">
        <v>139</v>
      </c>
      <c r="G181" s="90"/>
      <c r="H181" s="75"/>
      <c r="I181" s="75"/>
      <c r="J181" s="75"/>
      <c r="K181" s="75"/>
    </row>
    <row r="182" spans="1:11">
      <c r="A182" s="75"/>
      <c r="B182" s="75"/>
      <c r="C182" s="75"/>
      <c r="D182" s="75"/>
      <c r="E182" s="75"/>
      <c r="F182" s="75"/>
      <c r="G182" s="75"/>
      <c r="H182" s="75"/>
      <c r="I182" s="75"/>
      <c r="J182" s="75"/>
      <c r="K182" s="75"/>
    </row>
    <row r="183" spans="1:11">
      <c r="A183" s="75"/>
      <c r="B183" s="75"/>
      <c r="C183" s="75"/>
      <c r="D183" s="75"/>
      <c r="E183" s="75"/>
      <c r="F183" s="75"/>
      <c r="G183" s="75"/>
      <c r="H183" s="75"/>
      <c r="I183" s="75"/>
      <c r="J183" s="75"/>
      <c r="K183" s="75"/>
    </row>
  </sheetData>
  <mergeCells count="3">
    <mergeCell ref="A1:H1"/>
    <mergeCell ref="A92:G92"/>
    <mergeCell ref="A161:G161"/>
  </mergeCells>
  <printOptions horizontalCentered="1"/>
  <pageMargins left="0.7" right="0.7" top="1.1399999999999999" bottom="0.75" header="0.5" footer="0.5"/>
  <pageSetup scale="83" firstPageNumber="3" orientation="portrait" useFirstPageNumber="1" r:id="rId1"/>
  <headerFooter>
    <oddHeader>&amp;CAvista Corporation Decoupling Mechanism
Washington Jurisdiction
Quarterly Report for 4th Quarter 2016</oddHeader>
    <oddFooter>&amp;Cfile: &amp;F / &amp;A&amp;RPage &amp;P of 9</oddFooter>
  </headerFooter>
  <rowBreaks count="3" manualBreakCount="3">
    <brk id="49" max="7" man="1"/>
    <brk id="90" max="7" man="1"/>
    <brk id="135"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5"/>
  <sheetViews>
    <sheetView view="pageBreakPreview" topLeftCell="A54" zoomScale="60" zoomScaleNormal="100" workbookViewId="0">
      <selection activeCell="T15" sqref="T15"/>
    </sheetView>
  </sheetViews>
  <sheetFormatPr defaultRowHeight="14.4"/>
  <cols>
    <col min="1" max="1" width="13.88671875" customWidth="1"/>
    <col min="2" max="2" width="3.88671875" customWidth="1"/>
    <col min="3" max="3" width="14.33203125" bestFit="1" customWidth="1"/>
    <col min="4" max="4" width="13.33203125" bestFit="1" customWidth="1"/>
    <col min="5" max="5" width="12.5546875" bestFit="1" customWidth="1"/>
    <col min="6" max="6" width="11.5546875" bestFit="1" customWidth="1"/>
    <col min="7" max="7" width="3.44140625" customWidth="1"/>
    <col min="8" max="8" width="10" customWidth="1"/>
    <col min="9" max="9" width="3.6640625" customWidth="1"/>
    <col min="10" max="10" width="13.44140625" customWidth="1"/>
    <col min="11" max="11" width="3.88671875" customWidth="1"/>
    <col min="12" max="12" width="12.109375" customWidth="1"/>
    <col min="13" max="13" width="12.44140625" customWidth="1"/>
    <col min="14" max="15" width="12.109375" customWidth="1"/>
    <col min="16" max="16" width="3.6640625" customWidth="1"/>
    <col min="17" max="17" width="10.33203125" customWidth="1"/>
    <col min="18" max="18" width="3.109375" customWidth="1"/>
  </cols>
  <sheetData>
    <row r="1" spans="1:17">
      <c r="A1" s="75" t="s">
        <v>128</v>
      </c>
      <c r="B1" s="75"/>
      <c r="C1" s="75"/>
      <c r="D1" s="75"/>
      <c r="E1" s="75"/>
      <c r="F1" s="75"/>
      <c r="G1" s="75"/>
      <c r="H1" s="75"/>
      <c r="I1" s="75"/>
      <c r="J1" s="75" t="s">
        <v>128</v>
      </c>
      <c r="K1" s="75"/>
      <c r="L1" s="75"/>
      <c r="M1" s="75"/>
      <c r="N1" s="75"/>
      <c r="O1" s="75"/>
      <c r="P1" s="75"/>
      <c r="Q1" s="75"/>
    </row>
    <row r="2" spans="1:17" s="75" customFormat="1"/>
    <row r="3" spans="1:17" s="75" customFormat="1">
      <c r="A3" s="158"/>
      <c r="C3" s="188" t="s">
        <v>135</v>
      </c>
      <c r="L3" s="188" t="s">
        <v>134</v>
      </c>
    </row>
    <row r="4" spans="1:17" s="75" customFormat="1">
      <c r="A4" s="158"/>
      <c r="C4" s="188" t="s">
        <v>133</v>
      </c>
      <c r="D4" s="75">
        <v>419605</v>
      </c>
      <c r="E4" s="75">
        <v>431605</v>
      </c>
      <c r="F4" s="75" t="s">
        <v>130</v>
      </c>
      <c r="L4" s="188" t="s">
        <v>133</v>
      </c>
      <c r="M4" s="75" t="s">
        <v>131</v>
      </c>
      <c r="N4" s="75" t="s">
        <v>132</v>
      </c>
      <c r="O4" s="75" t="s">
        <v>130</v>
      </c>
    </row>
    <row r="5" spans="1:17" s="75" customFormat="1" ht="14.4" hidden="1" customHeight="1">
      <c r="A5" s="158">
        <v>42370</v>
      </c>
      <c r="C5" s="160">
        <f t="shared" ref="C5:C11" si="0">D25+D41+D57+D74+D91+D107+D123+D139</f>
        <v>12138.828961458334</v>
      </c>
      <c r="D5" s="160">
        <v>0</v>
      </c>
      <c r="E5" s="160">
        <v>-845.67</v>
      </c>
      <c r="F5" s="160">
        <f>D5+E5</f>
        <v>-845.67</v>
      </c>
      <c r="H5" s="160">
        <f>C5-F5</f>
        <v>12984.498961458334</v>
      </c>
      <c r="J5" s="158">
        <v>42370</v>
      </c>
      <c r="L5" s="160">
        <f t="shared" ref="L5:L11" si="1">M25+M41+M57+M74+M91+M107+M123+M139</f>
        <v>19075.158280208339</v>
      </c>
      <c r="M5" s="160">
        <v>227.34</v>
      </c>
      <c r="N5" s="160">
        <v>-241.31</v>
      </c>
      <c r="O5" s="160">
        <f>M5+N5</f>
        <v>-13.969999999999999</v>
      </c>
      <c r="Q5" s="160">
        <f t="shared" ref="Q5:Q16" si="2">L5-O5</f>
        <v>19089.128280208341</v>
      </c>
    </row>
    <row r="6" spans="1:17" s="75" customFormat="1" ht="14.4" hidden="1" customHeight="1">
      <c r="A6" s="158">
        <v>42401</v>
      </c>
      <c r="C6" s="160">
        <f t="shared" si="0"/>
        <v>14805.128105520616</v>
      </c>
      <c r="D6" s="160">
        <v>40663.879999999997</v>
      </c>
      <c r="E6" s="160">
        <v>-12873.71</v>
      </c>
      <c r="F6" s="160">
        <f t="shared" ref="F6:F16" si="3">D6+E6</f>
        <v>27790.17</v>
      </c>
      <c r="H6" s="160">
        <f>C6-F6</f>
        <v>-12985.041894479382</v>
      </c>
      <c r="J6" s="158">
        <v>42401</v>
      </c>
      <c r="L6" s="160">
        <f t="shared" si="1"/>
        <v>21618.3316057589</v>
      </c>
      <c r="M6" s="160">
        <v>40707.279999999999</v>
      </c>
      <c r="N6" s="160">
        <v>0</v>
      </c>
      <c r="O6" s="160">
        <f t="shared" ref="O6:O16" si="4">M6+N6</f>
        <v>40707.279999999999</v>
      </c>
      <c r="Q6" s="160">
        <f t="shared" si="2"/>
        <v>-19088.948394241099</v>
      </c>
    </row>
    <row r="7" spans="1:17" s="75" customFormat="1" ht="14.4" hidden="1" customHeight="1">
      <c r="A7" s="158">
        <v>42430</v>
      </c>
      <c r="C7" s="160">
        <f t="shared" si="0"/>
        <v>21216.8470233064</v>
      </c>
      <c r="D7" s="160">
        <v>27679.87</v>
      </c>
      <c r="E7" s="160">
        <v>-6463.02</v>
      </c>
      <c r="F7" s="160">
        <f t="shared" si="3"/>
        <v>21216.85</v>
      </c>
      <c r="H7" s="160">
        <f>C7-F7</f>
        <v>-2.976693598611746E-3</v>
      </c>
      <c r="J7" s="158">
        <v>42430</v>
      </c>
      <c r="L7" s="160">
        <f t="shared" si="1"/>
        <v>26000.557929899493</v>
      </c>
      <c r="M7" s="160">
        <v>26000.560000000001</v>
      </c>
      <c r="N7" s="160">
        <v>0</v>
      </c>
      <c r="O7" s="160">
        <f t="shared" si="4"/>
        <v>26000.560000000001</v>
      </c>
      <c r="Q7" s="160">
        <f t="shared" si="2"/>
        <v>-2.0701005087175872E-3</v>
      </c>
    </row>
    <row r="8" spans="1:17" s="75" customFormat="1" ht="14.4" hidden="1" customHeight="1">
      <c r="A8" s="158">
        <v>42461</v>
      </c>
      <c r="C8" s="160">
        <f t="shared" si="0"/>
        <v>28518.790482960325</v>
      </c>
      <c r="D8" s="160">
        <v>35418.050000000003</v>
      </c>
      <c r="E8" s="160">
        <v>-6899.26</v>
      </c>
      <c r="F8" s="160">
        <f t="shared" si="3"/>
        <v>28518.79</v>
      </c>
      <c r="H8" s="160">
        <f>C8-F8</f>
        <v>4.8296032400685363E-4</v>
      </c>
      <c r="J8" s="158">
        <v>42461</v>
      </c>
      <c r="L8" s="160">
        <f t="shared" si="1"/>
        <v>32143.444959285753</v>
      </c>
      <c r="M8" s="160">
        <v>32143.439999999999</v>
      </c>
      <c r="N8" s="160">
        <v>0</v>
      </c>
      <c r="O8" s="160">
        <f t="shared" si="4"/>
        <v>32143.439999999999</v>
      </c>
      <c r="Q8" s="160">
        <f t="shared" si="2"/>
        <v>4.9592857540119439E-3</v>
      </c>
    </row>
    <row r="9" spans="1:17" s="75" customFormat="1" ht="14.4" hidden="1" customHeight="1">
      <c r="A9" s="158">
        <v>42491</v>
      </c>
      <c r="C9" s="160">
        <f t="shared" si="0"/>
        <v>34948.340515769523</v>
      </c>
      <c r="D9" s="160">
        <v>41867.5</v>
      </c>
      <c r="E9" s="160">
        <v>-6919.16</v>
      </c>
      <c r="F9" s="160">
        <f t="shared" si="3"/>
        <v>34948.339999999997</v>
      </c>
      <c r="H9" s="160">
        <f t="shared" ref="H9:H10" si="5">C9-F9</f>
        <v>5.1576952682808042E-4</v>
      </c>
      <c r="J9" s="158">
        <v>42491</v>
      </c>
      <c r="L9" s="160">
        <f t="shared" si="1"/>
        <v>36271.862680418359</v>
      </c>
      <c r="M9" s="160">
        <v>36271.86</v>
      </c>
      <c r="N9" s="160">
        <v>0</v>
      </c>
      <c r="O9" s="160">
        <f t="shared" si="4"/>
        <v>36271.86</v>
      </c>
      <c r="Q9" s="160">
        <f t="shared" si="2"/>
        <v>2.6804183580679819E-3</v>
      </c>
    </row>
    <row r="10" spans="1:17" s="75" customFormat="1" ht="14.4" hidden="1" customHeight="1">
      <c r="A10" s="158">
        <v>42522</v>
      </c>
      <c r="C10" s="160">
        <f t="shared" si="0"/>
        <v>38865.864001339985</v>
      </c>
      <c r="D10" s="160">
        <v>45804.97</v>
      </c>
      <c r="E10" s="160">
        <v>-6939.11</v>
      </c>
      <c r="F10" s="160">
        <f t="shared" si="3"/>
        <v>38865.86</v>
      </c>
      <c r="H10" s="160">
        <f t="shared" si="5"/>
        <v>4.001339984824881E-3</v>
      </c>
      <c r="J10" s="158">
        <v>42522</v>
      </c>
      <c r="L10" s="160">
        <f t="shared" si="1"/>
        <v>38570.76456698023</v>
      </c>
      <c r="M10" s="160">
        <v>38570.76</v>
      </c>
      <c r="N10" s="160">
        <v>0</v>
      </c>
      <c r="O10" s="160">
        <f t="shared" si="4"/>
        <v>38570.76</v>
      </c>
      <c r="Q10" s="160">
        <f>L10-O10</f>
        <v>4.5669802275369875E-3</v>
      </c>
    </row>
    <row r="11" spans="1:17" s="75" customFormat="1" ht="14.4" hidden="1" customHeight="1">
      <c r="A11" s="158">
        <v>42552</v>
      </c>
      <c r="C11" s="160">
        <f t="shared" si="0"/>
        <v>38879.768430680211</v>
      </c>
      <c r="D11" s="160">
        <v>45919.34</v>
      </c>
      <c r="E11" s="160">
        <v>-7039.57</v>
      </c>
      <c r="F11" s="160">
        <f t="shared" si="3"/>
        <v>38879.769999999997</v>
      </c>
      <c r="H11" s="160">
        <f>C11-F11</f>
        <v>-1.5693197856307961E-3</v>
      </c>
      <c r="J11" s="158">
        <v>42552</v>
      </c>
      <c r="L11" s="160">
        <f t="shared" si="1"/>
        <v>39874.722022982445</v>
      </c>
      <c r="M11" s="160">
        <v>39873.269999999997</v>
      </c>
      <c r="N11" s="160">
        <v>0</v>
      </c>
      <c r="O11" s="160">
        <f t="shared" si="4"/>
        <v>39873.269999999997</v>
      </c>
      <c r="Q11" s="160">
        <f>L11-O11</f>
        <v>1.4520229824483977</v>
      </c>
    </row>
    <row r="12" spans="1:17" s="75" customFormat="1" ht="14.4" hidden="1" customHeight="1">
      <c r="A12" s="158">
        <v>42583</v>
      </c>
      <c r="C12" s="160">
        <f>D32+D48+D65+D64+D82+D81+D98+D114+D130+D146</f>
        <v>18091.712188603022</v>
      </c>
      <c r="D12" s="160">
        <v>35500.39</v>
      </c>
      <c r="E12" s="160">
        <v>-17408.61</v>
      </c>
      <c r="F12" s="160">
        <f t="shared" si="3"/>
        <v>18091.78</v>
      </c>
      <c r="H12" s="171">
        <f>C12-F12</f>
        <v>-6.7811396977049299E-2</v>
      </c>
      <c r="J12" s="158">
        <v>42583</v>
      </c>
      <c r="L12" s="160">
        <f>M32+M48+M65+M82+M98+M114+M130+M146</f>
        <v>39993.332391382814</v>
      </c>
      <c r="M12" s="160">
        <v>39991.86</v>
      </c>
      <c r="N12" s="160">
        <v>0</v>
      </c>
      <c r="O12" s="160">
        <f>M12+N12</f>
        <v>39991.86</v>
      </c>
      <c r="Q12" s="160">
        <f>L12-O12</f>
        <v>1.4723913828129298</v>
      </c>
    </row>
    <row r="13" spans="1:17" s="75" customFormat="1" ht="14.4" hidden="1" customHeight="1">
      <c r="A13" s="158">
        <v>42614</v>
      </c>
      <c r="C13" s="160">
        <f>D33+D49+D66+D83+D99+D115+D131+D147</f>
        <v>37204.480438736449</v>
      </c>
      <c r="D13" s="160">
        <v>45637.25</v>
      </c>
      <c r="E13" s="160">
        <v>-8432.77</v>
      </c>
      <c r="F13" s="160">
        <f t="shared" si="3"/>
        <v>37204.479999999996</v>
      </c>
      <c r="H13" s="171">
        <f>C13-F13</f>
        <v>4.3873645336134359E-4</v>
      </c>
      <c r="J13" s="158">
        <v>42614</v>
      </c>
      <c r="L13" s="160">
        <f>M33+M49+M66+M83+M99+M115+M131+M147</f>
        <v>40048.203735857678</v>
      </c>
      <c r="M13" s="160">
        <v>40048.199999999997</v>
      </c>
      <c r="N13" s="160">
        <v>0</v>
      </c>
      <c r="O13" s="160">
        <f t="shared" si="4"/>
        <v>40048.199999999997</v>
      </c>
      <c r="Q13" s="160">
        <f t="shared" si="2"/>
        <v>3.7358576810220256E-3</v>
      </c>
    </row>
    <row r="14" spans="1:17" s="75" customFormat="1">
      <c r="A14" s="158">
        <v>42644</v>
      </c>
      <c r="C14" s="160">
        <f>D34+D50+D67+D84+D100+D116+D132+D148</f>
        <v>42441.004208860904</v>
      </c>
      <c r="D14" s="160">
        <v>50281.94</v>
      </c>
      <c r="E14" s="160">
        <v>-7840.93</v>
      </c>
      <c r="F14" s="160">
        <f t="shared" si="3"/>
        <v>42441.01</v>
      </c>
      <c r="H14" s="171">
        <f>C14-F14</f>
        <v>-5.7911390977096744E-3</v>
      </c>
      <c r="J14" s="158">
        <v>42644</v>
      </c>
      <c r="L14" s="160">
        <f>M34+M50+M67+M84+M100+M116+M132+M148</f>
        <v>41744.868573837259</v>
      </c>
      <c r="M14" s="160">
        <v>41744.85</v>
      </c>
      <c r="N14" s="160">
        <v>0</v>
      </c>
      <c r="O14" s="160">
        <f t="shared" si="4"/>
        <v>41744.85</v>
      </c>
      <c r="Q14" s="160">
        <f t="shared" si="2"/>
        <v>1.8573837260191794E-2</v>
      </c>
    </row>
    <row r="15" spans="1:17" s="75" customFormat="1">
      <c r="A15" s="158">
        <v>42675</v>
      </c>
      <c r="C15" s="160">
        <f>D35+D51+D68+D85+D101+D117+D133+D149</f>
        <v>47640.5937127086</v>
      </c>
      <c r="D15" s="160">
        <v>56401.38</v>
      </c>
      <c r="E15" s="160">
        <v>-8417.83</v>
      </c>
      <c r="F15" s="160">
        <f t="shared" si="3"/>
        <v>47983.549999999996</v>
      </c>
      <c r="H15" s="171">
        <f t="shared" ref="H15:H16" si="6">C15-F15</f>
        <v>-342.95628729139571</v>
      </c>
      <c r="J15" s="158">
        <v>42675</v>
      </c>
      <c r="L15" s="160">
        <f>M35+M51+M68+M85+M101+M117+M133+M149</f>
        <v>45964.263178010951</v>
      </c>
      <c r="M15" s="160">
        <v>46557.7</v>
      </c>
      <c r="N15" s="160">
        <v>0</v>
      </c>
      <c r="O15" s="160">
        <f t="shared" si="4"/>
        <v>46557.7</v>
      </c>
      <c r="Q15" s="160">
        <f t="shared" si="2"/>
        <v>-593.43682198904571</v>
      </c>
    </row>
    <row r="16" spans="1:17" s="75" customFormat="1">
      <c r="A16" s="158">
        <v>42705</v>
      </c>
      <c r="C16" s="160">
        <f>D36+D52+D69+D86+D102+D118+D134+D150</f>
        <v>48130.581036037343</v>
      </c>
      <c r="D16" s="160">
        <v>54814.76</v>
      </c>
      <c r="E16" s="160">
        <v>-7027.12</v>
      </c>
      <c r="F16" s="160">
        <f t="shared" si="3"/>
        <v>47787.64</v>
      </c>
      <c r="H16" s="171">
        <f t="shared" si="6"/>
        <v>342.94103603734402</v>
      </c>
      <c r="J16" s="158">
        <v>42705</v>
      </c>
      <c r="L16" s="160">
        <f>M36+M52+M69+M86+M102+M118+M134+M150</f>
        <v>46425.248070613496</v>
      </c>
      <c r="M16" s="160">
        <v>45831.79</v>
      </c>
      <c r="N16" s="160">
        <v>0</v>
      </c>
      <c r="O16" s="160">
        <f t="shared" si="4"/>
        <v>45831.79</v>
      </c>
      <c r="Q16" s="160">
        <f t="shared" si="2"/>
        <v>593.45807061349478</v>
      </c>
    </row>
    <row r="17" spans="1:17" s="75" customFormat="1" ht="14.4" hidden="1" customHeight="1">
      <c r="A17" s="158" t="s">
        <v>129</v>
      </c>
      <c r="C17" s="160">
        <f>SUM(C5:C7)</f>
        <v>48160.804090285354</v>
      </c>
      <c r="D17" s="160">
        <f t="shared" ref="D17:F17" si="7">SUM(D5:D7)</f>
        <v>68343.75</v>
      </c>
      <c r="E17" s="160">
        <f t="shared" si="7"/>
        <v>-20182.400000000001</v>
      </c>
      <c r="F17" s="160">
        <f t="shared" si="7"/>
        <v>48161.35</v>
      </c>
      <c r="H17" s="160">
        <f>C17-F17</f>
        <v>-0.54590971464494942</v>
      </c>
      <c r="J17" s="158" t="s">
        <v>129</v>
      </c>
      <c r="L17" s="160">
        <f>SUM(L5:L7)</f>
        <v>66694.047815866739</v>
      </c>
      <c r="M17" s="160">
        <f t="shared" ref="M17:O17" si="8">SUM(M5:M7)</f>
        <v>66935.179999999993</v>
      </c>
      <c r="N17" s="160">
        <f t="shared" si="8"/>
        <v>-241.31</v>
      </c>
      <c r="O17" s="160">
        <f t="shared" si="8"/>
        <v>66693.87</v>
      </c>
      <c r="Q17" s="160">
        <f>L17-O17</f>
        <v>0.17781586674391292</v>
      </c>
    </row>
    <row r="18" spans="1:17" s="75" customFormat="1" ht="14.4" hidden="1" customHeight="1">
      <c r="A18" s="158" t="s">
        <v>137</v>
      </c>
      <c r="C18" s="160">
        <f>SUM(C8:C10)</f>
        <v>102332.99500006983</v>
      </c>
      <c r="D18" s="160">
        <f t="shared" ref="D18:F18" si="9">SUM(D8:D10)</f>
        <v>123090.52</v>
      </c>
      <c r="E18" s="160">
        <f t="shared" si="9"/>
        <v>-20757.53</v>
      </c>
      <c r="F18" s="160">
        <f t="shared" si="9"/>
        <v>102332.98999999999</v>
      </c>
      <c r="H18" s="160">
        <f>SUM(H8:H10)</f>
        <v>5.000069835659815E-3</v>
      </c>
      <c r="J18" s="158" t="s">
        <v>137</v>
      </c>
      <c r="L18" s="160">
        <f>SUM(L8:L10)</f>
        <v>106986.07220668434</v>
      </c>
      <c r="M18" s="160">
        <f t="shared" ref="M18:O18" si="10">SUM(M8:M10)</f>
        <v>106986.06</v>
      </c>
      <c r="N18" s="160">
        <f t="shared" si="10"/>
        <v>0</v>
      </c>
      <c r="O18" s="160">
        <f t="shared" si="10"/>
        <v>106986.06</v>
      </c>
      <c r="Q18" s="160">
        <f>L18-O18</f>
        <v>1.2206684346892871E-2</v>
      </c>
    </row>
    <row r="19" spans="1:17" s="75" customFormat="1" ht="14.4" hidden="1" customHeight="1">
      <c r="A19" s="158" t="s">
        <v>140</v>
      </c>
      <c r="C19" s="160">
        <f>SUM(C11:C13)</f>
        <v>94175.96105801969</v>
      </c>
      <c r="D19" s="160">
        <f t="shared" ref="D19:F19" si="11">SUM(D11:D13)</f>
        <v>127056.98</v>
      </c>
      <c r="E19" s="160">
        <f t="shared" si="11"/>
        <v>-32880.949999999997</v>
      </c>
      <c r="F19" s="160">
        <f t="shared" si="11"/>
        <v>94176.03</v>
      </c>
      <c r="H19" s="160">
        <f>C19-F19</f>
        <v>-6.8941980309318751E-2</v>
      </c>
      <c r="J19" s="158" t="s">
        <v>141</v>
      </c>
      <c r="L19" s="160">
        <f>SUM(L11:L13)</f>
        <v>119916.25815022294</v>
      </c>
      <c r="M19" s="160">
        <f>SUM(M11:M13)</f>
        <v>119913.33</v>
      </c>
      <c r="N19" s="160">
        <f t="shared" ref="N19:O19" si="12">SUM(N11:N13)</f>
        <v>0</v>
      </c>
      <c r="O19" s="160">
        <f t="shared" si="12"/>
        <v>119913.33</v>
      </c>
      <c r="Q19" s="160">
        <f>L19-O19</f>
        <v>2.9281502229423495</v>
      </c>
    </row>
    <row r="20" spans="1:17" s="75" customFormat="1">
      <c r="A20" s="158" t="s">
        <v>178</v>
      </c>
      <c r="C20" s="160">
        <f>SUM(C14:C16)</f>
        <v>138212.17895760684</v>
      </c>
      <c r="D20" s="160">
        <f t="shared" ref="D20:F20" si="13">SUM(D14:D16)</f>
        <v>161498.08000000002</v>
      </c>
      <c r="E20" s="160">
        <f t="shared" si="13"/>
        <v>-23285.88</v>
      </c>
      <c r="F20" s="160">
        <f t="shared" si="13"/>
        <v>138212.20000000001</v>
      </c>
      <c r="H20" s="160">
        <f>C20-F20</f>
        <v>-2.1042393171228468E-2</v>
      </c>
      <c r="J20" s="158" t="s">
        <v>178</v>
      </c>
      <c r="L20" s="160">
        <f>SUM(L14:L16)</f>
        <v>134134.37982246169</v>
      </c>
      <c r="M20" s="160">
        <f t="shared" ref="M20:O20" si="14">SUM(M14:M16)</f>
        <v>134134.34</v>
      </c>
      <c r="N20" s="160">
        <f t="shared" si="14"/>
        <v>0</v>
      </c>
      <c r="O20" s="160">
        <f t="shared" si="14"/>
        <v>134134.34</v>
      </c>
      <c r="Q20" s="160">
        <f>L20-O20</f>
        <v>3.9822461694711819E-2</v>
      </c>
    </row>
    <row r="21" spans="1:17" s="75" customFormat="1"/>
    <row r="22" spans="1:17">
      <c r="A22" s="75">
        <v>186328</v>
      </c>
      <c r="B22" s="75" t="s">
        <v>53</v>
      </c>
      <c r="C22" s="188" t="s">
        <v>120</v>
      </c>
      <c r="D22" s="188" t="s">
        <v>121</v>
      </c>
      <c r="E22" s="188"/>
      <c r="F22" s="188" t="s">
        <v>123</v>
      </c>
      <c r="G22" s="75"/>
      <c r="H22" s="188" t="s">
        <v>121</v>
      </c>
      <c r="I22" s="75"/>
      <c r="J22" s="75">
        <v>186328</v>
      </c>
      <c r="K22" s="75" t="s">
        <v>54</v>
      </c>
      <c r="L22" s="188" t="s">
        <v>120</v>
      </c>
      <c r="M22" s="188" t="s">
        <v>121</v>
      </c>
      <c r="N22" s="188"/>
      <c r="O22" s="188" t="s">
        <v>123</v>
      </c>
      <c r="P22" s="75"/>
      <c r="Q22" s="188" t="s">
        <v>121</v>
      </c>
    </row>
    <row r="23" spans="1:17">
      <c r="A23" s="75"/>
      <c r="B23" s="75"/>
      <c r="C23" s="188" t="s">
        <v>124</v>
      </c>
      <c r="D23" s="188" t="s">
        <v>125</v>
      </c>
      <c r="E23" s="188" t="s">
        <v>126</v>
      </c>
      <c r="F23" s="188" t="s">
        <v>122</v>
      </c>
      <c r="G23" s="75"/>
      <c r="H23" s="188" t="s">
        <v>127</v>
      </c>
      <c r="I23" s="75"/>
      <c r="J23" s="75"/>
      <c r="K23" s="75"/>
      <c r="L23" s="188" t="s">
        <v>124</v>
      </c>
      <c r="M23" s="188" t="s">
        <v>125</v>
      </c>
      <c r="N23" s="188" t="s">
        <v>126</v>
      </c>
      <c r="O23" s="188" t="s">
        <v>122</v>
      </c>
      <c r="P23" s="75"/>
      <c r="Q23" s="188" t="s">
        <v>127</v>
      </c>
    </row>
    <row r="24" spans="1:17" ht="14.4" hidden="1" customHeight="1">
      <c r="A24" s="158">
        <v>42339</v>
      </c>
      <c r="B24" s="159"/>
      <c r="C24" s="159"/>
      <c r="D24" s="75"/>
      <c r="E24" s="75"/>
      <c r="F24" s="160">
        <v>0</v>
      </c>
      <c r="G24" s="75"/>
      <c r="H24" s="75"/>
      <c r="I24" s="75"/>
      <c r="J24" s="158">
        <v>42339</v>
      </c>
      <c r="K24" s="159"/>
      <c r="L24" s="159"/>
      <c r="M24" s="75"/>
      <c r="N24" s="75"/>
      <c r="O24" s="160">
        <v>0</v>
      </c>
      <c r="P24" s="75"/>
      <c r="Q24" s="75"/>
    </row>
    <row r="25" spans="1:17" ht="14.4" hidden="1" customHeight="1">
      <c r="A25" s="158">
        <v>42370</v>
      </c>
      <c r="B25" s="75"/>
      <c r="C25" s="160">
        <v>-505073.02</v>
      </c>
      <c r="D25" s="160">
        <f t="shared" ref="D25:D35" si="15">(F24+(C25+E25)/2)*H25/12</f>
        <v>-683.95304791666661</v>
      </c>
      <c r="E25" s="75"/>
      <c r="F25" s="160">
        <f t="shared" ref="F25:F36" si="16">F24+C25+D25+E25</f>
        <v>-505756.97304791666</v>
      </c>
      <c r="G25" s="75"/>
      <c r="H25" s="161">
        <v>3.2500000000000001E-2</v>
      </c>
      <c r="I25" s="75"/>
      <c r="J25" s="158">
        <v>42370</v>
      </c>
      <c r="K25" s="75"/>
      <c r="L25" s="160">
        <v>-178200.56</v>
      </c>
      <c r="M25" s="160">
        <f t="shared" ref="M25:M36" si="17">(O24+(L25+N25)/2)*Q25/12</f>
        <v>-241.31325833333335</v>
      </c>
      <c r="N25" s="75"/>
      <c r="O25" s="160">
        <f t="shared" ref="O25:O36" si="18">O24+L25+M25+N25</f>
        <v>-178441.87325833333</v>
      </c>
      <c r="P25" s="75"/>
      <c r="Q25" s="161">
        <v>3.2500000000000001E-2</v>
      </c>
    </row>
    <row r="26" spans="1:17" ht="14.4" hidden="1" customHeight="1">
      <c r="A26" s="158">
        <v>42401</v>
      </c>
      <c r="B26" s="75"/>
      <c r="C26" s="160">
        <v>1683233.91</v>
      </c>
      <c r="D26" s="160">
        <f t="shared" si="15"/>
        <v>909.62078445355894</v>
      </c>
      <c r="E26" s="75"/>
      <c r="F26" s="160">
        <f t="shared" si="16"/>
        <v>1178386.557736537</v>
      </c>
      <c r="G26" s="75"/>
      <c r="H26" s="161">
        <f>H25</f>
        <v>3.2500000000000001E-2</v>
      </c>
      <c r="I26" s="75"/>
      <c r="J26" s="158">
        <v>42401</v>
      </c>
      <c r="K26" s="75"/>
      <c r="L26" s="160">
        <v>1590110.8</v>
      </c>
      <c r="M26" s="160">
        <f t="shared" si="17"/>
        <v>1669.994968258681</v>
      </c>
      <c r="N26" s="75"/>
      <c r="O26" s="160">
        <f t="shared" si="18"/>
        <v>1413338.9217099254</v>
      </c>
      <c r="P26" s="75"/>
      <c r="Q26" s="161">
        <f>Q25</f>
        <v>3.2500000000000001E-2</v>
      </c>
    </row>
    <row r="27" spans="1:17" ht="14.4" hidden="1" customHeight="1">
      <c r="A27" s="158">
        <v>42430</v>
      </c>
      <c r="B27" s="75"/>
      <c r="C27" s="166">
        <v>2344774.58</v>
      </c>
      <c r="D27" s="166">
        <f t="shared" si="15"/>
        <v>6366.6791709531208</v>
      </c>
      <c r="E27" s="75"/>
      <c r="F27" s="160">
        <f>F26+C27+D27+E27</f>
        <v>3529527.8169074901</v>
      </c>
      <c r="G27" s="75"/>
      <c r="H27" s="161">
        <f t="shared" ref="H27:H36" si="19">H26</f>
        <v>3.2500000000000001E-2</v>
      </c>
      <c r="I27" s="75"/>
      <c r="J27" s="158">
        <v>42430</v>
      </c>
      <c r="K27" s="75"/>
      <c r="L27" s="166">
        <v>1147195.6299999999</v>
      </c>
      <c r="M27" s="166">
        <f t="shared" si="17"/>
        <v>5381.2869952560477</v>
      </c>
      <c r="N27" s="75"/>
      <c r="O27" s="160">
        <f t="shared" si="18"/>
        <v>2565915.8387051811</v>
      </c>
      <c r="P27" s="75"/>
      <c r="Q27" s="161">
        <f t="shared" ref="Q27" si="20">Q26</f>
        <v>3.2500000000000001E-2</v>
      </c>
    </row>
    <row r="28" spans="1:17" ht="14.4" hidden="1" customHeight="1">
      <c r="A28" s="158">
        <v>42461</v>
      </c>
      <c r="B28" s="75"/>
      <c r="C28" s="160">
        <v>1617557.1</v>
      </c>
      <c r="D28" s="160">
        <f>(F27+(C28+E28)/2)*H28/12</f>
        <v>12508.783357916596</v>
      </c>
      <c r="E28" s="75"/>
      <c r="F28" s="160">
        <f>F27+C28+D28+E28</f>
        <v>5159593.7002654066</v>
      </c>
      <c r="G28" s="75"/>
      <c r="H28" s="161">
        <v>3.4599999999999999E-2</v>
      </c>
      <c r="I28" s="75"/>
      <c r="J28" s="158">
        <v>42461</v>
      </c>
      <c r="K28" s="75"/>
      <c r="L28" s="160">
        <v>1412741.69</v>
      </c>
      <c r="M28" s="160">
        <f t="shared" si="17"/>
        <v>9435.0932713499369</v>
      </c>
      <c r="N28" s="75"/>
      <c r="O28" s="160">
        <f t="shared" si="18"/>
        <v>3988092.6219765311</v>
      </c>
      <c r="P28" s="75"/>
      <c r="Q28" s="161">
        <v>3.4599999999999999E-2</v>
      </c>
    </row>
    <row r="29" spans="1:17" ht="14.4" hidden="1" customHeight="1">
      <c r="A29" s="158">
        <v>42491</v>
      </c>
      <c r="B29" s="75"/>
      <c r="C29" s="160">
        <v>2162113.91</v>
      </c>
      <c r="D29" s="160">
        <f t="shared" si="15"/>
        <v>17993.876056015255</v>
      </c>
      <c r="E29" s="75"/>
      <c r="F29" s="160">
        <f t="shared" si="16"/>
        <v>7339701.4863214223</v>
      </c>
      <c r="G29" s="75"/>
      <c r="H29" s="161">
        <f t="shared" si="19"/>
        <v>3.4599999999999999E-2</v>
      </c>
      <c r="I29" s="75"/>
      <c r="J29" s="158">
        <v>42491</v>
      </c>
      <c r="K29" s="75"/>
      <c r="L29" s="160">
        <v>884958.88</v>
      </c>
      <c r="M29" s="160">
        <f t="shared" si="17"/>
        <v>12774.816112032333</v>
      </c>
      <c r="N29" s="75"/>
      <c r="O29" s="160">
        <f t="shared" si="18"/>
        <v>4885826.3180885632</v>
      </c>
      <c r="P29" s="75"/>
      <c r="Q29" s="161">
        <f t="shared" ref="Q29:Q36" si="21">Q28</f>
        <v>3.4599999999999999E-2</v>
      </c>
    </row>
    <row r="30" spans="1:17" ht="14.4" hidden="1" customHeight="1">
      <c r="A30" s="158">
        <v>42522</v>
      </c>
      <c r="B30" s="75"/>
      <c r="C30" s="160">
        <v>182736.7</v>
      </c>
      <c r="D30" s="160">
        <f>(F29+(C30+E30)/2)*H30/12</f>
        <v>21426.251361393432</v>
      </c>
      <c r="E30" s="75"/>
      <c r="F30" s="160">
        <f t="shared" si="16"/>
        <v>7543864.4376828158</v>
      </c>
      <c r="G30" s="75"/>
      <c r="H30" s="161">
        <f t="shared" si="19"/>
        <v>3.4599999999999999E-2</v>
      </c>
      <c r="I30" s="75"/>
      <c r="J30" s="158">
        <v>42522</v>
      </c>
      <c r="K30" s="75"/>
      <c r="L30" s="160">
        <v>260272.19</v>
      </c>
      <c r="M30" s="160">
        <f t="shared" si="17"/>
        <v>14462.691624405355</v>
      </c>
      <c r="N30" s="75"/>
      <c r="O30" s="160">
        <f t="shared" si="18"/>
        <v>5160561.1997129694</v>
      </c>
      <c r="P30" s="75"/>
      <c r="Q30" s="161">
        <f t="shared" si="21"/>
        <v>3.4599999999999999E-2</v>
      </c>
    </row>
    <row r="31" spans="1:17" ht="14.4" hidden="1" customHeight="1">
      <c r="A31" s="158">
        <v>42552</v>
      </c>
      <c r="B31" s="75"/>
      <c r="C31" s="160">
        <v>-979262.15</v>
      </c>
      <c r="D31" s="160">
        <f>(F30+(C31+E31)/2)*H31/12</f>
        <v>20574.847307824883</v>
      </c>
      <c r="E31" s="75"/>
      <c r="F31" s="160">
        <f t="shared" si="16"/>
        <v>6585177.13499064</v>
      </c>
      <c r="G31" s="75"/>
      <c r="H31" s="161">
        <v>3.5000000000000003E-2</v>
      </c>
      <c r="I31" s="75"/>
      <c r="J31" s="158">
        <v>42552</v>
      </c>
      <c r="K31" s="75"/>
      <c r="L31" s="160">
        <v>10725.09</v>
      </c>
      <c r="M31" s="160">
        <f t="shared" si="17"/>
        <v>15067.277588746161</v>
      </c>
      <c r="N31" s="75"/>
      <c r="O31" s="160">
        <f t="shared" si="18"/>
        <v>5186353.5673017157</v>
      </c>
      <c r="P31" s="75"/>
      <c r="Q31" s="161">
        <v>3.5000000000000003E-2</v>
      </c>
    </row>
    <row r="32" spans="1:17" ht="14.4" hidden="1" customHeight="1">
      <c r="A32" s="158">
        <v>42583</v>
      </c>
      <c r="B32" s="75"/>
      <c r="C32" s="160">
        <v>386907.39</v>
      </c>
      <c r="D32" s="160">
        <f>(F31+(C32+E32)/2)*H32/12</f>
        <v>19771.006587472704</v>
      </c>
      <c r="E32" s="75"/>
      <c r="F32" s="160">
        <f t="shared" si="16"/>
        <v>6991855.5315781124</v>
      </c>
      <c r="G32" s="75"/>
      <c r="H32" s="161">
        <f t="shared" si="19"/>
        <v>3.5000000000000003E-2</v>
      </c>
      <c r="I32" s="75"/>
      <c r="J32" s="158">
        <v>42583</v>
      </c>
      <c r="K32" s="75"/>
      <c r="L32" s="160">
        <v>-108531.15</v>
      </c>
      <c r="M32" s="160">
        <f t="shared" si="17"/>
        <v>14968.589977546673</v>
      </c>
      <c r="N32" s="75"/>
      <c r="O32" s="160">
        <f t="shared" si="18"/>
        <v>5092791.0072792619</v>
      </c>
      <c r="P32" s="75"/>
      <c r="Q32" s="161">
        <f t="shared" si="21"/>
        <v>3.5000000000000003E-2</v>
      </c>
    </row>
    <row r="33" spans="1:17">
      <c r="A33" s="158">
        <v>42614</v>
      </c>
      <c r="B33" s="75"/>
      <c r="C33" s="160">
        <v>101801.92</v>
      </c>
      <c r="D33" s="160">
        <f>(F32+(C33+E33)/2)*H33/12</f>
        <v>20541.373100436165</v>
      </c>
      <c r="E33" s="75"/>
      <c r="F33" s="160">
        <f t="shared" si="16"/>
        <v>7114198.8246785486</v>
      </c>
      <c r="G33" s="75"/>
      <c r="H33" s="161">
        <f t="shared" si="19"/>
        <v>3.5000000000000003E-2</v>
      </c>
      <c r="I33" s="75"/>
      <c r="J33" s="158">
        <v>42614</v>
      </c>
      <c r="K33" s="75"/>
      <c r="L33" s="160">
        <v>-364.4</v>
      </c>
      <c r="M33" s="160">
        <f t="shared" si="17"/>
        <v>14853.442354564513</v>
      </c>
      <c r="N33" s="75"/>
      <c r="O33" s="160">
        <f t="shared" si="18"/>
        <v>5107280.0496338261</v>
      </c>
      <c r="P33" s="75"/>
      <c r="Q33" s="161">
        <f t="shared" si="21"/>
        <v>3.5000000000000003E-2</v>
      </c>
    </row>
    <row r="34" spans="1:17">
      <c r="A34" s="158">
        <v>42644</v>
      </c>
      <c r="B34" s="75"/>
      <c r="C34" s="160">
        <v>1843263.13</v>
      </c>
      <c r="D34" s="160">
        <f t="shared" si="15"/>
        <v>23437.838636562436</v>
      </c>
      <c r="E34" s="75"/>
      <c r="F34" s="160">
        <f t="shared" si="16"/>
        <v>8980899.7933151107</v>
      </c>
      <c r="G34" s="75"/>
      <c r="H34" s="161">
        <f t="shared" si="19"/>
        <v>3.5000000000000003E-2</v>
      </c>
      <c r="I34" s="75"/>
      <c r="J34" s="158">
        <v>42644</v>
      </c>
      <c r="K34" s="75"/>
      <c r="L34" s="160">
        <v>896301.95</v>
      </c>
      <c r="M34" s="160">
        <f t="shared" si="17"/>
        <v>16203.340488515327</v>
      </c>
      <c r="N34" s="75"/>
      <c r="O34" s="160">
        <f t="shared" si="18"/>
        <v>6019785.3401223412</v>
      </c>
      <c r="P34" s="75"/>
      <c r="Q34" s="161">
        <f t="shared" si="21"/>
        <v>3.5000000000000003E-2</v>
      </c>
    </row>
    <row r="35" spans="1:17">
      <c r="A35" s="158">
        <v>42675</v>
      </c>
      <c r="B35" s="75"/>
      <c r="C35" s="160">
        <v>1757235.25</v>
      </c>
      <c r="D35" s="160">
        <f t="shared" si="15"/>
        <v>28756.925803419075</v>
      </c>
      <c r="E35" s="23"/>
      <c r="F35" s="160">
        <f t="shared" si="16"/>
        <v>10766891.96911853</v>
      </c>
      <c r="G35" s="75"/>
      <c r="H35" s="161">
        <f t="shared" si="19"/>
        <v>3.5000000000000003E-2</v>
      </c>
      <c r="I35" s="75"/>
      <c r="J35" s="158">
        <v>42675</v>
      </c>
      <c r="K35" s="75"/>
      <c r="L35" s="160">
        <v>1722739.3</v>
      </c>
      <c r="M35" s="160">
        <f t="shared" si="17"/>
        <v>20070.035387856831</v>
      </c>
      <c r="N35" s="23"/>
      <c r="O35" s="160">
        <f t="shared" si="18"/>
        <v>7762594.6755101979</v>
      </c>
      <c r="P35" s="75"/>
      <c r="Q35" s="161">
        <f t="shared" si="21"/>
        <v>3.5000000000000003E-2</v>
      </c>
    </row>
    <row r="36" spans="1:17">
      <c r="A36" s="158">
        <v>42705</v>
      </c>
      <c r="B36" s="159"/>
      <c r="C36" s="160">
        <v>-509348.01</v>
      </c>
      <c r="D36" s="160">
        <f>(F35+(C36+E36)/2)*H36/12</f>
        <v>30660.635728679044</v>
      </c>
      <c r="E36" s="23"/>
      <c r="F36" s="160">
        <f t="shared" si="16"/>
        <v>10288204.59484721</v>
      </c>
      <c r="G36" s="75"/>
      <c r="H36" s="161">
        <f t="shared" si="19"/>
        <v>3.5000000000000003E-2</v>
      </c>
      <c r="I36" s="75"/>
      <c r="J36" s="158">
        <v>42705</v>
      </c>
      <c r="K36" s="159"/>
      <c r="L36" s="160">
        <v>-631337.51</v>
      </c>
      <c r="M36" s="160">
        <f t="shared" si="17"/>
        <v>21720.200601488079</v>
      </c>
      <c r="N36" s="23"/>
      <c r="O36" s="160">
        <f t="shared" si="18"/>
        <v>7152977.3661116865</v>
      </c>
      <c r="P36" s="75"/>
      <c r="Q36" s="161">
        <f t="shared" si="21"/>
        <v>3.5000000000000003E-2</v>
      </c>
    </row>
    <row r="37" spans="1:17">
      <c r="A37" s="75"/>
      <c r="B37" s="75"/>
      <c r="C37" s="75"/>
      <c r="D37" s="75"/>
      <c r="E37" s="75"/>
      <c r="F37" s="160"/>
      <c r="G37" s="75"/>
      <c r="H37" s="75"/>
      <c r="I37" s="75"/>
      <c r="J37" s="75"/>
      <c r="K37" s="75"/>
      <c r="L37" s="75"/>
      <c r="M37" s="75"/>
      <c r="N37" s="75"/>
      <c r="O37" s="160"/>
      <c r="P37" s="75"/>
      <c r="Q37" s="75"/>
    </row>
    <row r="38" spans="1:17">
      <c r="A38" s="75">
        <v>186338</v>
      </c>
      <c r="B38" s="75" t="s">
        <v>53</v>
      </c>
      <c r="C38" s="188" t="s">
        <v>120</v>
      </c>
      <c r="D38" s="188" t="s">
        <v>121</v>
      </c>
      <c r="E38" s="188"/>
      <c r="F38" s="160" t="s">
        <v>123</v>
      </c>
      <c r="G38" s="75"/>
      <c r="H38" s="188" t="s">
        <v>121</v>
      </c>
      <c r="I38" s="75"/>
      <c r="J38" s="75">
        <v>186338</v>
      </c>
      <c r="K38" s="75" t="s">
        <v>54</v>
      </c>
      <c r="L38" s="188" t="s">
        <v>120</v>
      </c>
      <c r="M38" s="188" t="s">
        <v>121</v>
      </c>
      <c r="N38" s="188"/>
      <c r="O38" s="160" t="s">
        <v>123</v>
      </c>
      <c r="P38" s="75"/>
      <c r="Q38" s="188" t="s">
        <v>121</v>
      </c>
    </row>
    <row r="39" spans="1:17">
      <c r="A39" s="75"/>
      <c r="B39" s="75"/>
      <c r="C39" s="188" t="s">
        <v>124</v>
      </c>
      <c r="D39" s="188" t="s">
        <v>125</v>
      </c>
      <c r="E39" s="188" t="s">
        <v>126</v>
      </c>
      <c r="F39" s="160" t="s">
        <v>122</v>
      </c>
      <c r="G39" s="75"/>
      <c r="H39" s="188" t="s">
        <v>127</v>
      </c>
      <c r="I39" s="75"/>
      <c r="J39" s="75"/>
      <c r="K39" s="75"/>
      <c r="L39" s="188" t="s">
        <v>124</v>
      </c>
      <c r="M39" s="188" t="s">
        <v>125</v>
      </c>
      <c r="N39" s="188" t="s">
        <v>126</v>
      </c>
      <c r="O39" s="160" t="s">
        <v>122</v>
      </c>
      <c r="P39" s="75"/>
      <c r="Q39" s="188" t="s">
        <v>127</v>
      </c>
    </row>
    <row r="40" spans="1:17" ht="14.4" hidden="1" customHeight="1">
      <c r="A40" s="158">
        <v>42339</v>
      </c>
      <c r="B40" s="159"/>
      <c r="C40" s="159"/>
      <c r="D40" s="75"/>
      <c r="E40" s="75"/>
      <c r="F40" s="160">
        <v>0</v>
      </c>
      <c r="G40" s="75"/>
      <c r="H40" s="75"/>
      <c r="I40" s="75"/>
      <c r="J40" s="158">
        <v>42339</v>
      </c>
      <c r="K40" s="159"/>
      <c r="L40" s="159"/>
      <c r="M40" s="75"/>
      <c r="N40" s="75"/>
      <c r="O40" s="160">
        <v>0</v>
      </c>
      <c r="P40" s="75"/>
      <c r="Q40" s="75"/>
    </row>
    <row r="41" spans="1:17" ht="14.4" hidden="1" customHeight="1">
      <c r="A41" s="158">
        <v>42370</v>
      </c>
      <c r="B41" s="75"/>
      <c r="C41" s="160">
        <v>-119421.31</v>
      </c>
      <c r="D41" s="160">
        <f t="shared" ref="D41:D52" si="22">(F40+(C41+E41)/2)*H41/12</f>
        <v>-161.71635729166667</v>
      </c>
      <c r="E41" s="75"/>
      <c r="F41" s="160">
        <f t="shared" ref="F41:F52" si="23">F40+C41+D41+E41</f>
        <v>-119583.02635729166</v>
      </c>
      <c r="G41" s="75"/>
      <c r="H41" s="161">
        <v>3.2500000000000001E-2</v>
      </c>
      <c r="I41" s="75"/>
      <c r="J41" s="158">
        <v>42370</v>
      </c>
      <c r="K41" s="75"/>
      <c r="L41" s="160">
        <v>156602.47</v>
      </c>
      <c r="M41" s="160">
        <f t="shared" ref="M41:M52" si="24">(O40+(L41+N41)/2)*Q41/12</f>
        <v>212.06584479166668</v>
      </c>
      <c r="N41" s="75"/>
      <c r="O41" s="160">
        <f t="shared" ref="O41:O52" si="25">O40+L41+M41+N41</f>
        <v>156814.53584479168</v>
      </c>
      <c r="P41" s="75"/>
      <c r="Q41" s="161">
        <v>3.2500000000000001E-2</v>
      </c>
    </row>
    <row r="42" spans="1:17" ht="14.4" hidden="1" customHeight="1">
      <c r="A42" s="158">
        <v>42401</v>
      </c>
      <c r="B42" s="75"/>
      <c r="C42" s="160">
        <v>885942.13</v>
      </c>
      <c r="D42" s="160">
        <f t="shared" si="22"/>
        <v>875.84260465733507</v>
      </c>
      <c r="E42" s="75"/>
      <c r="F42" s="160">
        <f t="shared" si="23"/>
        <v>767234.94624736567</v>
      </c>
      <c r="G42" s="75"/>
      <c r="H42" s="161">
        <f>H41</f>
        <v>3.2500000000000001E-2</v>
      </c>
      <c r="I42" s="75"/>
      <c r="J42" s="158">
        <v>42401</v>
      </c>
      <c r="K42" s="75"/>
      <c r="L42" s="160">
        <v>271372.65999999997</v>
      </c>
      <c r="M42" s="160">
        <f t="shared" si="24"/>
        <v>792.18984499631063</v>
      </c>
      <c r="N42" s="75"/>
      <c r="O42" s="160">
        <f t="shared" si="25"/>
        <v>428979.38568978797</v>
      </c>
      <c r="P42" s="75"/>
      <c r="Q42" s="161">
        <f>Q41</f>
        <v>3.2500000000000001E-2</v>
      </c>
    </row>
    <row r="43" spans="1:17" ht="14.4" hidden="1" customHeight="1">
      <c r="A43" s="158">
        <v>42430</v>
      </c>
      <c r="B43" s="75"/>
      <c r="C43" s="166">
        <v>-208753.06</v>
      </c>
      <c r="D43" s="166">
        <f t="shared" si="22"/>
        <v>1795.2415440032819</v>
      </c>
      <c r="E43" s="75"/>
      <c r="F43" s="160">
        <f t="shared" si="23"/>
        <v>560277.12779136898</v>
      </c>
      <c r="G43" s="75"/>
      <c r="H43" s="161">
        <f t="shared" ref="H43" si="26">H42</f>
        <v>3.2500000000000001E-2</v>
      </c>
      <c r="I43" s="75"/>
      <c r="J43" s="158">
        <v>42430</v>
      </c>
      <c r="K43" s="75"/>
      <c r="L43" s="166">
        <v>184189.84</v>
      </c>
      <c r="M43" s="166">
        <f t="shared" si="24"/>
        <v>1411.2429112431757</v>
      </c>
      <c r="N43" s="75"/>
      <c r="O43" s="160">
        <f t="shared" si="25"/>
        <v>614580.46860103123</v>
      </c>
      <c r="P43" s="75"/>
      <c r="Q43" s="161">
        <f t="shared" ref="Q43" si="27">Q42</f>
        <v>3.2500000000000001E-2</v>
      </c>
    </row>
    <row r="44" spans="1:17" ht="14.4" hidden="1" customHeight="1">
      <c r="A44" s="158">
        <v>42461</v>
      </c>
      <c r="B44" s="75"/>
      <c r="C44" s="160">
        <v>317982.18</v>
      </c>
      <c r="D44" s="160">
        <f t="shared" si="22"/>
        <v>2073.8900279651139</v>
      </c>
      <c r="E44" s="75"/>
      <c r="F44" s="160">
        <f t="shared" si="23"/>
        <v>880333.19781933411</v>
      </c>
      <c r="G44" s="75"/>
      <c r="H44" s="161">
        <v>3.4599999999999999E-2</v>
      </c>
      <c r="I44" s="75"/>
      <c r="J44" s="158">
        <v>42461</v>
      </c>
      <c r="K44" s="75"/>
      <c r="L44" s="160">
        <v>299490.90000000002</v>
      </c>
      <c r="M44" s="160">
        <f t="shared" si="24"/>
        <v>2203.806398632973</v>
      </c>
      <c r="N44" s="75"/>
      <c r="O44" s="160">
        <f t="shared" si="25"/>
        <v>916275.17499966419</v>
      </c>
      <c r="P44" s="75"/>
      <c r="Q44" s="161">
        <v>3.4599999999999999E-2</v>
      </c>
    </row>
    <row r="45" spans="1:17" ht="14.4" hidden="1" customHeight="1">
      <c r="A45" s="158">
        <v>42491</v>
      </c>
      <c r="B45" s="75"/>
      <c r="C45" s="160">
        <v>305112.71999999997</v>
      </c>
      <c r="D45" s="160">
        <f t="shared" si="22"/>
        <v>2978.164891712413</v>
      </c>
      <c r="E45" s="75"/>
      <c r="F45" s="160">
        <f t="shared" si="23"/>
        <v>1188424.0827110466</v>
      </c>
      <c r="G45" s="75"/>
      <c r="H45" s="161">
        <f t="shared" ref="H45:H52" si="28">H44</f>
        <v>3.4599999999999999E-2</v>
      </c>
      <c r="I45" s="75"/>
      <c r="J45" s="158">
        <v>42491</v>
      </c>
      <c r="K45" s="75"/>
      <c r="L45" s="160">
        <v>202163.99</v>
      </c>
      <c r="M45" s="160">
        <f t="shared" si="24"/>
        <v>2933.3798401656982</v>
      </c>
      <c r="N45" s="75"/>
      <c r="O45" s="160">
        <f t="shared" si="25"/>
        <v>1121372.5448398299</v>
      </c>
      <c r="P45" s="75"/>
      <c r="Q45" s="161">
        <f t="shared" ref="Q45:Q52" si="29">Q44</f>
        <v>3.4599999999999999E-2</v>
      </c>
    </row>
    <row r="46" spans="1:17" ht="14.4" hidden="1" customHeight="1">
      <c r="A46" s="158">
        <v>42522</v>
      </c>
      <c r="B46" s="75"/>
      <c r="C46" s="160">
        <v>-2502.6799999999998</v>
      </c>
      <c r="D46" s="160">
        <f t="shared" si="22"/>
        <v>3423.0147414835174</v>
      </c>
      <c r="E46" s="75"/>
      <c r="F46" s="160">
        <f t="shared" si="23"/>
        <v>1189344.4174525302</v>
      </c>
      <c r="G46" s="75"/>
      <c r="H46" s="161">
        <f t="shared" si="28"/>
        <v>3.4599999999999999E-2</v>
      </c>
      <c r="I46" s="75"/>
      <c r="J46" s="158">
        <v>42522</v>
      </c>
      <c r="K46" s="75"/>
      <c r="L46" s="160">
        <v>174675.24</v>
      </c>
      <c r="M46" s="160">
        <f t="shared" si="24"/>
        <v>3485.1143086215088</v>
      </c>
      <c r="N46" s="75"/>
      <c r="O46" s="160">
        <f t="shared" si="25"/>
        <v>1299532.8991484514</v>
      </c>
      <c r="P46" s="75"/>
      <c r="Q46" s="161">
        <f t="shared" si="29"/>
        <v>3.4599999999999999E-2</v>
      </c>
    </row>
    <row r="47" spans="1:17" ht="14.4" hidden="1" customHeight="1">
      <c r="A47" s="158">
        <v>42552</v>
      </c>
      <c r="B47" s="75"/>
      <c r="C47" s="160">
        <v>422728.23</v>
      </c>
      <c r="D47" s="160">
        <f>(F46+(C47+E47)/2)*H47/12</f>
        <v>4085.3998863198799</v>
      </c>
      <c r="E47" s="75"/>
      <c r="F47" s="160">
        <f t="shared" si="23"/>
        <v>1616158.0473388501</v>
      </c>
      <c r="G47" s="75"/>
      <c r="H47" s="161">
        <v>3.5000000000000003E-2</v>
      </c>
      <c r="I47" s="75"/>
      <c r="J47" s="158">
        <v>42552</v>
      </c>
      <c r="K47" s="75"/>
      <c r="L47" s="160">
        <v>65564.92</v>
      </c>
      <c r="M47" s="160">
        <f t="shared" si="24"/>
        <v>3885.919797516317</v>
      </c>
      <c r="N47" s="75"/>
      <c r="O47" s="160">
        <f t="shared" si="25"/>
        <v>1368983.7389459678</v>
      </c>
      <c r="P47" s="75"/>
      <c r="Q47" s="161">
        <v>3.5000000000000003E-2</v>
      </c>
    </row>
    <row r="48" spans="1:17" ht="14.4" hidden="1" customHeight="1">
      <c r="A48" s="158">
        <v>42583</v>
      </c>
      <c r="B48" s="75"/>
      <c r="C48" s="160">
        <v>-88610.43</v>
      </c>
      <c r="D48" s="160">
        <f>(F47+(C48+E48)/2)*H48/12</f>
        <v>4584.5707609883129</v>
      </c>
      <c r="E48" s="75"/>
      <c r="F48" s="160">
        <f t="shared" si="23"/>
        <v>1532132.1880998386</v>
      </c>
      <c r="G48" s="75"/>
      <c r="H48" s="161">
        <f t="shared" si="28"/>
        <v>3.5000000000000003E-2</v>
      </c>
      <c r="I48" s="75"/>
      <c r="J48" s="158">
        <v>42583</v>
      </c>
      <c r="K48" s="75"/>
      <c r="L48" s="160">
        <v>33824.519999999997</v>
      </c>
      <c r="M48" s="160">
        <f t="shared" si="24"/>
        <v>4042.1966635924059</v>
      </c>
      <c r="N48" s="75"/>
      <c r="O48" s="160">
        <f t="shared" si="25"/>
        <v>1406850.4556095602</v>
      </c>
      <c r="P48" s="75"/>
      <c r="Q48" s="161">
        <f t="shared" si="29"/>
        <v>3.5000000000000003E-2</v>
      </c>
    </row>
    <row r="49" spans="1:17">
      <c r="A49" s="158">
        <v>42614</v>
      </c>
      <c r="B49" s="75"/>
      <c r="C49" s="160">
        <v>393228.21</v>
      </c>
      <c r="D49" s="160">
        <f>(F48+(C49+E49)/2)*H49/12</f>
        <v>5042.1766882078628</v>
      </c>
      <c r="E49" s="75"/>
      <c r="F49" s="160">
        <f t="shared" si="23"/>
        <v>1930402.5747880463</v>
      </c>
      <c r="G49" s="75"/>
      <c r="H49" s="161">
        <f t="shared" si="28"/>
        <v>3.5000000000000003E-2</v>
      </c>
      <c r="I49" s="75"/>
      <c r="J49" s="158">
        <v>42614</v>
      </c>
      <c r="K49" s="75"/>
      <c r="L49" s="160">
        <v>32710.43</v>
      </c>
      <c r="M49" s="160">
        <f t="shared" si="24"/>
        <v>4151.0165392778845</v>
      </c>
      <c r="N49" s="75"/>
      <c r="O49" s="160">
        <f t="shared" si="25"/>
        <v>1443711.9021488382</v>
      </c>
      <c r="P49" s="75"/>
      <c r="Q49" s="161">
        <f t="shared" si="29"/>
        <v>3.5000000000000003E-2</v>
      </c>
    </row>
    <row r="50" spans="1:17">
      <c r="A50" s="158">
        <v>42644</v>
      </c>
      <c r="B50" s="75"/>
      <c r="C50" s="160">
        <v>339706.1</v>
      </c>
      <c r="D50" s="160">
        <f t="shared" si="22"/>
        <v>6125.7455722984696</v>
      </c>
      <c r="E50" s="75"/>
      <c r="F50" s="160">
        <f t="shared" si="23"/>
        <v>2276234.4203603445</v>
      </c>
      <c r="G50" s="75"/>
      <c r="H50" s="161">
        <f t="shared" si="28"/>
        <v>3.5000000000000003E-2</v>
      </c>
      <c r="I50" s="75"/>
      <c r="J50" s="158">
        <v>42644</v>
      </c>
      <c r="K50" s="75"/>
      <c r="L50" s="160">
        <v>154682.93</v>
      </c>
      <c r="M50" s="160">
        <f t="shared" si="24"/>
        <v>4436.4056541841119</v>
      </c>
      <c r="N50" s="75"/>
      <c r="O50" s="160">
        <f t="shared" si="25"/>
        <v>1602831.2378030221</v>
      </c>
      <c r="P50" s="75"/>
      <c r="Q50" s="161">
        <f t="shared" si="29"/>
        <v>3.5000000000000003E-2</v>
      </c>
    </row>
    <row r="51" spans="1:17">
      <c r="A51" s="158">
        <v>42675</v>
      </c>
      <c r="B51" s="75"/>
      <c r="C51" s="159">
        <v>528986.39</v>
      </c>
      <c r="D51" s="160">
        <f t="shared" si="22"/>
        <v>7410.4555448010042</v>
      </c>
      <c r="E51" s="23"/>
      <c r="F51" s="160">
        <f t="shared" si="23"/>
        <v>2812631.2659051456</v>
      </c>
      <c r="G51" s="75"/>
      <c r="H51" s="161">
        <f t="shared" si="28"/>
        <v>3.5000000000000003E-2</v>
      </c>
      <c r="I51" s="75"/>
      <c r="J51" s="158">
        <v>42675</v>
      </c>
      <c r="K51" s="75"/>
      <c r="L51" s="159">
        <v>443012.25</v>
      </c>
      <c r="M51" s="160">
        <f t="shared" si="24"/>
        <v>5320.9839748421482</v>
      </c>
      <c r="N51" s="23"/>
      <c r="O51" s="160">
        <f t="shared" si="25"/>
        <v>2051164.4717778643</v>
      </c>
      <c r="P51" s="75"/>
      <c r="Q51" s="161">
        <f t="shared" si="29"/>
        <v>3.5000000000000003E-2</v>
      </c>
    </row>
    <row r="52" spans="1:17">
      <c r="A52" s="158">
        <v>42705</v>
      </c>
      <c r="B52" s="159"/>
      <c r="C52" s="160">
        <v>-851815.38</v>
      </c>
      <c r="D52" s="160">
        <f t="shared" si="22"/>
        <v>6961.2770963900084</v>
      </c>
      <c r="E52" s="23"/>
      <c r="F52" s="160">
        <f t="shared" si="23"/>
        <v>1967777.1630015357</v>
      </c>
      <c r="G52" s="75"/>
      <c r="H52" s="161">
        <f t="shared" si="28"/>
        <v>3.5000000000000003E-2</v>
      </c>
      <c r="I52" s="75"/>
      <c r="J52" s="158">
        <v>42705</v>
      </c>
      <c r="K52" s="159"/>
      <c r="L52" s="160">
        <v>-54410.25</v>
      </c>
      <c r="M52" s="160">
        <f t="shared" si="24"/>
        <v>5903.2147614354371</v>
      </c>
      <c r="N52" s="23"/>
      <c r="O52" s="160">
        <f t="shared" si="25"/>
        <v>2002657.4365392998</v>
      </c>
      <c r="P52" s="75"/>
      <c r="Q52" s="161">
        <f t="shared" si="29"/>
        <v>3.5000000000000003E-2</v>
      </c>
    </row>
    <row r="53" spans="1:17">
      <c r="A53" s="75"/>
      <c r="B53" s="75"/>
      <c r="C53" s="75"/>
      <c r="D53" s="75"/>
      <c r="E53" s="75"/>
      <c r="F53" s="160"/>
      <c r="G53" s="75"/>
      <c r="H53" s="75"/>
      <c r="I53" s="75"/>
      <c r="J53" s="75"/>
      <c r="K53" s="75"/>
      <c r="L53" s="75"/>
      <c r="M53" s="75"/>
      <c r="N53" s="75"/>
      <c r="O53" s="160"/>
      <c r="P53" s="75"/>
      <c r="Q53" s="75"/>
    </row>
    <row r="54" spans="1:17">
      <c r="A54" s="75">
        <v>182329</v>
      </c>
      <c r="B54" s="75" t="s">
        <v>53</v>
      </c>
      <c r="C54" s="188" t="s">
        <v>120</v>
      </c>
      <c r="D54" s="188" t="s">
        <v>121</v>
      </c>
      <c r="E54" s="188"/>
      <c r="F54" s="160" t="s">
        <v>123</v>
      </c>
      <c r="G54" s="75"/>
      <c r="H54" s="188" t="s">
        <v>121</v>
      </c>
      <c r="I54" s="75"/>
      <c r="J54" s="75">
        <v>182329</v>
      </c>
      <c r="K54" s="75" t="s">
        <v>54</v>
      </c>
      <c r="L54" s="188" t="s">
        <v>120</v>
      </c>
      <c r="M54" s="188" t="s">
        <v>121</v>
      </c>
      <c r="N54" s="188"/>
      <c r="O54" s="160" t="s">
        <v>123</v>
      </c>
      <c r="P54" s="75"/>
      <c r="Q54" s="188" t="s">
        <v>121</v>
      </c>
    </row>
    <row r="55" spans="1:17">
      <c r="A55" s="75"/>
      <c r="B55" s="75"/>
      <c r="C55" s="188" t="s">
        <v>124</v>
      </c>
      <c r="D55" s="188" t="s">
        <v>125</v>
      </c>
      <c r="E55" s="188" t="s">
        <v>126</v>
      </c>
      <c r="F55" s="160" t="s">
        <v>122</v>
      </c>
      <c r="G55" s="75"/>
      <c r="H55" s="188" t="s">
        <v>127</v>
      </c>
      <c r="I55" s="75"/>
      <c r="J55" s="75"/>
      <c r="K55" s="75"/>
      <c r="L55" s="188" t="s">
        <v>124</v>
      </c>
      <c r="M55" s="188" t="s">
        <v>125</v>
      </c>
      <c r="N55" s="188" t="s">
        <v>126</v>
      </c>
      <c r="O55" s="160" t="s">
        <v>122</v>
      </c>
      <c r="P55" s="75"/>
      <c r="Q55" s="188" t="s">
        <v>127</v>
      </c>
    </row>
    <row r="56" spans="1:17" ht="14.4" hidden="1" customHeight="1">
      <c r="A56" s="158">
        <v>42339</v>
      </c>
      <c r="B56" s="159"/>
      <c r="C56" s="159"/>
      <c r="D56" s="75"/>
      <c r="E56" s="75"/>
      <c r="F56" s="160">
        <v>7167748.0999999996</v>
      </c>
      <c r="G56" s="75"/>
      <c r="H56" s="75"/>
      <c r="I56" s="75"/>
      <c r="J56" s="158">
        <v>42339</v>
      </c>
      <c r="K56" s="159"/>
      <c r="L56" s="159"/>
      <c r="M56" s="75"/>
      <c r="N56" s="75"/>
      <c r="O56" s="160">
        <v>5311557.9400000004</v>
      </c>
      <c r="P56" s="75"/>
      <c r="Q56" s="75"/>
    </row>
    <row r="57" spans="1:17" ht="14.4" hidden="1" customHeight="1">
      <c r="A57" s="158">
        <v>42370</v>
      </c>
      <c r="B57" s="75"/>
      <c r="C57" s="160"/>
      <c r="D57" s="160">
        <f t="shared" ref="D57:D61" si="30">(F56+(C57+E57)/2)*H57/12</f>
        <v>19412.651104166667</v>
      </c>
      <c r="E57" s="75"/>
      <c r="F57" s="160">
        <f t="shared" ref="F57:F69" si="31">F56+C57+D57+E57</f>
        <v>7187160.7511041667</v>
      </c>
      <c r="G57" s="75"/>
      <c r="H57" s="161">
        <v>3.2500000000000001E-2</v>
      </c>
      <c r="I57" s="75"/>
      <c r="J57" s="158">
        <v>42370</v>
      </c>
      <c r="K57" s="75"/>
      <c r="L57" s="160"/>
      <c r="M57" s="160">
        <f t="shared" ref="M57:M69" si="32">(O56+(L57+N57)/2)*Q57/12</f>
        <v>14385.469420833337</v>
      </c>
      <c r="N57" s="75"/>
      <c r="O57" s="160">
        <f t="shared" ref="O57:O69" si="33">O56+L57+M57+N57</f>
        <v>5325943.4094208339</v>
      </c>
      <c r="P57" s="75"/>
      <c r="Q57" s="161">
        <v>3.2500000000000001E-2</v>
      </c>
    </row>
    <row r="58" spans="1:17" ht="14.4" hidden="1" customHeight="1">
      <c r="A58" s="158">
        <v>42401</v>
      </c>
      <c r="B58" s="75"/>
      <c r="C58" s="160"/>
      <c r="D58" s="160">
        <f t="shared" si="30"/>
        <v>19465.227034240452</v>
      </c>
      <c r="E58" s="75"/>
      <c r="F58" s="160">
        <f t="shared" si="31"/>
        <v>7206625.9781384068</v>
      </c>
      <c r="G58" s="75"/>
      <c r="H58" s="161">
        <f>H57</f>
        <v>3.2500000000000001E-2</v>
      </c>
      <c r="I58" s="75"/>
      <c r="J58" s="158">
        <v>42401</v>
      </c>
      <c r="K58" s="75"/>
      <c r="L58" s="160"/>
      <c r="M58" s="160">
        <f t="shared" si="32"/>
        <v>14424.430067181425</v>
      </c>
      <c r="N58" s="75"/>
      <c r="O58" s="160">
        <f t="shared" si="33"/>
        <v>5340367.8394880155</v>
      </c>
      <c r="P58" s="75"/>
      <c r="Q58" s="161">
        <f>Q57</f>
        <v>3.2500000000000001E-2</v>
      </c>
    </row>
    <row r="59" spans="1:17" ht="14.4" hidden="1" customHeight="1">
      <c r="A59" s="158">
        <v>42430</v>
      </c>
      <c r="B59" s="75"/>
      <c r="C59" s="160"/>
      <c r="D59" s="166">
        <f t="shared" si="30"/>
        <v>19517.945357458186</v>
      </c>
      <c r="E59" s="75"/>
      <c r="F59" s="160">
        <f t="shared" si="31"/>
        <v>7226143.9234958645</v>
      </c>
      <c r="G59" s="75"/>
      <c r="H59" s="167">
        <f t="shared" ref="H59" si="34">H58</f>
        <v>3.2500000000000001E-2</v>
      </c>
      <c r="I59" s="75"/>
      <c r="J59" s="158">
        <v>42430</v>
      </c>
      <c r="K59" s="75"/>
      <c r="L59" s="160"/>
      <c r="M59" s="166">
        <f t="shared" si="32"/>
        <v>14463.496231946709</v>
      </c>
      <c r="N59" s="75"/>
      <c r="O59" s="160">
        <f t="shared" si="33"/>
        <v>5354831.3357199626</v>
      </c>
      <c r="P59" s="75"/>
      <c r="Q59" s="167">
        <f t="shared" ref="Q59" si="35">Q58</f>
        <v>3.2500000000000001E-2</v>
      </c>
    </row>
    <row r="60" spans="1:17" ht="14.4" hidden="1" customHeight="1">
      <c r="A60" s="158">
        <v>42461</v>
      </c>
      <c r="B60" s="75"/>
      <c r="C60" s="160"/>
      <c r="D60" s="160">
        <f t="shared" si="30"/>
        <v>20835.381646079742</v>
      </c>
      <c r="E60" s="75"/>
      <c r="F60" s="160">
        <f t="shared" si="31"/>
        <v>7246979.3051419444</v>
      </c>
      <c r="G60" s="75"/>
      <c r="H60" s="161">
        <v>3.4599999999999999E-2</v>
      </c>
      <c r="I60" s="75"/>
      <c r="J60" s="158">
        <v>42461</v>
      </c>
      <c r="K60" s="75"/>
      <c r="L60" s="160"/>
      <c r="M60" s="160">
        <f t="shared" si="32"/>
        <v>15439.763684659227</v>
      </c>
      <c r="N60" s="75"/>
      <c r="O60" s="160">
        <f t="shared" si="33"/>
        <v>5370271.0994046219</v>
      </c>
      <c r="P60" s="75"/>
      <c r="Q60" s="161">
        <v>3.4599999999999999E-2</v>
      </c>
    </row>
    <row r="61" spans="1:17" ht="14.4" hidden="1" customHeight="1">
      <c r="A61" s="158">
        <v>42491</v>
      </c>
      <c r="B61" s="75"/>
      <c r="C61" s="160"/>
      <c r="D61" s="160">
        <f t="shared" si="30"/>
        <v>20895.456996492605</v>
      </c>
      <c r="E61" s="75"/>
      <c r="F61" s="160">
        <f t="shared" si="31"/>
        <v>7267874.7621384375</v>
      </c>
      <c r="G61" s="75"/>
      <c r="H61" s="161">
        <f t="shared" ref="H61:H62" si="36">H60</f>
        <v>3.4599999999999999E-2</v>
      </c>
      <c r="I61" s="75"/>
      <c r="J61" s="158">
        <v>42491</v>
      </c>
      <c r="K61" s="75"/>
      <c r="L61" s="160"/>
      <c r="M61" s="160">
        <f t="shared" si="32"/>
        <v>15484.281669949991</v>
      </c>
      <c r="N61" s="75"/>
      <c r="O61" s="160">
        <f t="shared" si="33"/>
        <v>5385755.381074572</v>
      </c>
      <c r="P61" s="75"/>
      <c r="Q61" s="161">
        <f t="shared" ref="Q61:Q62" si="37">Q60</f>
        <v>3.4599999999999999E-2</v>
      </c>
    </row>
    <row r="62" spans="1:17" ht="14.4" hidden="1" customHeight="1">
      <c r="A62" s="158">
        <v>42522</v>
      </c>
      <c r="B62" s="75"/>
      <c r="C62" s="160"/>
      <c r="D62" s="160">
        <f>(F61+(C62+E62)/2)*H62/12</f>
        <v>20955.705564165826</v>
      </c>
      <c r="E62" s="75"/>
      <c r="F62" s="160">
        <f t="shared" si="31"/>
        <v>7288830.467702603</v>
      </c>
      <c r="G62" s="75"/>
      <c r="H62" s="161">
        <f t="shared" si="36"/>
        <v>3.4599999999999999E-2</v>
      </c>
      <c r="I62" s="75"/>
      <c r="J62" s="158">
        <v>42522</v>
      </c>
      <c r="K62" s="75"/>
      <c r="L62" s="160"/>
      <c r="M62" s="160">
        <f t="shared" si="32"/>
        <v>15528.928015431682</v>
      </c>
      <c r="N62" s="75"/>
      <c r="O62" s="160">
        <f t="shared" si="33"/>
        <v>5401284.3090900034</v>
      </c>
      <c r="P62" s="75"/>
      <c r="Q62" s="161">
        <f t="shared" si="37"/>
        <v>3.4599999999999999E-2</v>
      </c>
    </row>
    <row r="63" spans="1:17" ht="14.4" hidden="1" customHeight="1">
      <c r="A63" s="158">
        <v>42552</v>
      </c>
      <c r="B63" s="75"/>
      <c r="C63" s="160"/>
      <c r="D63" s="160">
        <f>(F62+(C63+E63)/2)*H63/12</f>
        <v>21259.088864132595</v>
      </c>
      <c r="E63" s="75"/>
      <c r="F63" s="160">
        <f t="shared" si="31"/>
        <v>7310089.5565667357</v>
      </c>
      <c r="G63" s="75"/>
      <c r="H63" s="161">
        <v>3.5000000000000003E-2</v>
      </c>
      <c r="I63" s="75"/>
      <c r="J63" s="158">
        <v>42552</v>
      </c>
      <c r="K63" s="75"/>
      <c r="L63" s="160"/>
      <c r="M63" s="160">
        <f t="shared" si="32"/>
        <v>15753.745901512511</v>
      </c>
      <c r="N63" s="75"/>
      <c r="O63" s="160">
        <f t="shared" si="33"/>
        <v>5417038.0549915163</v>
      </c>
      <c r="P63" s="75"/>
      <c r="Q63" s="161">
        <v>3.5000000000000003E-2</v>
      </c>
    </row>
    <row r="64" spans="1:17" s="75" customFormat="1" ht="14.4" hidden="1" customHeight="1">
      <c r="A64" s="158">
        <v>42583</v>
      </c>
      <c r="B64" s="173" t="s">
        <v>142</v>
      </c>
      <c r="C64" s="160">
        <v>-445679</v>
      </c>
      <c r="D64" s="160">
        <v>-8851</v>
      </c>
      <c r="F64" s="160">
        <f t="shared" si="31"/>
        <v>6855559.5565667357</v>
      </c>
      <c r="H64" s="161">
        <v>3.5000000000000003E-2</v>
      </c>
      <c r="J64" s="158"/>
      <c r="L64" s="160"/>
      <c r="M64" s="160"/>
      <c r="O64" s="160"/>
      <c r="Q64" s="161"/>
    </row>
    <row r="65" spans="1:17" ht="14.4" hidden="1" customHeight="1">
      <c r="A65" s="158">
        <v>42583</v>
      </c>
      <c r="B65" s="75"/>
      <c r="C65" s="160"/>
      <c r="D65" s="160">
        <f>(F64+(C65+E65)/2)*H65/12</f>
        <v>19995.382039986314</v>
      </c>
      <c r="E65" s="75"/>
      <c r="F65" s="160">
        <f t="shared" si="31"/>
        <v>6875554.9386067223</v>
      </c>
      <c r="G65" s="75"/>
      <c r="H65" s="161">
        <f>H63</f>
        <v>3.5000000000000003E-2</v>
      </c>
      <c r="I65" s="75"/>
      <c r="J65" s="158">
        <v>42583</v>
      </c>
      <c r="K65" s="75"/>
      <c r="L65" s="160"/>
      <c r="M65" s="160">
        <f>(O63+(L65+N65)/2)*Q65/12</f>
        <v>15799.694327058591</v>
      </c>
      <c r="N65" s="75"/>
      <c r="O65" s="160">
        <f>O63+L65+M65+N65</f>
        <v>5432837.7493185746</v>
      </c>
      <c r="P65" s="75"/>
      <c r="Q65" s="161">
        <f>Q63</f>
        <v>3.5000000000000003E-2</v>
      </c>
    </row>
    <row r="66" spans="1:17">
      <c r="A66" s="158">
        <v>42614</v>
      </c>
      <c r="B66" s="75"/>
      <c r="C66" s="160"/>
      <c r="D66" s="160">
        <f>(F65+(C66+E66)/2)*H66/12</f>
        <v>20053.701904269608</v>
      </c>
      <c r="E66" s="75"/>
      <c r="F66" s="160">
        <f t="shared" si="31"/>
        <v>6895608.6405109921</v>
      </c>
      <c r="G66" s="75"/>
      <c r="H66" s="161">
        <f>H65</f>
        <v>3.5000000000000003E-2</v>
      </c>
      <c r="I66" s="75"/>
      <c r="J66" s="158">
        <v>42614</v>
      </c>
      <c r="K66" s="75"/>
      <c r="L66" s="160"/>
      <c r="M66" s="160">
        <f>(O65+(L66+N66)/2)*Q66/12</f>
        <v>15845.776768845843</v>
      </c>
      <c r="N66" s="75"/>
      <c r="O66" s="160">
        <f>O65+L66+M66+N66</f>
        <v>5448683.5260874201</v>
      </c>
      <c r="P66" s="75"/>
      <c r="Q66" s="161">
        <f>Q65</f>
        <v>3.5000000000000003E-2</v>
      </c>
    </row>
    <row r="67" spans="1:17">
      <c r="A67" s="158">
        <v>42644</v>
      </c>
      <c r="B67" s="75" t="s">
        <v>201</v>
      </c>
      <c r="C67" s="160">
        <v>-6895609.0800000001</v>
      </c>
      <c r="D67" s="160">
        <v>0</v>
      </c>
      <c r="E67" s="75"/>
      <c r="F67" s="160">
        <f>F66+C67+D67+E67</f>
        <v>-0.43948900792747736</v>
      </c>
      <c r="G67" s="75"/>
      <c r="H67" s="161">
        <f t="shared" ref="H67:H69" si="38">H66</f>
        <v>3.5000000000000003E-2</v>
      </c>
      <c r="I67" s="75"/>
      <c r="J67" s="158">
        <v>42644</v>
      </c>
      <c r="K67" s="75"/>
      <c r="L67" s="160">
        <v>-5448683.5300000003</v>
      </c>
      <c r="M67" s="160">
        <v>0</v>
      </c>
      <c r="N67" s="75"/>
      <c r="O67" s="160">
        <f t="shared" si="33"/>
        <v>-3.9125801995396614E-3</v>
      </c>
      <c r="P67" s="75"/>
      <c r="Q67" s="161">
        <f t="shared" ref="Q67:Q69" si="39">Q66</f>
        <v>3.5000000000000003E-2</v>
      </c>
    </row>
    <row r="68" spans="1:17">
      <c r="A68" s="158">
        <v>42675</v>
      </c>
      <c r="B68" s="75"/>
      <c r="C68" s="75"/>
      <c r="D68" s="160">
        <f>(F67+(C68+E68)/2)*H68/12</f>
        <v>-1.2818429397884758E-3</v>
      </c>
      <c r="E68" s="23"/>
      <c r="F68" s="160">
        <f>F67+C68+D68+E68</f>
        <v>-0.44077085086726586</v>
      </c>
      <c r="G68" s="75"/>
      <c r="H68" s="161">
        <f>H67</f>
        <v>3.5000000000000003E-2</v>
      </c>
      <c r="I68" s="75"/>
      <c r="J68" s="158">
        <v>42675</v>
      </c>
      <c r="K68" s="75"/>
      <c r="L68" s="75"/>
      <c r="M68" s="160">
        <f>(O67+(L68+N68)/2)*Q68/12</f>
        <v>-1.1411692248657346E-5</v>
      </c>
      <c r="N68" s="23"/>
      <c r="O68" s="160">
        <f>O67+L68+M68+N68</f>
        <v>-3.9239918917883185E-3</v>
      </c>
      <c r="P68" s="75"/>
      <c r="Q68" s="161">
        <f>Q67</f>
        <v>3.5000000000000003E-2</v>
      </c>
    </row>
    <row r="69" spans="1:17">
      <c r="A69" s="158">
        <v>42705</v>
      </c>
      <c r="B69" s="159"/>
      <c r="C69" s="160"/>
      <c r="D69" s="160">
        <f t="shared" ref="D69" si="40">(F68+(C69+E69)/2)*H69/12</f>
        <v>-1.2855816483628589E-3</v>
      </c>
      <c r="E69" s="23"/>
      <c r="F69" s="160">
        <f t="shared" si="31"/>
        <v>-0.44205643251562871</v>
      </c>
      <c r="G69" s="75"/>
      <c r="H69" s="161">
        <f t="shared" si="38"/>
        <v>3.5000000000000003E-2</v>
      </c>
      <c r="I69" s="75"/>
      <c r="J69" s="158">
        <v>42705</v>
      </c>
      <c r="K69" s="159"/>
      <c r="L69" s="160"/>
      <c r="M69" s="160">
        <f t="shared" si="32"/>
        <v>-1.1444976351049263E-5</v>
      </c>
      <c r="N69" s="23"/>
      <c r="O69" s="160">
        <f t="shared" si="33"/>
        <v>-3.9354368681393673E-3</v>
      </c>
      <c r="P69" s="75"/>
      <c r="Q69" s="161">
        <f t="shared" si="39"/>
        <v>3.5000000000000003E-2</v>
      </c>
    </row>
    <row r="70" spans="1:17" ht="30.75" customHeight="1">
      <c r="A70" s="75"/>
      <c r="B70" s="173" t="s">
        <v>201</v>
      </c>
      <c r="C70" s="194" t="s">
        <v>202</v>
      </c>
      <c r="D70" s="194"/>
      <c r="E70" s="194"/>
      <c r="F70" s="194"/>
      <c r="G70" s="194"/>
      <c r="H70" s="194"/>
      <c r="I70" s="75"/>
      <c r="J70" s="75"/>
      <c r="K70" s="75"/>
      <c r="L70" s="75"/>
      <c r="M70" s="75"/>
      <c r="N70" s="75"/>
      <c r="O70" s="160"/>
      <c r="P70" s="75"/>
      <c r="Q70" s="75"/>
    </row>
    <row r="71" spans="1:17">
      <c r="A71" s="75">
        <v>182339</v>
      </c>
      <c r="B71" s="75" t="s">
        <v>53</v>
      </c>
      <c r="C71" s="188" t="s">
        <v>120</v>
      </c>
      <c r="D71" s="188" t="s">
        <v>121</v>
      </c>
      <c r="E71" s="188"/>
      <c r="F71" s="160" t="s">
        <v>123</v>
      </c>
      <c r="G71" s="75"/>
      <c r="H71" s="188" t="s">
        <v>121</v>
      </c>
      <c r="I71" s="75"/>
      <c r="J71" s="75">
        <v>182339</v>
      </c>
      <c r="K71" s="75" t="s">
        <v>54</v>
      </c>
      <c r="L71" s="188" t="s">
        <v>120</v>
      </c>
      <c r="M71" s="188" t="s">
        <v>121</v>
      </c>
      <c r="N71" s="188"/>
      <c r="O71" s="160" t="s">
        <v>123</v>
      </c>
      <c r="P71" s="75"/>
      <c r="Q71" s="188" t="s">
        <v>121</v>
      </c>
    </row>
    <row r="72" spans="1:17">
      <c r="A72" s="75"/>
      <c r="B72" s="75"/>
      <c r="C72" s="188" t="s">
        <v>124</v>
      </c>
      <c r="D72" s="188" t="s">
        <v>125</v>
      </c>
      <c r="E72" s="188" t="s">
        <v>126</v>
      </c>
      <c r="F72" s="160" t="s">
        <v>122</v>
      </c>
      <c r="G72" s="75"/>
      <c r="H72" s="188" t="s">
        <v>127</v>
      </c>
      <c r="I72" s="75"/>
      <c r="J72" s="75"/>
      <c r="K72" s="75"/>
      <c r="L72" s="188" t="s">
        <v>124</v>
      </c>
      <c r="M72" s="188" t="s">
        <v>125</v>
      </c>
      <c r="N72" s="188" t="s">
        <v>126</v>
      </c>
      <c r="O72" s="160" t="s">
        <v>122</v>
      </c>
      <c r="P72" s="75"/>
      <c r="Q72" s="188" t="s">
        <v>127</v>
      </c>
    </row>
    <row r="73" spans="1:17" ht="14.4" hidden="1" customHeight="1">
      <c r="A73" s="158">
        <v>42339</v>
      </c>
      <c r="B73" s="159"/>
      <c r="C73" s="159"/>
      <c r="D73" s="75"/>
      <c r="E73" s="75"/>
      <c r="F73" s="160">
        <v>-2373471.7799999998</v>
      </c>
      <c r="G73" s="75"/>
      <c r="H73" s="75"/>
      <c r="I73" s="75"/>
      <c r="J73" s="158">
        <v>42339</v>
      </c>
      <c r="K73" s="159"/>
      <c r="L73" s="159"/>
      <c r="M73" s="75"/>
      <c r="N73" s="75"/>
      <c r="O73" s="160">
        <v>1736736.47</v>
      </c>
      <c r="P73" s="75"/>
      <c r="Q73" s="75"/>
    </row>
    <row r="74" spans="1:17" ht="14.4" hidden="1" customHeight="1">
      <c r="A74" s="158">
        <v>42370</v>
      </c>
      <c r="B74" s="75"/>
      <c r="C74" s="160"/>
      <c r="D74" s="160">
        <f>(F73+(C74+E74)/2)*H74/12</f>
        <v>-6428.1527374999996</v>
      </c>
      <c r="E74" s="75"/>
      <c r="F74" s="160">
        <f>F73+C74+D74+E74</f>
        <v>-2379899.9327374999</v>
      </c>
      <c r="G74" s="75"/>
      <c r="H74" s="161">
        <v>3.2500000000000001E-2</v>
      </c>
      <c r="I74" s="75"/>
      <c r="J74" s="158">
        <v>42370</v>
      </c>
      <c r="K74" s="75"/>
      <c r="L74" s="160"/>
      <c r="M74" s="160">
        <f>(O73+(L74+N74)/2)*Q74/12</f>
        <v>4703.6612729166673</v>
      </c>
      <c r="N74" s="75"/>
      <c r="O74" s="160">
        <f>O73+L74+M74+N74</f>
        <v>1741440.1312729167</v>
      </c>
      <c r="P74" s="75"/>
      <c r="Q74" s="161">
        <v>3.2500000000000001E-2</v>
      </c>
    </row>
    <row r="75" spans="1:17" ht="14.4" hidden="1" customHeight="1">
      <c r="A75" s="158">
        <v>42401</v>
      </c>
      <c r="B75" s="75"/>
      <c r="C75" s="160"/>
      <c r="D75" s="160">
        <f>(F74+(C75+E75)/2)*H75/12</f>
        <v>-6445.5623178307287</v>
      </c>
      <c r="E75" s="75"/>
      <c r="F75" s="160">
        <f>F74+C75+D75+E75</f>
        <v>-2386345.4950553305</v>
      </c>
      <c r="G75" s="75"/>
      <c r="H75" s="161">
        <f>H74</f>
        <v>3.2500000000000001E-2</v>
      </c>
      <c r="I75" s="75"/>
      <c r="J75" s="158">
        <v>42401</v>
      </c>
      <c r="K75" s="75"/>
      <c r="L75" s="160"/>
      <c r="M75" s="160">
        <f>(O74+(L75+N75)/2)*Q75/12</f>
        <v>4716.4003555308163</v>
      </c>
      <c r="N75" s="75"/>
      <c r="O75" s="160">
        <f>O74+L75+M75+N75</f>
        <v>1746156.5316284476</v>
      </c>
      <c r="P75" s="75"/>
      <c r="Q75" s="161">
        <f>Q74</f>
        <v>3.2500000000000001E-2</v>
      </c>
    </row>
    <row r="76" spans="1:17" ht="14.4" hidden="1" customHeight="1">
      <c r="A76" s="158">
        <v>42430</v>
      </c>
      <c r="B76" s="75"/>
      <c r="C76" s="160"/>
      <c r="D76" s="166">
        <f>(F75+(C76+E76)/2)*H76/12</f>
        <v>-6463.0190491081876</v>
      </c>
      <c r="E76" s="75"/>
      <c r="F76" s="160">
        <f>F75+C76+D76+E76</f>
        <v>-2392808.5141044385</v>
      </c>
      <c r="G76" s="75"/>
      <c r="H76" s="167">
        <f t="shared" ref="H76" si="41">H75</f>
        <v>3.2500000000000001E-2</v>
      </c>
      <c r="I76" s="75"/>
      <c r="J76" s="158">
        <v>42430</v>
      </c>
      <c r="K76" s="75"/>
      <c r="L76" s="160"/>
      <c r="M76" s="166">
        <f>(O75+(L76+N76)/2)*Q76/12</f>
        <v>4729.1739398270456</v>
      </c>
      <c r="N76" s="75"/>
      <c r="O76" s="160">
        <f>O75+L76+M76+N76</f>
        <v>1750885.7055682747</v>
      </c>
      <c r="P76" s="75"/>
      <c r="Q76" s="167">
        <f t="shared" ref="Q76" si="42">Q75</f>
        <v>3.2500000000000001E-2</v>
      </c>
    </row>
    <row r="77" spans="1:17" s="75" customFormat="1" ht="14.4" hidden="1" customHeight="1">
      <c r="A77" s="158">
        <v>42461</v>
      </c>
      <c r="C77" s="160"/>
      <c r="D77" s="160">
        <f t="shared" ref="D77:D79" si="43">(F76+(C77+E77)/2)*H77/12</f>
        <v>-6899.2645490011309</v>
      </c>
      <c r="F77" s="160">
        <f t="shared" ref="F77:F86" si="44">F76+C77+D77+E77</f>
        <v>-2399707.7786534396</v>
      </c>
      <c r="H77" s="161">
        <v>3.4599999999999999E-2</v>
      </c>
      <c r="J77" s="158">
        <v>42461</v>
      </c>
      <c r="L77" s="160"/>
      <c r="M77" s="160">
        <f t="shared" ref="M77:M78" si="45">(O76+(L77+N77)/2)*Q77/12</f>
        <v>5048.3871177218589</v>
      </c>
      <c r="O77" s="160">
        <f t="shared" ref="O77:O84" si="46">O76+L77+M77+N77</f>
        <v>1755934.0926859966</v>
      </c>
      <c r="Q77" s="161">
        <v>3.4599999999999999E-2</v>
      </c>
    </row>
    <row r="78" spans="1:17" s="75" customFormat="1" ht="14.4" hidden="1" customHeight="1">
      <c r="A78" s="158">
        <v>42491</v>
      </c>
      <c r="C78" s="160"/>
      <c r="D78" s="160">
        <f t="shared" si="43"/>
        <v>-6919.1574284507506</v>
      </c>
      <c r="F78" s="160">
        <f t="shared" si="44"/>
        <v>-2406626.9360818905</v>
      </c>
      <c r="H78" s="161">
        <f t="shared" ref="H78:H79" si="47">H77</f>
        <v>3.4599999999999999E-2</v>
      </c>
      <c r="J78" s="158">
        <v>42491</v>
      </c>
      <c r="L78" s="160"/>
      <c r="M78" s="160">
        <f t="shared" si="45"/>
        <v>5062.9433005779565</v>
      </c>
      <c r="O78" s="160">
        <f t="shared" si="46"/>
        <v>1760997.0359865746</v>
      </c>
      <c r="Q78" s="161">
        <f t="shared" ref="Q78:Q79" si="48">Q77</f>
        <v>3.4599999999999999E-2</v>
      </c>
    </row>
    <row r="79" spans="1:17" s="75" customFormat="1" ht="14.4" hidden="1" customHeight="1">
      <c r="A79" s="158">
        <v>42522</v>
      </c>
      <c r="C79" s="160"/>
      <c r="D79" s="160">
        <f t="shared" si="43"/>
        <v>-6939.1076657027843</v>
      </c>
      <c r="F79" s="160">
        <f t="shared" si="44"/>
        <v>-2413566.0437475932</v>
      </c>
      <c r="H79" s="161">
        <f t="shared" si="47"/>
        <v>3.4599999999999999E-2</v>
      </c>
      <c r="J79" s="158">
        <v>42522</v>
      </c>
      <c r="L79" s="160"/>
      <c r="M79" s="160">
        <f>(O78+(L79+N79)/2)*Q79/12</f>
        <v>5077.5414537612896</v>
      </c>
      <c r="O79" s="160">
        <f t="shared" si="46"/>
        <v>1766074.5774403359</v>
      </c>
      <c r="Q79" s="161">
        <f t="shared" si="48"/>
        <v>3.4599999999999999E-2</v>
      </c>
    </row>
    <row r="80" spans="1:17" s="75" customFormat="1" ht="14.4" hidden="1" customHeight="1">
      <c r="A80" s="158">
        <v>42552</v>
      </c>
      <c r="C80" s="160"/>
      <c r="D80" s="160">
        <f>(F79+(C80+E80)/2)*H80/12</f>
        <v>-7039.5676275971482</v>
      </c>
      <c r="F80" s="160">
        <f t="shared" si="44"/>
        <v>-2420605.6113751903</v>
      </c>
      <c r="H80" s="161">
        <v>3.5000000000000003E-2</v>
      </c>
      <c r="J80" s="158">
        <v>42552</v>
      </c>
      <c r="L80" s="160"/>
      <c r="M80" s="160">
        <f>(O79+(L80+N80)/2)*Q80/12</f>
        <v>5151.0508508676467</v>
      </c>
      <c r="O80" s="160">
        <f t="shared" si="46"/>
        <v>1771225.6282912036</v>
      </c>
      <c r="Q80" s="161">
        <v>3.5000000000000003E-2</v>
      </c>
    </row>
    <row r="81" spans="1:17" s="75" customFormat="1" ht="14.4" hidden="1" customHeight="1">
      <c r="A81" s="158">
        <v>42583</v>
      </c>
      <c r="B81" s="173" t="s">
        <v>142</v>
      </c>
      <c r="C81" s="160">
        <v>-453222</v>
      </c>
      <c r="D81" s="160">
        <v>-9000</v>
      </c>
      <c r="F81" s="160">
        <f t="shared" si="44"/>
        <v>-2882827.6113751903</v>
      </c>
      <c r="H81" s="161">
        <v>3.5000000000000003E-2</v>
      </c>
      <c r="J81" s="172"/>
      <c r="K81" s="172"/>
      <c r="L81" s="172"/>
      <c r="M81" s="172"/>
      <c r="N81" s="172"/>
      <c r="O81" s="172"/>
      <c r="P81" s="172"/>
      <c r="Q81" s="172"/>
    </row>
    <row r="82" spans="1:17" s="75" customFormat="1" ht="14.4" hidden="1" customHeight="1">
      <c r="A82" s="158">
        <v>42583</v>
      </c>
      <c r="C82" s="160"/>
      <c r="D82" s="160">
        <f>(F81+(C82+E82)/2)*H82/12</f>
        <v>-8408.2471998443052</v>
      </c>
      <c r="F82" s="160">
        <f t="shared" si="44"/>
        <v>-2891235.8585750344</v>
      </c>
      <c r="H82" s="161">
        <f>H80</f>
        <v>3.5000000000000003E-2</v>
      </c>
      <c r="J82" s="158">
        <v>42583</v>
      </c>
      <c r="L82" s="160"/>
      <c r="M82" s="160">
        <f>(O80+(L82+N82)/2)*Q82/12</f>
        <v>5166.0747491826778</v>
      </c>
      <c r="O82" s="160">
        <f>O80+L82+M82+N82</f>
        <v>1776391.7030403863</v>
      </c>
      <c r="Q82" s="161">
        <f>Q80</f>
        <v>3.5000000000000003E-2</v>
      </c>
    </row>
    <row r="83" spans="1:17" s="75" customFormat="1">
      <c r="A83" s="158">
        <v>42614</v>
      </c>
      <c r="C83" s="160"/>
      <c r="D83" s="160">
        <f>(F82+(C83+E83)/2)*H83/12</f>
        <v>-8432.7712541771853</v>
      </c>
      <c r="F83" s="160">
        <f t="shared" si="44"/>
        <v>-2899668.6298292116</v>
      </c>
      <c r="H83" s="161">
        <f>H82</f>
        <v>3.5000000000000003E-2</v>
      </c>
      <c r="J83" s="158">
        <v>42614</v>
      </c>
      <c r="L83" s="160"/>
      <c r="M83" s="160">
        <f>(O82+(L83+N83)/2)*Q83/12</f>
        <v>5181.1424672011271</v>
      </c>
      <c r="O83" s="160">
        <f>O82+L83+M83+N83</f>
        <v>1781572.8455075875</v>
      </c>
      <c r="Q83" s="161">
        <f>Q82</f>
        <v>3.5000000000000003E-2</v>
      </c>
    </row>
    <row r="84" spans="1:17" s="75" customFormat="1">
      <c r="A84" s="158">
        <v>42644</v>
      </c>
      <c r="B84" s="75" t="s">
        <v>201</v>
      </c>
      <c r="C84" s="160">
        <v>2899668.99</v>
      </c>
      <c r="D84" s="160">
        <v>0</v>
      </c>
      <c r="F84" s="160">
        <f t="shared" si="44"/>
        <v>0.36017078859731555</v>
      </c>
      <c r="H84" s="161">
        <f t="shared" ref="H84:H86" si="49">H83</f>
        <v>3.5000000000000003E-2</v>
      </c>
      <c r="J84" s="158">
        <v>42644</v>
      </c>
      <c r="L84" s="160">
        <v>-1781572.83</v>
      </c>
      <c r="M84" s="160">
        <v>0</v>
      </c>
      <c r="O84" s="160">
        <f t="shared" si="46"/>
        <v>1.5507587464526296E-2</v>
      </c>
      <c r="Q84" s="161">
        <f t="shared" ref="Q84:Q86" si="50">Q83</f>
        <v>3.5000000000000003E-2</v>
      </c>
    </row>
    <row r="85" spans="1:17" s="75" customFormat="1">
      <c r="A85" s="158">
        <v>42675</v>
      </c>
      <c r="C85" s="160"/>
      <c r="D85" s="160">
        <f t="shared" ref="D85:D86" si="51">(F84+(C85+E85)/2)*H85/12</f>
        <v>1.0504981334088371E-3</v>
      </c>
      <c r="F85" s="160">
        <f t="shared" si="44"/>
        <v>0.3612212867307244</v>
      </c>
      <c r="H85" s="161">
        <f t="shared" si="49"/>
        <v>3.5000000000000003E-2</v>
      </c>
      <c r="J85" s="158">
        <v>42675</v>
      </c>
      <c r="L85" s="160"/>
      <c r="M85" s="160">
        <f>(O84+(L85+N85)/2)*Q85/12</f>
        <v>4.5230463438201706E-5</v>
      </c>
      <c r="O85" s="160">
        <f>O84+L85+M85+N85</f>
        <v>1.5552817927964497E-2</v>
      </c>
      <c r="Q85" s="161">
        <f t="shared" si="50"/>
        <v>3.5000000000000003E-2</v>
      </c>
    </row>
    <row r="86" spans="1:17" s="75" customFormat="1">
      <c r="A86" s="158">
        <v>42705</v>
      </c>
      <c r="C86" s="160"/>
      <c r="D86" s="160">
        <f t="shared" si="51"/>
        <v>1.0535620862979463E-3</v>
      </c>
      <c r="F86" s="160">
        <f t="shared" si="44"/>
        <v>0.36227484881702232</v>
      </c>
      <c r="H86" s="161">
        <f t="shared" si="49"/>
        <v>3.5000000000000003E-2</v>
      </c>
      <c r="J86" s="158">
        <v>42705</v>
      </c>
      <c r="L86" s="160"/>
      <c r="M86" s="160">
        <f t="shared" ref="M86" si="52">(O85+(L86+N86)/2)*Q86/12</f>
        <v>4.536238562322979E-5</v>
      </c>
      <c r="O86" s="160">
        <f t="shared" ref="O86" si="53">O85+L86+M86+N86</f>
        <v>1.5598180313587727E-2</v>
      </c>
      <c r="Q86" s="161">
        <f t="shared" si="50"/>
        <v>3.5000000000000003E-2</v>
      </c>
    </row>
    <row r="87" spans="1:17" s="75" customFormat="1" ht="29.25" customHeight="1">
      <c r="A87" s="158"/>
      <c r="B87" s="173" t="s">
        <v>201</v>
      </c>
      <c r="C87" s="194" t="s">
        <v>202</v>
      </c>
      <c r="D87" s="194"/>
      <c r="E87" s="194"/>
      <c r="F87" s="194"/>
      <c r="G87" s="194"/>
      <c r="H87" s="194"/>
      <c r="J87" s="158"/>
      <c r="L87" s="160"/>
      <c r="M87" s="160"/>
      <c r="O87" s="160"/>
      <c r="Q87" s="161"/>
    </row>
    <row r="88" spans="1:17">
      <c r="A88" s="75">
        <v>182328</v>
      </c>
      <c r="B88" s="75" t="s">
        <v>53</v>
      </c>
      <c r="C88" s="188" t="s">
        <v>120</v>
      </c>
      <c r="D88" s="188" t="s">
        <v>121</v>
      </c>
      <c r="E88" s="188"/>
      <c r="F88" s="160" t="s">
        <v>123</v>
      </c>
      <c r="G88" s="75"/>
      <c r="H88" s="188" t="s">
        <v>121</v>
      </c>
      <c r="I88" s="75"/>
      <c r="J88" s="75">
        <v>182328</v>
      </c>
      <c r="K88" s="75" t="s">
        <v>54</v>
      </c>
      <c r="L88" s="188" t="s">
        <v>120</v>
      </c>
      <c r="M88" s="188" t="s">
        <v>121</v>
      </c>
      <c r="N88" s="188"/>
      <c r="O88" s="160" t="s">
        <v>123</v>
      </c>
      <c r="P88" s="75"/>
      <c r="Q88" s="188" t="s">
        <v>121</v>
      </c>
    </row>
    <row r="89" spans="1:17">
      <c r="A89" s="75"/>
      <c r="B89" s="75"/>
      <c r="C89" s="188" t="s">
        <v>124</v>
      </c>
      <c r="D89" s="188" t="s">
        <v>125</v>
      </c>
      <c r="E89" s="188" t="s">
        <v>126</v>
      </c>
      <c r="F89" s="160" t="s">
        <v>122</v>
      </c>
      <c r="G89" s="75"/>
      <c r="H89" s="188" t="s">
        <v>127</v>
      </c>
      <c r="I89" s="75"/>
      <c r="J89" s="75"/>
      <c r="K89" s="75"/>
      <c r="L89" s="188" t="s">
        <v>124</v>
      </c>
      <c r="M89" s="188" t="s">
        <v>125</v>
      </c>
      <c r="N89" s="188" t="s">
        <v>126</v>
      </c>
      <c r="O89" s="160" t="s">
        <v>122</v>
      </c>
      <c r="P89" s="75"/>
      <c r="Q89" s="188" t="s">
        <v>127</v>
      </c>
    </row>
    <row r="90" spans="1:17" ht="14.4" hidden="1" customHeight="1">
      <c r="A90" s="158">
        <v>42339</v>
      </c>
      <c r="B90" s="159"/>
      <c r="C90" s="159"/>
      <c r="D90" s="75"/>
      <c r="E90" s="75"/>
      <c r="F90" s="160">
        <v>0</v>
      </c>
      <c r="G90" s="75"/>
      <c r="H90" s="75"/>
      <c r="I90" s="75"/>
      <c r="J90" s="158">
        <v>42339</v>
      </c>
      <c r="K90" s="159"/>
      <c r="L90" s="159"/>
      <c r="M90" s="75"/>
      <c r="N90" s="75"/>
      <c r="O90" s="160">
        <v>5640</v>
      </c>
      <c r="P90" s="75"/>
      <c r="Q90" s="75"/>
    </row>
    <row r="91" spans="1:17" ht="14.4" hidden="1" customHeight="1">
      <c r="A91" s="158">
        <v>42370</v>
      </c>
      <c r="B91" s="75"/>
      <c r="C91" s="160"/>
      <c r="D91" s="160">
        <f t="shared" ref="D91:D102" si="54">(F90+(C91+E91)/2)*H91/12</f>
        <v>0</v>
      </c>
      <c r="E91" s="75"/>
      <c r="F91" s="160">
        <f t="shared" ref="F91:F102" si="55">F90+C91+D91+E91</f>
        <v>0</v>
      </c>
      <c r="G91" s="75"/>
      <c r="H91" s="161">
        <v>3.2500000000000001E-2</v>
      </c>
      <c r="I91" s="75"/>
      <c r="J91" s="158">
        <v>42370</v>
      </c>
      <c r="K91" s="75"/>
      <c r="L91" s="160"/>
      <c r="M91" s="160">
        <f t="shared" ref="M91:M102" si="56">(O90+(L91+N91)/2)*Q91/12</f>
        <v>15.275</v>
      </c>
      <c r="N91" s="75"/>
      <c r="O91" s="160">
        <f t="shared" ref="O91:O102" si="57">O90+L91+M91+N91</f>
        <v>5655.2749999999996</v>
      </c>
      <c r="P91" s="75"/>
      <c r="Q91" s="161">
        <v>3.2500000000000001E-2</v>
      </c>
    </row>
    <row r="92" spans="1:17" ht="14.4" hidden="1" customHeight="1">
      <c r="A92" s="158">
        <v>42401</v>
      </c>
      <c r="B92" s="75"/>
      <c r="C92" s="160"/>
      <c r="D92" s="160">
        <f t="shared" si="54"/>
        <v>0</v>
      </c>
      <c r="E92" s="75"/>
      <c r="F92" s="160">
        <f t="shared" si="55"/>
        <v>0</v>
      </c>
      <c r="G92" s="75"/>
      <c r="H92" s="161">
        <f>H91</f>
        <v>3.2500000000000001E-2</v>
      </c>
      <c r="I92" s="75"/>
      <c r="J92" s="158">
        <v>42401</v>
      </c>
      <c r="K92" s="75"/>
      <c r="L92" s="160"/>
      <c r="M92" s="160">
        <f t="shared" si="56"/>
        <v>15.316369791666666</v>
      </c>
      <c r="N92" s="75"/>
      <c r="O92" s="160">
        <f t="shared" si="57"/>
        <v>5670.5913697916667</v>
      </c>
      <c r="P92" s="75"/>
      <c r="Q92" s="161">
        <f>Q91</f>
        <v>3.2500000000000001E-2</v>
      </c>
    </row>
    <row r="93" spans="1:17" ht="14.4" hidden="1" customHeight="1">
      <c r="A93" s="158">
        <v>42430</v>
      </c>
      <c r="B93" s="75"/>
      <c r="C93" s="160"/>
      <c r="D93" s="160">
        <f t="shared" si="54"/>
        <v>0</v>
      </c>
      <c r="E93" s="75"/>
      <c r="F93" s="160">
        <f t="shared" si="55"/>
        <v>0</v>
      </c>
      <c r="G93" s="75"/>
      <c r="H93" s="167">
        <f t="shared" ref="H93" si="58">H92</f>
        <v>3.2500000000000001E-2</v>
      </c>
      <c r="I93" s="75"/>
      <c r="J93" s="158">
        <v>42430</v>
      </c>
      <c r="K93" s="75"/>
      <c r="L93" s="160"/>
      <c r="M93" s="166">
        <f t="shared" si="56"/>
        <v>15.357851626519098</v>
      </c>
      <c r="N93" s="75"/>
      <c r="O93" s="160">
        <f t="shared" si="57"/>
        <v>5685.9492214181855</v>
      </c>
      <c r="P93" s="75"/>
      <c r="Q93" s="167">
        <f t="shared" ref="Q93" si="59">Q92</f>
        <v>3.2500000000000001E-2</v>
      </c>
    </row>
    <row r="94" spans="1:17" ht="14.4" hidden="1" customHeight="1">
      <c r="A94" s="158">
        <v>42461</v>
      </c>
      <c r="B94" s="75"/>
      <c r="C94" s="160"/>
      <c r="D94" s="160">
        <f t="shared" si="54"/>
        <v>0</v>
      </c>
      <c r="E94" s="75"/>
      <c r="F94" s="160">
        <f t="shared" si="55"/>
        <v>0</v>
      </c>
      <c r="G94" s="75"/>
      <c r="H94" s="161">
        <v>3.4599999999999999E-2</v>
      </c>
      <c r="I94" s="75"/>
      <c r="J94" s="158">
        <v>42461</v>
      </c>
      <c r="K94" s="75"/>
      <c r="L94" s="160"/>
      <c r="M94" s="160">
        <f t="shared" si="56"/>
        <v>16.394486921755767</v>
      </c>
      <c r="N94" s="75"/>
      <c r="O94" s="160">
        <f t="shared" si="57"/>
        <v>5702.3437083399413</v>
      </c>
      <c r="P94" s="75"/>
      <c r="Q94" s="161">
        <v>3.4599999999999999E-2</v>
      </c>
    </row>
    <row r="95" spans="1:17" ht="14.4" hidden="1" customHeight="1">
      <c r="A95" s="158">
        <v>42491</v>
      </c>
      <c r="B95" s="75"/>
      <c r="C95" s="160"/>
      <c r="D95" s="160">
        <f t="shared" si="54"/>
        <v>0</v>
      </c>
      <c r="E95" s="75"/>
      <c r="F95" s="160">
        <f t="shared" si="55"/>
        <v>0</v>
      </c>
      <c r="G95" s="75"/>
      <c r="H95" s="161">
        <f t="shared" ref="H95:H102" si="60">H94</f>
        <v>3.4599999999999999E-2</v>
      </c>
      <c r="I95" s="75"/>
      <c r="J95" s="158">
        <v>42491</v>
      </c>
      <c r="K95" s="75"/>
      <c r="L95" s="160"/>
      <c r="M95" s="160">
        <f t="shared" si="56"/>
        <v>16.441757692380161</v>
      </c>
      <c r="N95" s="75"/>
      <c r="O95" s="160">
        <f t="shared" si="57"/>
        <v>5718.785466032321</v>
      </c>
      <c r="P95" s="75"/>
      <c r="Q95" s="161">
        <f t="shared" ref="Q95:Q102" si="61">Q94</f>
        <v>3.4599999999999999E-2</v>
      </c>
    </row>
    <row r="96" spans="1:17" ht="14.4" hidden="1" customHeight="1">
      <c r="A96" s="158">
        <v>42522</v>
      </c>
      <c r="B96" s="75"/>
      <c r="C96" s="160"/>
      <c r="D96" s="160">
        <f t="shared" si="54"/>
        <v>0</v>
      </c>
      <c r="E96" s="75"/>
      <c r="F96" s="160">
        <f t="shared" si="55"/>
        <v>0</v>
      </c>
      <c r="G96" s="75"/>
      <c r="H96" s="161">
        <f t="shared" si="60"/>
        <v>3.4599999999999999E-2</v>
      </c>
      <c r="I96" s="75"/>
      <c r="J96" s="158">
        <v>42522</v>
      </c>
      <c r="K96" s="75"/>
      <c r="L96" s="160"/>
      <c r="M96" s="160">
        <f>(O95+(L96+N96)/2)*Q96/12</f>
        <v>16.489164760393191</v>
      </c>
      <c r="N96" s="75"/>
      <c r="O96" s="160">
        <f t="shared" si="57"/>
        <v>5735.2746307927146</v>
      </c>
      <c r="P96" s="75"/>
      <c r="Q96" s="161">
        <f t="shared" si="61"/>
        <v>3.4599999999999999E-2</v>
      </c>
    </row>
    <row r="97" spans="1:17" ht="14.4" hidden="1" customHeight="1">
      <c r="A97" s="158">
        <v>42552</v>
      </c>
      <c r="B97" s="75"/>
      <c r="C97" s="160"/>
      <c r="D97" s="160">
        <f t="shared" si="54"/>
        <v>0</v>
      </c>
      <c r="E97" s="75"/>
      <c r="F97" s="160">
        <f t="shared" si="55"/>
        <v>0</v>
      </c>
      <c r="G97" s="75"/>
      <c r="H97" s="161">
        <v>3.5000000000000003E-2</v>
      </c>
      <c r="I97" s="75"/>
      <c r="J97" s="158">
        <v>42552</v>
      </c>
      <c r="K97" s="75"/>
      <c r="L97" s="160"/>
      <c r="M97" s="160">
        <f>(O96+(L97+N97)/2)*Q97/12</f>
        <v>16.727884339812086</v>
      </c>
      <c r="N97" s="75"/>
      <c r="O97" s="160">
        <f t="shared" si="57"/>
        <v>5752.0025151325262</v>
      </c>
      <c r="P97" s="75"/>
      <c r="Q97" s="161">
        <v>3.5000000000000003E-2</v>
      </c>
    </row>
    <row r="98" spans="1:17" ht="14.4" hidden="1" customHeight="1">
      <c r="A98" s="158">
        <v>42583</v>
      </c>
      <c r="B98" s="75"/>
      <c r="C98" s="160"/>
      <c r="D98" s="160">
        <f t="shared" si="54"/>
        <v>0</v>
      </c>
      <c r="E98" s="75"/>
      <c r="F98" s="160">
        <f t="shared" si="55"/>
        <v>0</v>
      </c>
      <c r="G98" s="75"/>
      <c r="H98" s="161">
        <f t="shared" si="60"/>
        <v>3.5000000000000003E-2</v>
      </c>
      <c r="I98" s="75"/>
      <c r="J98" s="158">
        <v>42583</v>
      </c>
      <c r="K98" s="75"/>
      <c r="L98" s="160"/>
      <c r="M98" s="160">
        <f>(O97+(L98+N98)/2)*Q98/12</f>
        <v>16.776674002469871</v>
      </c>
      <c r="N98" s="75"/>
      <c r="O98" s="160">
        <f t="shared" si="57"/>
        <v>5768.7791891349962</v>
      </c>
      <c r="P98" s="75"/>
      <c r="Q98" s="161">
        <f t="shared" si="61"/>
        <v>3.5000000000000003E-2</v>
      </c>
    </row>
    <row r="99" spans="1:17">
      <c r="A99" s="158">
        <v>42614</v>
      </c>
      <c r="B99" s="75"/>
      <c r="C99" s="160"/>
      <c r="D99" s="160">
        <f t="shared" si="54"/>
        <v>0</v>
      </c>
      <c r="E99" s="75"/>
      <c r="F99" s="160">
        <f t="shared" si="55"/>
        <v>0</v>
      </c>
      <c r="G99" s="75"/>
      <c r="H99" s="161">
        <f t="shared" si="60"/>
        <v>3.5000000000000003E-2</v>
      </c>
      <c r="I99" s="75"/>
      <c r="J99" s="158">
        <v>42614</v>
      </c>
      <c r="K99" s="75"/>
      <c r="L99" s="174"/>
      <c r="M99" s="160">
        <f>(O98+(L99+N99)/2)*Q99/12</f>
        <v>16.825605968310409</v>
      </c>
      <c r="N99" s="75"/>
      <c r="O99" s="160">
        <f t="shared" si="57"/>
        <v>5785.604795103307</v>
      </c>
      <c r="P99" s="75"/>
      <c r="Q99" s="161">
        <f t="shared" si="61"/>
        <v>3.5000000000000003E-2</v>
      </c>
    </row>
    <row r="100" spans="1:17">
      <c r="A100" s="158">
        <v>42644</v>
      </c>
      <c r="B100" s="75"/>
      <c r="C100" s="175">
        <f>-C67+21041</f>
        <v>6916650.0800000001</v>
      </c>
      <c r="D100" s="160">
        <v>20718.349999999999</v>
      </c>
      <c r="E100" s="75"/>
      <c r="F100" s="160">
        <f t="shared" si="55"/>
        <v>6937368.4299999997</v>
      </c>
      <c r="G100" s="75"/>
      <c r="H100" s="161">
        <f t="shared" si="60"/>
        <v>3.5000000000000003E-2</v>
      </c>
      <c r="I100" s="75"/>
      <c r="J100" s="158">
        <v>42644</v>
      </c>
      <c r="K100" s="75"/>
      <c r="L100" s="176">
        <f>-L67</f>
        <v>5448683.5300000003</v>
      </c>
      <c r="M100" s="160">
        <f>(O99+O66+(L100+L67+N100)/2)*Q100/12</f>
        <v>15908.86829840736</v>
      </c>
      <c r="N100" s="75"/>
      <c r="O100" s="160">
        <f t="shared" si="57"/>
        <v>5470378.0030935109</v>
      </c>
      <c r="P100" s="75"/>
      <c r="Q100" s="161">
        <f t="shared" si="61"/>
        <v>3.5000000000000003E-2</v>
      </c>
    </row>
    <row r="101" spans="1:17">
      <c r="A101" s="158">
        <v>42675</v>
      </c>
      <c r="B101" s="75"/>
      <c r="C101" s="175"/>
      <c r="D101" s="160">
        <f t="shared" si="54"/>
        <v>19546.047602083334</v>
      </c>
      <c r="E101" s="160">
        <v>-471732.79</v>
      </c>
      <c r="F101" s="160">
        <f t="shared" si="55"/>
        <v>6485181.6876020832</v>
      </c>
      <c r="G101" s="75"/>
      <c r="H101" s="161">
        <f t="shared" si="60"/>
        <v>3.5000000000000003E-2</v>
      </c>
      <c r="I101" s="75"/>
      <c r="J101" s="158">
        <v>42675</v>
      </c>
      <c r="K101" s="75"/>
      <c r="L101" s="176"/>
      <c r="M101" s="160">
        <f t="shared" si="56"/>
        <v>15506.456898606075</v>
      </c>
      <c r="N101" s="160">
        <v>-307756.99</v>
      </c>
      <c r="O101" s="160">
        <f t="shared" si="57"/>
        <v>5178127.469992117</v>
      </c>
      <c r="P101" s="75"/>
      <c r="Q101" s="161">
        <f t="shared" si="61"/>
        <v>3.5000000000000003E-2</v>
      </c>
    </row>
    <row r="102" spans="1:17">
      <c r="A102" s="158">
        <v>42705</v>
      </c>
      <c r="B102" s="159"/>
      <c r="C102" s="175"/>
      <c r="D102" s="160">
        <f t="shared" si="54"/>
        <v>17880.780699256076</v>
      </c>
      <c r="E102" s="160">
        <v>-709256.61</v>
      </c>
      <c r="F102" s="160">
        <f t="shared" si="55"/>
        <v>5793805.8583013387</v>
      </c>
      <c r="G102" s="75"/>
      <c r="H102" s="161">
        <f t="shared" si="60"/>
        <v>3.5000000000000003E-2</v>
      </c>
      <c r="I102" s="75"/>
      <c r="J102" s="158">
        <v>42705</v>
      </c>
      <c r="K102" s="159"/>
      <c r="L102" s="176"/>
      <c r="M102" s="160">
        <f t="shared" si="56"/>
        <v>14118.792814560344</v>
      </c>
      <c r="N102" s="160">
        <v>-674797.01</v>
      </c>
      <c r="O102" s="160">
        <f t="shared" si="57"/>
        <v>4517449.2528066775</v>
      </c>
      <c r="P102" s="75"/>
      <c r="Q102" s="161">
        <f t="shared" si="61"/>
        <v>3.5000000000000003E-2</v>
      </c>
    </row>
    <row r="103" spans="1:17">
      <c r="A103" s="75"/>
      <c r="B103" s="75"/>
      <c r="C103" s="75"/>
      <c r="D103" s="75"/>
      <c r="E103" s="75"/>
      <c r="F103" s="160"/>
      <c r="G103" s="75"/>
      <c r="H103" s="75"/>
      <c r="I103" s="75"/>
      <c r="J103" s="75"/>
      <c r="K103" s="75"/>
      <c r="L103" s="75"/>
      <c r="M103" s="75"/>
      <c r="N103" s="75"/>
      <c r="O103" s="160"/>
      <c r="P103" s="75"/>
      <c r="Q103" s="75"/>
    </row>
    <row r="104" spans="1:17">
      <c r="A104" s="75">
        <v>182338</v>
      </c>
      <c r="B104" s="75" t="s">
        <v>53</v>
      </c>
      <c r="C104" s="188" t="s">
        <v>120</v>
      </c>
      <c r="D104" s="188" t="s">
        <v>121</v>
      </c>
      <c r="E104" s="188"/>
      <c r="F104" s="160" t="s">
        <v>123</v>
      </c>
      <c r="G104" s="75"/>
      <c r="H104" s="188" t="s">
        <v>121</v>
      </c>
      <c r="I104" s="75"/>
      <c r="J104" s="75">
        <v>182338</v>
      </c>
      <c r="K104" s="75" t="s">
        <v>54</v>
      </c>
      <c r="L104" s="188" t="s">
        <v>120</v>
      </c>
      <c r="M104" s="188" t="s">
        <v>121</v>
      </c>
      <c r="N104" s="188"/>
      <c r="O104" s="160" t="s">
        <v>123</v>
      </c>
      <c r="P104" s="75"/>
      <c r="Q104" s="188" t="s">
        <v>121</v>
      </c>
    </row>
    <row r="105" spans="1:17">
      <c r="A105" s="75"/>
      <c r="B105" s="75"/>
      <c r="C105" s="188" t="s">
        <v>124</v>
      </c>
      <c r="D105" s="188" t="s">
        <v>125</v>
      </c>
      <c r="E105" s="188" t="s">
        <v>126</v>
      </c>
      <c r="F105" s="160" t="s">
        <v>122</v>
      </c>
      <c r="G105" s="75"/>
      <c r="H105" s="188" t="s">
        <v>127</v>
      </c>
      <c r="I105" s="75"/>
      <c r="J105" s="75"/>
      <c r="K105" s="75"/>
      <c r="L105" s="188" t="s">
        <v>124</v>
      </c>
      <c r="M105" s="188" t="s">
        <v>125</v>
      </c>
      <c r="N105" s="188" t="s">
        <v>126</v>
      </c>
      <c r="O105" s="160" t="s">
        <v>122</v>
      </c>
      <c r="P105" s="75"/>
      <c r="Q105" s="188" t="s">
        <v>127</v>
      </c>
    </row>
    <row r="106" spans="1:17" hidden="1">
      <c r="A106" s="158">
        <v>42339</v>
      </c>
      <c r="B106" s="159"/>
      <c r="C106" s="159"/>
      <c r="D106" s="75"/>
      <c r="E106" s="75"/>
      <c r="F106" s="160">
        <v>0</v>
      </c>
      <c r="G106" s="75"/>
      <c r="H106" s="75"/>
      <c r="I106" s="75"/>
      <c r="J106" s="158">
        <v>42339</v>
      </c>
      <c r="K106" s="159"/>
      <c r="L106" s="159"/>
      <c r="M106" s="75"/>
      <c r="N106" s="75"/>
      <c r="O106" s="160">
        <v>0</v>
      </c>
      <c r="P106" s="75"/>
      <c r="Q106" s="75"/>
    </row>
    <row r="107" spans="1:17" hidden="1">
      <c r="A107" s="158">
        <v>42370</v>
      </c>
      <c r="B107" s="75"/>
      <c r="C107" s="160"/>
      <c r="D107" s="160">
        <f>(F106+(C107+E107)/2)*H107/12</f>
        <v>0</v>
      </c>
      <c r="E107" s="75"/>
      <c r="F107" s="160">
        <f>F106+C107+D107+E107</f>
        <v>0</v>
      </c>
      <c r="G107" s="75"/>
      <c r="H107" s="161">
        <v>3.2500000000000001E-2</v>
      </c>
      <c r="I107" s="75"/>
      <c r="J107" s="158">
        <v>42370</v>
      </c>
      <c r="K107" s="75"/>
      <c r="L107" s="160"/>
      <c r="M107" s="160">
        <f>(O106+(L107+N107)/2)*Q107/12</f>
        <v>0</v>
      </c>
      <c r="N107" s="75"/>
      <c r="O107" s="160">
        <f>O106+L107+M107+N107</f>
        <v>0</v>
      </c>
      <c r="P107" s="75"/>
      <c r="Q107" s="161">
        <v>3.2500000000000001E-2</v>
      </c>
    </row>
    <row r="108" spans="1:17" hidden="1">
      <c r="A108" s="158">
        <v>42401</v>
      </c>
      <c r="B108" s="75"/>
      <c r="C108" s="160"/>
      <c r="D108" s="160">
        <f>(F107+(C108+E108)/2)*H108/12</f>
        <v>0</v>
      </c>
      <c r="E108" s="75"/>
      <c r="F108" s="160">
        <f>F107+C108+D108+E108</f>
        <v>0</v>
      </c>
      <c r="G108" s="75"/>
      <c r="H108" s="161">
        <f>H107</f>
        <v>3.2500000000000001E-2</v>
      </c>
      <c r="I108" s="75"/>
      <c r="J108" s="158">
        <v>42401</v>
      </c>
      <c r="K108" s="75"/>
      <c r="L108" s="160"/>
      <c r="M108" s="160">
        <f>(O107+(L108+N108)/2)*Q108/12</f>
        <v>0</v>
      </c>
      <c r="N108" s="75"/>
      <c r="O108" s="160">
        <f>O107+L108+M108+N108</f>
        <v>0</v>
      </c>
      <c r="P108" s="75"/>
      <c r="Q108" s="161">
        <f>Q107</f>
        <v>3.2500000000000001E-2</v>
      </c>
    </row>
    <row r="109" spans="1:17" hidden="1">
      <c r="A109" s="158">
        <v>42430</v>
      </c>
      <c r="B109" s="75"/>
      <c r="C109" s="160"/>
      <c r="D109" s="160">
        <f>(F108+(C109+E109)/2)*H109/12</f>
        <v>0</v>
      </c>
      <c r="E109" s="75"/>
      <c r="F109" s="160">
        <f>F108+C109+D109+E109</f>
        <v>0</v>
      </c>
      <c r="G109" s="75"/>
      <c r="H109" s="161">
        <f t="shared" ref="H109" si="62">H108</f>
        <v>3.2500000000000001E-2</v>
      </c>
      <c r="I109" s="75"/>
      <c r="J109" s="158">
        <v>42430</v>
      </c>
      <c r="K109" s="75"/>
      <c r="L109" s="160"/>
      <c r="M109" s="160">
        <f>(O108+(L109+N109)/2)*Q109/12</f>
        <v>0</v>
      </c>
      <c r="N109" s="75"/>
      <c r="O109" s="160">
        <f>O108+L109+M109+N109</f>
        <v>0</v>
      </c>
      <c r="P109" s="75"/>
      <c r="Q109" s="161">
        <f t="shared" ref="Q109" si="63">Q108</f>
        <v>3.2500000000000001E-2</v>
      </c>
    </row>
    <row r="110" spans="1:17" s="75" customFormat="1" hidden="1">
      <c r="A110" s="158">
        <v>42461</v>
      </c>
      <c r="C110" s="160"/>
      <c r="D110" s="160">
        <f>(F109+(C110+E110)/2)*H110/12</f>
        <v>0</v>
      </c>
      <c r="F110" s="160">
        <f>F109+C110+D110+E110</f>
        <v>0</v>
      </c>
      <c r="H110" s="161">
        <v>3.4599999999999999E-2</v>
      </c>
      <c r="J110" s="158">
        <v>42461</v>
      </c>
      <c r="L110" s="160"/>
      <c r="M110" s="160">
        <f>(O109+(L110+N110)/2)*Q110/12</f>
        <v>0</v>
      </c>
      <c r="O110" s="160">
        <f>O109+L110+M110+N110</f>
        <v>0</v>
      </c>
      <c r="Q110" s="161">
        <v>3.4599999999999999E-2</v>
      </c>
    </row>
    <row r="111" spans="1:17" s="75" customFormat="1" hidden="1">
      <c r="A111" s="158">
        <v>42491</v>
      </c>
      <c r="C111" s="160"/>
      <c r="D111" s="160">
        <f t="shared" ref="D111:D118" si="64">(F110+(C111+E111)/2)*H111/12</f>
        <v>0</v>
      </c>
      <c r="F111" s="160">
        <f t="shared" ref="F111:F118" si="65">F110+C111+D111+E111</f>
        <v>0</v>
      </c>
      <c r="H111" s="161">
        <f t="shared" ref="H111:H118" si="66">H110</f>
        <v>3.4599999999999999E-2</v>
      </c>
      <c r="J111" s="158">
        <v>42491</v>
      </c>
      <c r="L111" s="160"/>
      <c r="M111" s="160">
        <f t="shared" ref="M111:M118" si="67">(O110+(L111+N111)/2)*Q111/12</f>
        <v>0</v>
      </c>
      <c r="O111" s="160">
        <f t="shared" ref="O111:O118" si="68">O110+L111+M111+N111</f>
        <v>0</v>
      </c>
      <c r="Q111" s="161">
        <f t="shared" ref="Q111:Q118" si="69">Q110</f>
        <v>3.4599999999999999E-2</v>
      </c>
    </row>
    <row r="112" spans="1:17" s="75" customFormat="1" hidden="1">
      <c r="A112" s="158">
        <v>42522</v>
      </c>
      <c r="C112" s="160"/>
      <c r="D112" s="160">
        <f t="shared" si="64"/>
        <v>0</v>
      </c>
      <c r="F112" s="160">
        <f t="shared" si="65"/>
        <v>0</v>
      </c>
      <c r="H112" s="161">
        <v>3.5000000000000003E-2</v>
      </c>
      <c r="J112" s="158">
        <v>42522</v>
      </c>
      <c r="L112" s="160"/>
      <c r="M112" s="160">
        <f t="shared" si="67"/>
        <v>0</v>
      </c>
      <c r="O112" s="160">
        <f t="shared" si="68"/>
        <v>0</v>
      </c>
      <c r="Q112" s="161">
        <f t="shared" si="69"/>
        <v>3.4599999999999999E-2</v>
      </c>
    </row>
    <row r="113" spans="1:17" s="75" customFormat="1" hidden="1">
      <c r="A113" s="158">
        <v>42552</v>
      </c>
      <c r="C113" s="160"/>
      <c r="D113" s="160">
        <f t="shared" si="64"/>
        <v>0</v>
      </c>
      <c r="F113" s="160">
        <f t="shared" si="65"/>
        <v>0</v>
      </c>
      <c r="H113" s="161">
        <f t="shared" si="66"/>
        <v>3.5000000000000003E-2</v>
      </c>
      <c r="J113" s="158">
        <v>42552</v>
      </c>
      <c r="L113" s="160"/>
      <c r="M113" s="160">
        <f t="shared" si="67"/>
        <v>0</v>
      </c>
      <c r="O113" s="160">
        <f t="shared" si="68"/>
        <v>0</v>
      </c>
      <c r="Q113" s="161">
        <v>3.5000000000000003E-2</v>
      </c>
    </row>
    <row r="114" spans="1:17" s="75" customFormat="1" hidden="1">
      <c r="A114" s="158">
        <v>42583</v>
      </c>
      <c r="C114" s="160"/>
      <c r="D114" s="160">
        <f t="shared" si="64"/>
        <v>0</v>
      </c>
      <c r="F114" s="160">
        <f t="shared" si="65"/>
        <v>0</v>
      </c>
      <c r="H114" s="161">
        <f t="shared" si="66"/>
        <v>3.5000000000000003E-2</v>
      </c>
      <c r="J114" s="158">
        <v>42583</v>
      </c>
      <c r="L114" s="160"/>
      <c r="M114" s="160">
        <f t="shared" si="67"/>
        <v>0</v>
      </c>
      <c r="O114" s="160">
        <f t="shared" si="68"/>
        <v>0</v>
      </c>
      <c r="Q114" s="161">
        <f t="shared" si="69"/>
        <v>3.5000000000000003E-2</v>
      </c>
    </row>
    <row r="115" spans="1:17" s="75" customFormat="1">
      <c r="A115" s="158">
        <v>42614</v>
      </c>
      <c r="C115" s="160"/>
      <c r="D115" s="160">
        <f t="shared" si="64"/>
        <v>0</v>
      </c>
      <c r="F115" s="160">
        <f t="shared" si="65"/>
        <v>0</v>
      </c>
      <c r="H115" s="161">
        <f t="shared" si="66"/>
        <v>3.5000000000000003E-2</v>
      </c>
      <c r="J115" s="158">
        <v>42614</v>
      </c>
      <c r="L115" s="160"/>
      <c r="M115" s="160">
        <f t="shared" si="67"/>
        <v>0</v>
      </c>
      <c r="O115" s="160">
        <f t="shared" si="68"/>
        <v>0</v>
      </c>
      <c r="Q115" s="161">
        <f t="shared" si="69"/>
        <v>3.5000000000000003E-2</v>
      </c>
    </row>
    <row r="116" spans="1:17" s="75" customFormat="1">
      <c r="A116" s="158">
        <v>42644</v>
      </c>
      <c r="C116" s="160"/>
      <c r="D116" s="160">
        <f t="shared" si="64"/>
        <v>0</v>
      </c>
      <c r="F116" s="160">
        <f t="shared" si="65"/>
        <v>0</v>
      </c>
      <c r="H116" s="161">
        <f t="shared" si="66"/>
        <v>3.5000000000000003E-2</v>
      </c>
      <c r="J116" s="158">
        <v>42644</v>
      </c>
      <c r="L116" s="160">
        <f>-L84</f>
        <v>1781572.83</v>
      </c>
      <c r="M116" s="160">
        <f>(O115+O83+(L116+L84+N116)/2)*Q116/12</f>
        <v>5196.2541327304643</v>
      </c>
      <c r="O116" s="160">
        <f t="shared" si="68"/>
        <v>1786769.0841327305</v>
      </c>
      <c r="Q116" s="161">
        <f t="shared" si="69"/>
        <v>3.5000000000000003E-2</v>
      </c>
    </row>
    <row r="117" spans="1:17" s="75" customFormat="1">
      <c r="A117" s="158">
        <v>42675</v>
      </c>
      <c r="C117" s="160"/>
      <c r="D117" s="160">
        <f t="shared" si="64"/>
        <v>0</v>
      </c>
      <c r="F117" s="160">
        <f t="shared" si="65"/>
        <v>0</v>
      </c>
      <c r="H117" s="161">
        <f t="shared" si="66"/>
        <v>3.5000000000000003E-2</v>
      </c>
      <c r="J117" s="158">
        <v>42675</v>
      </c>
      <c r="L117" s="160"/>
      <c r="M117" s="160">
        <f t="shared" si="67"/>
        <v>5066.7868828871315</v>
      </c>
      <c r="N117" s="160">
        <v>-99170.02</v>
      </c>
      <c r="O117" s="160">
        <f t="shared" si="68"/>
        <v>1692665.8510156176</v>
      </c>
      <c r="Q117" s="161">
        <f t="shared" si="69"/>
        <v>3.5000000000000003E-2</v>
      </c>
    </row>
    <row r="118" spans="1:17" s="75" customFormat="1">
      <c r="A118" s="158">
        <v>42705</v>
      </c>
      <c r="C118" s="160"/>
      <c r="D118" s="160">
        <f t="shared" si="64"/>
        <v>0</v>
      </c>
      <c r="F118" s="160">
        <f t="shared" si="65"/>
        <v>0</v>
      </c>
      <c r="H118" s="161">
        <f t="shared" si="66"/>
        <v>3.5000000000000003E-2</v>
      </c>
      <c r="J118" s="158">
        <v>42705</v>
      </c>
      <c r="L118" s="160"/>
      <c r="M118" s="160">
        <f t="shared" si="67"/>
        <v>4683.0398592122183</v>
      </c>
      <c r="N118" s="160">
        <v>-174104.37</v>
      </c>
      <c r="O118" s="160">
        <f t="shared" si="68"/>
        <v>1523244.52087483</v>
      </c>
      <c r="Q118" s="161">
        <f t="shared" si="69"/>
        <v>3.5000000000000003E-2</v>
      </c>
    </row>
    <row r="119" spans="1:17" s="75" customFormat="1">
      <c r="A119" s="158"/>
      <c r="C119" s="160"/>
      <c r="D119" s="160"/>
      <c r="F119" s="160"/>
      <c r="H119" s="161"/>
      <c r="J119" s="158"/>
      <c r="L119" s="160"/>
      <c r="M119" s="160"/>
      <c r="O119" s="160"/>
      <c r="Q119" s="161"/>
    </row>
    <row r="120" spans="1:17" hidden="1">
      <c r="A120" s="75">
        <v>254328</v>
      </c>
      <c r="B120" s="75" t="s">
        <v>53</v>
      </c>
      <c r="C120" s="188" t="s">
        <v>120</v>
      </c>
      <c r="D120" s="188" t="s">
        <v>121</v>
      </c>
      <c r="E120" s="188"/>
      <c r="F120" s="160" t="s">
        <v>123</v>
      </c>
      <c r="G120" s="75"/>
      <c r="H120" s="188" t="s">
        <v>121</v>
      </c>
      <c r="I120" s="75"/>
      <c r="J120" s="75">
        <v>254328</v>
      </c>
      <c r="K120" s="75" t="s">
        <v>54</v>
      </c>
      <c r="L120" s="188" t="s">
        <v>120</v>
      </c>
      <c r="M120" s="188" t="s">
        <v>121</v>
      </c>
      <c r="N120" s="188"/>
      <c r="O120" s="160" t="s">
        <v>123</v>
      </c>
      <c r="P120" s="75"/>
      <c r="Q120" s="188" t="s">
        <v>121</v>
      </c>
    </row>
    <row r="121" spans="1:17" hidden="1">
      <c r="A121" s="75"/>
      <c r="B121" s="75"/>
      <c r="C121" s="188" t="s">
        <v>124</v>
      </c>
      <c r="D121" s="188" t="s">
        <v>125</v>
      </c>
      <c r="E121" s="188" t="s">
        <v>126</v>
      </c>
      <c r="F121" s="160" t="s">
        <v>122</v>
      </c>
      <c r="G121" s="75"/>
      <c r="H121" s="188" t="s">
        <v>127</v>
      </c>
      <c r="I121" s="75"/>
      <c r="J121" s="75"/>
      <c r="K121" s="75"/>
      <c r="L121" s="188" t="s">
        <v>124</v>
      </c>
      <c r="M121" s="188" t="s">
        <v>125</v>
      </c>
      <c r="N121" s="188" t="s">
        <v>126</v>
      </c>
      <c r="O121" s="160" t="s">
        <v>122</v>
      </c>
      <c r="P121" s="75"/>
      <c r="Q121" s="188" t="s">
        <v>127</v>
      </c>
    </row>
    <row r="122" spans="1:17" hidden="1">
      <c r="A122" s="158">
        <v>42339</v>
      </c>
      <c r="B122" s="159"/>
      <c r="C122" s="159"/>
      <c r="D122" s="75"/>
      <c r="E122" s="75"/>
      <c r="F122" s="160">
        <v>0</v>
      </c>
      <c r="G122" s="75"/>
      <c r="H122" s="75"/>
      <c r="I122" s="75"/>
      <c r="J122" s="158">
        <v>42339</v>
      </c>
      <c r="K122" s="159"/>
      <c r="L122" s="159"/>
      <c r="M122" s="75"/>
      <c r="N122" s="75"/>
      <c r="O122" s="160">
        <v>0</v>
      </c>
      <c r="P122" s="75"/>
      <c r="Q122" s="75"/>
    </row>
    <row r="123" spans="1:17" hidden="1">
      <c r="A123" s="158">
        <v>42370</v>
      </c>
      <c r="B123" s="75"/>
      <c r="C123" s="160"/>
      <c r="D123" s="160">
        <f t="shared" ref="D123:D134" si="70">(F122+(C123+E123)/2)*H123/12</f>
        <v>0</v>
      </c>
      <c r="E123" s="75"/>
      <c r="F123" s="160">
        <f t="shared" ref="F123:F134" si="71">F122+C123+D123+E123</f>
        <v>0</v>
      </c>
      <c r="G123" s="75"/>
      <c r="H123" s="161">
        <v>3.2500000000000001E-2</v>
      </c>
      <c r="I123" s="75"/>
      <c r="J123" s="158">
        <v>42370</v>
      </c>
      <c r="K123" s="75"/>
      <c r="L123" s="160"/>
      <c r="M123" s="160">
        <f t="shared" ref="M123:M134" si="72">(O122+(L123+N123)/2)*Q123/12</f>
        <v>0</v>
      </c>
      <c r="N123" s="75"/>
      <c r="O123" s="160">
        <f t="shared" ref="O123:O134" si="73">O122+L123+M123+N123</f>
        <v>0</v>
      </c>
      <c r="P123" s="75"/>
      <c r="Q123" s="161">
        <v>3.2500000000000001E-2</v>
      </c>
    </row>
    <row r="124" spans="1:17" hidden="1">
      <c r="A124" s="158">
        <v>42401</v>
      </c>
      <c r="B124" s="75"/>
      <c r="C124" s="160"/>
      <c r="D124" s="160">
        <f t="shared" si="70"/>
        <v>0</v>
      </c>
      <c r="E124" s="75"/>
      <c r="F124" s="160">
        <f t="shared" si="71"/>
        <v>0</v>
      </c>
      <c r="G124" s="75"/>
      <c r="H124" s="161">
        <f>H123</f>
        <v>3.2500000000000001E-2</v>
      </c>
      <c r="I124" s="75"/>
      <c r="J124" s="158">
        <v>42401</v>
      </c>
      <c r="K124" s="75"/>
      <c r="L124" s="160"/>
      <c r="M124" s="160">
        <f t="shared" si="72"/>
        <v>0</v>
      </c>
      <c r="N124" s="75"/>
      <c r="O124" s="160">
        <f t="shared" si="73"/>
        <v>0</v>
      </c>
      <c r="P124" s="75"/>
      <c r="Q124" s="161">
        <f>Q123</f>
        <v>3.2500000000000001E-2</v>
      </c>
    </row>
    <row r="125" spans="1:17" hidden="1">
      <c r="A125" s="158">
        <v>42430</v>
      </c>
      <c r="B125" s="75"/>
      <c r="C125" s="160"/>
      <c r="D125" s="160">
        <f t="shared" si="70"/>
        <v>0</v>
      </c>
      <c r="E125" s="75"/>
      <c r="F125" s="160">
        <f t="shared" si="71"/>
        <v>0</v>
      </c>
      <c r="G125" s="75"/>
      <c r="H125" s="161">
        <f t="shared" ref="H125" si="74">H124</f>
        <v>3.2500000000000001E-2</v>
      </c>
      <c r="I125" s="75"/>
      <c r="J125" s="158">
        <v>42430</v>
      </c>
      <c r="K125" s="75"/>
      <c r="L125" s="160"/>
      <c r="M125" s="160">
        <f t="shared" si="72"/>
        <v>0</v>
      </c>
      <c r="N125" s="75"/>
      <c r="O125" s="160">
        <f t="shared" si="73"/>
        <v>0</v>
      </c>
      <c r="P125" s="75"/>
      <c r="Q125" s="161">
        <f t="shared" ref="Q125" si="75">Q124</f>
        <v>3.2500000000000001E-2</v>
      </c>
    </row>
    <row r="126" spans="1:17" hidden="1">
      <c r="A126" s="158">
        <v>42461</v>
      </c>
      <c r="B126" s="75"/>
      <c r="C126" s="160"/>
      <c r="D126" s="160">
        <f t="shared" si="70"/>
        <v>0</v>
      </c>
      <c r="E126" s="75"/>
      <c r="F126" s="160">
        <f t="shared" si="71"/>
        <v>0</v>
      </c>
      <c r="G126" s="75"/>
      <c r="H126" s="161">
        <v>3.4599999999999999E-2</v>
      </c>
      <c r="I126" s="75"/>
      <c r="J126" s="158">
        <v>42461</v>
      </c>
      <c r="K126" s="75"/>
      <c r="L126" s="160"/>
      <c r="M126" s="160">
        <f t="shared" si="72"/>
        <v>0</v>
      </c>
      <c r="N126" s="75"/>
      <c r="O126" s="160">
        <f t="shared" si="73"/>
        <v>0</v>
      </c>
      <c r="P126" s="75"/>
      <c r="Q126" s="161">
        <v>3.4599999999999999E-2</v>
      </c>
    </row>
    <row r="127" spans="1:17" hidden="1">
      <c r="A127" s="158">
        <v>42491</v>
      </c>
      <c r="B127" s="75"/>
      <c r="C127" s="160"/>
      <c r="D127" s="160">
        <f t="shared" si="70"/>
        <v>0</v>
      </c>
      <c r="E127" s="75"/>
      <c r="F127" s="160">
        <f t="shared" si="71"/>
        <v>0</v>
      </c>
      <c r="G127" s="75"/>
      <c r="H127" s="161">
        <f t="shared" ref="H127:H134" si="76">H126</f>
        <v>3.4599999999999999E-2</v>
      </c>
      <c r="I127" s="75"/>
      <c r="J127" s="158">
        <v>42491</v>
      </c>
      <c r="K127" s="75"/>
      <c r="L127" s="160"/>
      <c r="M127" s="160">
        <f t="shared" si="72"/>
        <v>0</v>
      </c>
      <c r="N127" s="75"/>
      <c r="O127" s="160">
        <f t="shared" si="73"/>
        <v>0</v>
      </c>
      <c r="P127" s="75"/>
      <c r="Q127" s="161">
        <f t="shared" ref="Q127:Q134" si="77">Q126</f>
        <v>3.4599999999999999E-2</v>
      </c>
    </row>
    <row r="128" spans="1:17" hidden="1">
      <c r="A128" s="158">
        <v>42522</v>
      </c>
      <c r="B128" s="75"/>
      <c r="C128" s="160"/>
      <c r="D128" s="160">
        <f t="shared" si="70"/>
        <v>0</v>
      </c>
      <c r="E128" s="75"/>
      <c r="F128" s="160">
        <f t="shared" si="71"/>
        <v>0</v>
      </c>
      <c r="G128" s="75"/>
      <c r="H128" s="161">
        <f t="shared" si="76"/>
        <v>3.4599999999999999E-2</v>
      </c>
      <c r="I128" s="75"/>
      <c r="J128" s="158">
        <v>42522</v>
      </c>
      <c r="K128" s="75"/>
      <c r="L128" s="160"/>
      <c r="M128" s="160">
        <f t="shared" si="72"/>
        <v>0</v>
      </c>
      <c r="N128" s="75"/>
      <c r="O128" s="160">
        <f t="shared" si="73"/>
        <v>0</v>
      </c>
      <c r="P128" s="75"/>
      <c r="Q128" s="161">
        <f t="shared" si="77"/>
        <v>3.4599999999999999E-2</v>
      </c>
    </row>
    <row r="129" spans="1:17" hidden="1">
      <c r="A129" s="158">
        <v>42552</v>
      </c>
      <c r="B129" s="75"/>
      <c r="C129" s="160"/>
      <c r="D129" s="160">
        <f t="shared" si="70"/>
        <v>0</v>
      </c>
      <c r="E129" s="75"/>
      <c r="F129" s="160">
        <f t="shared" si="71"/>
        <v>0</v>
      </c>
      <c r="G129" s="75"/>
      <c r="H129" s="161">
        <v>3.5000000000000003E-2</v>
      </c>
      <c r="I129" s="75"/>
      <c r="J129" s="158">
        <v>42552</v>
      </c>
      <c r="K129" s="75"/>
      <c r="L129" s="160"/>
      <c r="M129" s="160">
        <f t="shared" si="72"/>
        <v>0</v>
      </c>
      <c r="N129" s="75"/>
      <c r="O129" s="160">
        <f t="shared" si="73"/>
        <v>0</v>
      </c>
      <c r="P129" s="75"/>
      <c r="Q129" s="161">
        <v>3.5000000000000003E-2</v>
      </c>
    </row>
    <row r="130" spans="1:17" hidden="1">
      <c r="A130" s="158">
        <v>42583</v>
      </c>
      <c r="B130" s="75"/>
      <c r="C130" s="160"/>
      <c r="D130" s="160">
        <f t="shared" si="70"/>
        <v>0</v>
      </c>
      <c r="E130" s="75"/>
      <c r="F130" s="160">
        <f t="shared" si="71"/>
        <v>0</v>
      </c>
      <c r="G130" s="75"/>
      <c r="H130" s="161">
        <f t="shared" si="76"/>
        <v>3.5000000000000003E-2</v>
      </c>
      <c r="I130" s="75"/>
      <c r="J130" s="158">
        <v>42583</v>
      </c>
      <c r="K130" s="75"/>
      <c r="L130" s="160"/>
      <c r="M130" s="160">
        <f t="shared" si="72"/>
        <v>0</v>
      </c>
      <c r="N130" s="75"/>
      <c r="O130" s="160">
        <f t="shared" si="73"/>
        <v>0</v>
      </c>
      <c r="P130" s="75"/>
      <c r="Q130" s="161">
        <f t="shared" si="77"/>
        <v>3.5000000000000003E-2</v>
      </c>
    </row>
    <row r="131" spans="1:17" hidden="1">
      <c r="A131" s="158">
        <v>42614</v>
      </c>
      <c r="B131" s="75"/>
      <c r="C131" s="160"/>
      <c r="D131" s="160">
        <f t="shared" si="70"/>
        <v>0</v>
      </c>
      <c r="E131" s="75"/>
      <c r="F131" s="160">
        <f t="shared" si="71"/>
        <v>0</v>
      </c>
      <c r="G131" s="75"/>
      <c r="H131" s="161">
        <f t="shared" si="76"/>
        <v>3.5000000000000003E-2</v>
      </c>
      <c r="I131" s="75"/>
      <c r="J131" s="158">
        <v>42614</v>
      </c>
      <c r="K131" s="75"/>
      <c r="L131" s="160"/>
      <c r="M131" s="160">
        <f t="shared" si="72"/>
        <v>0</v>
      </c>
      <c r="N131" s="75"/>
      <c r="O131" s="160">
        <f t="shared" si="73"/>
        <v>0</v>
      </c>
      <c r="P131" s="75"/>
      <c r="Q131" s="161">
        <f t="shared" si="77"/>
        <v>3.5000000000000003E-2</v>
      </c>
    </row>
    <row r="132" spans="1:17" hidden="1">
      <c r="A132" s="158">
        <v>42644</v>
      </c>
      <c r="B132" s="75"/>
      <c r="C132" s="160"/>
      <c r="D132" s="160">
        <f t="shared" si="70"/>
        <v>0</v>
      </c>
      <c r="E132" s="75"/>
      <c r="F132" s="160">
        <f t="shared" si="71"/>
        <v>0</v>
      </c>
      <c r="G132" s="75"/>
      <c r="H132" s="161">
        <f t="shared" si="76"/>
        <v>3.5000000000000003E-2</v>
      </c>
      <c r="I132" s="75"/>
      <c r="J132" s="158">
        <v>42644</v>
      </c>
      <c r="K132" s="75"/>
      <c r="L132" s="160"/>
      <c r="M132" s="160">
        <f t="shared" si="72"/>
        <v>0</v>
      </c>
      <c r="N132" s="75"/>
      <c r="O132" s="160">
        <f t="shared" si="73"/>
        <v>0</v>
      </c>
      <c r="P132" s="75"/>
      <c r="Q132" s="161">
        <f t="shared" si="77"/>
        <v>3.5000000000000003E-2</v>
      </c>
    </row>
    <row r="133" spans="1:17" hidden="1">
      <c r="A133" s="158">
        <v>42675</v>
      </c>
      <c r="B133" s="75"/>
      <c r="C133" s="75"/>
      <c r="D133" s="160">
        <f t="shared" si="70"/>
        <v>0</v>
      </c>
      <c r="E133" s="23"/>
      <c r="F133" s="160">
        <f t="shared" si="71"/>
        <v>0</v>
      </c>
      <c r="G133" s="75"/>
      <c r="H133" s="161">
        <f t="shared" si="76"/>
        <v>3.5000000000000003E-2</v>
      </c>
      <c r="I133" s="75"/>
      <c r="J133" s="158">
        <v>42675</v>
      </c>
      <c r="K133" s="75"/>
      <c r="L133" s="75"/>
      <c r="M133" s="160">
        <f t="shared" si="72"/>
        <v>0</v>
      </c>
      <c r="N133" s="23"/>
      <c r="O133" s="160">
        <f t="shared" si="73"/>
        <v>0</v>
      </c>
      <c r="P133" s="75"/>
      <c r="Q133" s="161">
        <f t="shared" si="77"/>
        <v>3.5000000000000003E-2</v>
      </c>
    </row>
    <row r="134" spans="1:17" hidden="1">
      <c r="A134" s="158">
        <v>42705</v>
      </c>
      <c r="B134" s="159"/>
      <c r="C134" s="160"/>
      <c r="D134" s="160">
        <f t="shared" si="70"/>
        <v>0</v>
      </c>
      <c r="E134" s="23"/>
      <c r="F134" s="160">
        <f t="shared" si="71"/>
        <v>0</v>
      </c>
      <c r="G134" s="75"/>
      <c r="H134" s="161">
        <f t="shared" si="76"/>
        <v>3.5000000000000003E-2</v>
      </c>
      <c r="I134" s="75"/>
      <c r="J134" s="158">
        <v>42705</v>
      </c>
      <c r="K134" s="159"/>
      <c r="L134" s="160"/>
      <c r="M134" s="160">
        <f t="shared" si="72"/>
        <v>0</v>
      </c>
      <c r="N134" s="23"/>
      <c r="O134" s="160">
        <f t="shared" si="73"/>
        <v>0</v>
      </c>
      <c r="P134" s="75"/>
      <c r="Q134" s="161">
        <f t="shared" si="77"/>
        <v>3.5000000000000003E-2</v>
      </c>
    </row>
    <row r="135" spans="1:17" hidden="1">
      <c r="A135" s="75"/>
      <c r="B135" s="75"/>
      <c r="C135" s="75"/>
      <c r="D135" s="75"/>
      <c r="E135" s="75"/>
      <c r="F135" s="160"/>
      <c r="G135" s="75"/>
      <c r="H135" s="75"/>
      <c r="I135" s="75"/>
      <c r="J135" s="75"/>
      <c r="K135" s="75"/>
      <c r="L135" s="75"/>
      <c r="M135" s="75"/>
      <c r="N135" s="75"/>
      <c r="O135" s="160"/>
      <c r="P135" s="75"/>
      <c r="Q135" s="75"/>
    </row>
    <row r="136" spans="1:17">
      <c r="A136" s="75">
        <v>254338</v>
      </c>
      <c r="B136" s="75" t="s">
        <v>53</v>
      </c>
      <c r="C136" s="188" t="s">
        <v>120</v>
      </c>
      <c r="D136" s="188" t="s">
        <v>121</v>
      </c>
      <c r="E136" s="188"/>
      <c r="F136" s="160" t="s">
        <v>123</v>
      </c>
      <c r="G136" s="75"/>
      <c r="H136" s="188" t="s">
        <v>121</v>
      </c>
      <c r="I136" s="75"/>
      <c r="J136" s="75">
        <v>254338</v>
      </c>
      <c r="K136" s="75" t="s">
        <v>54</v>
      </c>
      <c r="L136" s="188" t="s">
        <v>120</v>
      </c>
      <c r="M136" s="188" t="s">
        <v>121</v>
      </c>
      <c r="N136" s="188"/>
      <c r="O136" s="160" t="s">
        <v>123</v>
      </c>
      <c r="P136" s="75"/>
      <c r="Q136" s="188" t="s">
        <v>121</v>
      </c>
    </row>
    <row r="137" spans="1:17">
      <c r="A137" s="75"/>
      <c r="B137" s="75"/>
      <c r="C137" s="188" t="s">
        <v>124</v>
      </c>
      <c r="D137" s="188" t="s">
        <v>125</v>
      </c>
      <c r="E137" s="188" t="s">
        <v>126</v>
      </c>
      <c r="F137" s="160" t="s">
        <v>122</v>
      </c>
      <c r="G137" s="75"/>
      <c r="H137" s="188" t="s">
        <v>127</v>
      </c>
      <c r="I137" s="75"/>
      <c r="J137" s="75"/>
      <c r="K137" s="75"/>
      <c r="L137" s="188" t="s">
        <v>124</v>
      </c>
      <c r="M137" s="188" t="s">
        <v>125</v>
      </c>
      <c r="N137" s="188" t="s">
        <v>126</v>
      </c>
      <c r="O137" s="160" t="s">
        <v>122</v>
      </c>
      <c r="P137" s="75"/>
      <c r="Q137" s="188" t="s">
        <v>127</v>
      </c>
    </row>
    <row r="138" spans="1:17" hidden="1">
      <c r="A138" s="158">
        <v>42339</v>
      </c>
      <c r="B138" s="159"/>
      <c r="C138" s="159"/>
      <c r="D138" s="75"/>
      <c r="E138" s="75"/>
      <c r="F138" s="160">
        <v>0</v>
      </c>
      <c r="G138" s="75"/>
      <c r="H138" s="75"/>
      <c r="I138" s="75"/>
      <c r="J138" s="158">
        <v>42339</v>
      </c>
      <c r="K138" s="159"/>
      <c r="L138" s="159"/>
      <c r="M138" s="75"/>
      <c r="N138" s="75"/>
      <c r="O138" s="160">
        <v>0</v>
      </c>
      <c r="P138" s="75"/>
      <c r="Q138" s="75"/>
    </row>
    <row r="139" spans="1:17" hidden="1">
      <c r="A139" s="158">
        <v>42370</v>
      </c>
      <c r="B139" s="75"/>
      <c r="C139" s="160"/>
      <c r="D139" s="160">
        <f>(F138+(C139+E139)/2)*H139/12</f>
        <v>0</v>
      </c>
      <c r="E139" s="75"/>
      <c r="F139" s="160">
        <f>F138+C139+D139+E139</f>
        <v>0</v>
      </c>
      <c r="G139" s="75"/>
      <c r="H139" s="161">
        <v>3.2500000000000001E-2</v>
      </c>
      <c r="I139" s="75"/>
      <c r="J139" s="158">
        <v>42370</v>
      </c>
      <c r="K139" s="75"/>
      <c r="L139" s="160"/>
      <c r="M139" s="160">
        <f>(O138+(L139+N139)/2)*Q139/12</f>
        <v>0</v>
      </c>
      <c r="N139" s="75"/>
      <c r="O139" s="160">
        <f>O138+L139+M139+N139</f>
        <v>0</v>
      </c>
      <c r="P139" s="75"/>
      <c r="Q139" s="161">
        <v>3.2500000000000001E-2</v>
      </c>
    </row>
    <row r="140" spans="1:17" hidden="1">
      <c r="A140" s="158">
        <v>42401</v>
      </c>
      <c r="B140" s="75"/>
      <c r="C140" s="160"/>
      <c r="D140" s="160">
        <f>(F139+(C140+E140)/2)*H140/12</f>
        <v>0</v>
      </c>
      <c r="E140" s="75"/>
      <c r="F140" s="160">
        <f>F139+C140+D140+E140</f>
        <v>0</v>
      </c>
      <c r="G140" s="75"/>
      <c r="H140" s="161">
        <f>H139</f>
        <v>3.2500000000000001E-2</v>
      </c>
      <c r="I140" s="75"/>
      <c r="J140" s="158">
        <v>42401</v>
      </c>
      <c r="K140" s="75"/>
      <c r="L140" s="160"/>
      <c r="M140" s="160">
        <f>(O139+(L140+N140)/2)*Q140/12</f>
        <v>0</v>
      </c>
      <c r="N140" s="75"/>
      <c r="O140" s="160">
        <f>O139+L140+M140+N140</f>
        <v>0</v>
      </c>
      <c r="P140" s="75"/>
      <c r="Q140" s="161">
        <f>Q139</f>
        <v>3.2500000000000001E-2</v>
      </c>
    </row>
    <row r="141" spans="1:17" hidden="1">
      <c r="A141" s="158">
        <v>42430</v>
      </c>
      <c r="B141" s="75"/>
      <c r="C141" s="160"/>
      <c r="D141" s="160">
        <f>(F140+(C141+E141)/2)*H141/12</f>
        <v>0</v>
      </c>
      <c r="E141" s="75"/>
      <c r="F141" s="160">
        <f>F140+C141+D141+E141</f>
        <v>0</v>
      </c>
      <c r="G141" s="75"/>
      <c r="H141" s="161">
        <f t="shared" ref="H141" si="78">H140</f>
        <v>3.2500000000000001E-2</v>
      </c>
      <c r="I141" s="75"/>
      <c r="J141" s="158">
        <v>42430</v>
      </c>
      <c r="K141" s="75"/>
      <c r="L141" s="160"/>
      <c r="M141" s="160">
        <f>(O140+(L141+N141)/2)*Q141/12</f>
        <v>0</v>
      </c>
      <c r="N141" s="75"/>
      <c r="O141" s="160">
        <f>O140+L141+M141+N141</f>
        <v>0</v>
      </c>
      <c r="P141" s="75"/>
      <c r="Q141" s="161">
        <f t="shared" ref="Q141" si="79">Q140</f>
        <v>3.2500000000000001E-2</v>
      </c>
    </row>
    <row r="142" spans="1:17" hidden="1">
      <c r="A142" s="158">
        <v>42461</v>
      </c>
      <c r="B142" s="75"/>
      <c r="C142" s="160"/>
      <c r="D142" s="160">
        <f t="shared" ref="D142:D150" si="80">(F141+(C142+E142)/2)*H142/12</f>
        <v>0</v>
      </c>
      <c r="E142" s="75"/>
      <c r="F142" s="160">
        <f t="shared" ref="F142:F150" si="81">F141+C142+D142+E142</f>
        <v>0</v>
      </c>
      <c r="G142" s="75"/>
      <c r="H142" s="161">
        <v>3.4599999999999999E-2</v>
      </c>
      <c r="I142" s="75"/>
      <c r="J142" s="158">
        <v>42461</v>
      </c>
      <c r="K142" s="75"/>
      <c r="L142" s="160"/>
      <c r="M142" s="160">
        <f t="shared" ref="M142:M150" si="82">(O141+(L142+N142)/2)*Q142/12</f>
        <v>0</v>
      </c>
      <c r="N142" s="75"/>
      <c r="O142" s="160">
        <f t="shared" ref="O142:O150" si="83">O141+L142+M142+N142</f>
        <v>0</v>
      </c>
      <c r="P142" s="75"/>
      <c r="Q142" s="161">
        <v>3.4599999999999999E-2</v>
      </c>
    </row>
    <row r="143" spans="1:17" hidden="1">
      <c r="A143" s="158">
        <v>42491</v>
      </c>
      <c r="B143" s="75"/>
      <c r="C143" s="160"/>
      <c r="D143" s="160">
        <f t="shared" si="80"/>
        <v>0</v>
      </c>
      <c r="E143" s="75"/>
      <c r="F143" s="160">
        <f t="shared" si="81"/>
        <v>0</v>
      </c>
      <c r="G143" s="75"/>
      <c r="H143" s="161">
        <f t="shared" ref="H143:H150" si="84">H142</f>
        <v>3.4599999999999999E-2</v>
      </c>
      <c r="I143" s="75"/>
      <c r="J143" s="158">
        <v>42491</v>
      </c>
      <c r="K143" s="75"/>
      <c r="L143" s="160"/>
      <c r="M143" s="160">
        <f t="shared" si="82"/>
        <v>0</v>
      </c>
      <c r="N143" s="75"/>
      <c r="O143" s="160">
        <f t="shared" si="83"/>
        <v>0</v>
      </c>
      <c r="P143" s="75"/>
      <c r="Q143" s="161">
        <f t="shared" ref="Q143:Q150" si="85">Q142</f>
        <v>3.4599999999999999E-2</v>
      </c>
    </row>
    <row r="144" spans="1:17" hidden="1">
      <c r="A144" s="158">
        <v>42522</v>
      </c>
      <c r="B144" s="75"/>
      <c r="C144" s="160"/>
      <c r="D144" s="160">
        <f t="shared" si="80"/>
        <v>0</v>
      </c>
      <c r="E144" s="75"/>
      <c r="F144" s="160">
        <f t="shared" si="81"/>
        <v>0</v>
      </c>
      <c r="G144" s="75"/>
      <c r="H144" s="161">
        <f t="shared" si="84"/>
        <v>3.4599999999999999E-2</v>
      </c>
      <c r="I144" s="75"/>
      <c r="J144" s="158">
        <v>42522</v>
      </c>
      <c r="K144" s="75"/>
      <c r="L144" s="160"/>
      <c r="M144" s="160">
        <f t="shared" si="82"/>
        <v>0</v>
      </c>
      <c r="N144" s="75"/>
      <c r="O144" s="160">
        <f t="shared" si="83"/>
        <v>0</v>
      </c>
      <c r="P144" s="75"/>
      <c r="Q144" s="161">
        <f t="shared" si="85"/>
        <v>3.4599999999999999E-2</v>
      </c>
    </row>
    <row r="145" spans="1:17" hidden="1">
      <c r="A145" s="158">
        <v>42552</v>
      </c>
      <c r="B145" s="75"/>
      <c r="C145" s="160"/>
      <c r="D145" s="160">
        <f t="shared" si="80"/>
        <v>0</v>
      </c>
      <c r="E145" s="75"/>
      <c r="F145" s="160">
        <f t="shared" si="81"/>
        <v>0</v>
      </c>
      <c r="G145" s="75"/>
      <c r="H145" s="161">
        <v>3.5000000000000003E-2</v>
      </c>
      <c r="I145" s="75"/>
      <c r="J145" s="158">
        <v>42552</v>
      </c>
      <c r="K145" s="75"/>
      <c r="L145" s="160"/>
      <c r="M145" s="160">
        <f t="shared" si="82"/>
        <v>0</v>
      </c>
      <c r="N145" s="75"/>
      <c r="O145" s="160">
        <f t="shared" si="83"/>
        <v>0</v>
      </c>
      <c r="P145" s="75"/>
      <c r="Q145" s="161">
        <v>3.5000000000000003E-2</v>
      </c>
    </row>
    <row r="146" spans="1:17" hidden="1">
      <c r="A146" s="158">
        <v>42583</v>
      </c>
      <c r="B146" s="75"/>
      <c r="C146" s="160"/>
      <c r="D146" s="160">
        <f t="shared" si="80"/>
        <v>0</v>
      </c>
      <c r="E146" s="75"/>
      <c r="F146" s="160">
        <f t="shared" si="81"/>
        <v>0</v>
      </c>
      <c r="G146" s="75"/>
      <c r="H146" s="161">
        <f t="shared" si="84"/>
        <v>3.5000000000000003E-2</v>
      </c>
      <c r="I146" s="75"/>
      <c r="J146" s="158">
        <v>42583</v>
      </c>
      <c r="K146" s="75"/>
      <c r="L146" s="160"/>
      <c r="M146" s="160">
        <f t="shared" si="82"/>
        <v>0</v>
      </c>
      <c r="N146" s="75"/>
      <c r="O146" s="160">
        <f t="shared" si="83"/>
        <v>0</v>
      </c>
      <c r="P146" s="75"/>
      <c r="Q146" s="161">
        <f t="shared" si="85"/>
        <v>3.5000000000000003E-2</v>
      </c>
    </row>
    <row r="147" spans="1:17">
      <c r="A147" s="158">
        <v>42614</v>
      </c>
      <c r="B147" s="75"/>
      <c r="C147" s="160"/>
      <c r="D147" s="160">
        <f t="shared" si="80"/>
        <v>0</v>
      </c>
      <c r="E147" s="75"/>
      <c r="F147" s="160">
        <f t="shared" si="81"/>
        <v>0</v>
      </c>
      <c r="G147" s="75"/>
      <c r="H147" s="161">
        <f t="shared" si="84"/>
        <v>3.5000000000000003E-2</v>
      </c>
      <c r="I147" s="75"/>
      <c r="J147" s="158">
        <v>42614</v>
      </c>
      <c r="K147" s="75"/>
      <c r="L147" s="160"/>
      <c r="M147" s="160">
        <f t="shared" si="82"/>
        <v>0</v>
      </c>
      <c r="N147" s="75"/>
      <c r="O147" s="160">
        <f t="shared" si="83"/>
        <v>0</v>
      </c>
      <c r="P147" s="75"/>
      <c r="Q147" s="161">
        <f t="shared" si="85"/>
        <v>3.5000000000000003E-2</v>
      </c>
    </row>
    <row r="148" spans="1:17">
      <c r="A148" s="158">
        <v>42644</v>
      </c>
      <c r="B148" s="75"/>
      <c r="C148" s="160">
        <f>-C84+21398</f>
        <v>-2878270.99</v>
      </c>
      <c r="D148" s="160">
        <v>-7840.93</v>
      </c>
      <c r="E148" s="160"/>
      <c r="F148" s="160">
        <f t="shared" si="81"/>
        <v>-2886111.9200000004</v>
      </c>
      <c r="G148" s="75"/>
      <c r="H148" s="161">
        <f t="shared" si="84"/>
        <v>3.5000000000000003E-2</v>
      </c>
      <c r="I148" s="75"/>
      <c r="J148" s="158">
        <v>42644</v>
      </c>
      <c r="K148" s="75"/>
      <c r="L148" s="160"/>
      <c r="M148" s="160">
        <f t="shared" si="82"/>
        <v>0</v>
      </c>
      <c r="N148" s="75"/>
      <c r="O148" s="160">
        <f t="shared" si="83"/>
        <v>0</v>
      </c>
      <c r="P148" s="75"/>
      <c r="Q148" s="161">
        <f t="shared" si="85"/>
        <v>3.5000000000000003E-2</v>
      </c>
    </row>
    <row r="149" spans="1:17">
      <c r="A149" s="158">
        <v>42675</v>
      </c>
      <c r="B149" s="75"/>
      <c r="C149" s="160"/>
      <c r="D149" s="160">
        <f t="shared" si="80"/>
        <v>-8072.8350062500022</v>
      </c>
      <c r="E149" s="160">
        <v>236565.55</v>
      </c>
      <c r="F149" s="160">
        <f t="shared" si="81"/>
        <v>-2657619.2050062506</v>
      </c>
      <c r="G149" s="75"/>
      <c r="H149" s="161">
        <f t="shared" si="84"/>
        <v>3.5000000000000003E-2</v>
      </c>
      <c r="I149" s="75"/>
      <c r="J149" s="158">
        <v>42675</v>
      </c>
      <c r="K149" s="75"/>
      <c r="L149" s="160"/>
      <c r="M149" s="160">
        <f t="shared" si="82"/>
        <v>0</v>
      </c>
      <c r="N149" s="75"/>
      <c r="O149" s="160">
        <f t="shared" si="83"/>
        <v>0</v>
      </c>
      <c r="P149" s="75"/>
      <c r="Q149" s="161">
        <f t="shared" si="85"/>
        <v>3.5000000000000003E-2</v>
      </c>
    </row>
    <row r="150" spans="1:17">
      <c r="A150" s="158">
        <v>42705</v>
      </c>
      <c r="B150" s="75"/>
      <c r="C150" s="160"/>
      <c r="D150" s="160">
        <f t="shared" si="80"/>
        <v>-7372.1122562682322</v>
      </c>
      <c r="E150" s="160">
        <v>260075.72</v>
      </c>
      <c r="F150" s="160">
        <f t="shared" si="81"/>
        <v>-2404915.5972625185</v>
      </c>
      <c r="G150" s="75"/>
      <c r="H150" s="161">
        <f t="shared" si="84"/>
        <v>3.5000000000000003E-2</v>
      </c>
      <c r="I150" s="75"/>
      <c r="J150" s="158">
        <v>42705</v>
      </c>
      <c r="K150" s="75"/>
      <c r="L150" s="160"/>
      <c r="M150" s="160">
        <f t="shared" si="82"/>
        <v>0</v>
      </c>
      <c r="N150" s="75"/>
      <c r="O150" s="160">
        <f t="shared" si="83"/>
        <v>0</v>
      </c>
      <c r="P150" s="75"/>
      <c r="Q150" s="161">
        <f t="shared" si="85"/>
        <v>3.5000000000000003E-2</v>
      </c>
    </row>
    <row r="151" spans="1:17">
      <c r="F151" s="160"/>
      <c r="O151" s="160"/>
    </row>
    <row r="152" spans="1:17">
      <c r="F152" s="160"/>
      <c r="O152" s="160"/>
    </row>
    <row r="153" spans="1:17">
      <c r="F153" s="160"/>
      <c r="O153" s="160"/>
    </row>
    <row r="154" spans="1:17">
      <c r="F154" s="160"/>
      <c r="O154" s="160"/>
    </row>
    <row r="155" spans="1:17">
      <c r="F155" s="160"/>
      <c r="O155" s="160"/>
    </row>
    <row r="156" spans="1:17">
      <c r="F156" s="160"/>
      <c r="O156" s="160"/>
    </row>
    <row r="157" spans="1:17">
      <c r="F157" s="160"/>
      <c r="O157" s="160"/>
    </row>
    <row r="158" spans="1:17">
      <c r="F158" s="160"/>
      <c r="O158" s="160"/>
    </row>
    <row r="159" spans="1:17">
      <c r="F159" s="160"/>
      <c r="O159" s="160"/>
    </row>
    <row r="160" spans="1:17">
      <c r="F160" s="160"/>
      <c r="O160" s="160"/>
    </row>
    <row r="161" spans="6:15">
      <c r="F161" s="160"/>
      <c r="O161" s="160"/>
    </row>
    <row r="162" spans="6:15">
      <c r="F162" s="160"/>
      <c r="O162" s="160"/>
    </row>
    <row r="163" spans="6:15">
      <c r="F163" s="160"/>
      <c r="O163" s="160"/>
    </row>
    <row r="164" spans="6:15">
      <c r="F164" s="160"/>
      <c r="O164" s="160"/>
    </row>
    <row r="165" spans="6:15">
      <c r="F165" s="160"/>
      <c r="O165" s="160"/>
    </row>
    <row r="166" spans="6:15">
      <c r="F166" s="160"/>
      <c r="O166" s="160"/>
    </row>
    <row r="167" spans="6:15">
      <c r="F167" s="160"/>
      <c r="O167" s="160"/>
    </row>
    <row r="168" spans="6:15">
      <c r="F168" s="160"/>
      <c r="O168" s="160"/>
    </row>
    <row r="169" spans="6:15">
      <c r="F169" s="160"/>
      <c r="O169" s="160"/>
    </row>
    <row r="170" spans="6:15">
      <c r="F170" s="160"/>
      <c r="O170" s="160"/>
    </row>
    <row r="171" spans="6:15">
      <c r="F171" s="160"/>
      <c r="O171" s="160"/>
    </row>
    <row r="172" spans="6:15">
      <c r="F172" s="160"/>
      <c r="O172" s="160"/>
    </row>
    <row r="173" spans="6:15">
      <c r="F173" s="160"/>
      <c r="O173" s="160"/>
    </row>
    <row r="174" spans="6:15">
      <c r="F174" s="160"/>
      <c r="O174" s="160"/>
    </row>
    <row r="175" spans="6:15">
      <c r="F175" s="160"/>
      <c r="O175" s="160"/>
    </row>
    <row r="176" spans="6:15">
      <c r="F176" s="160"/>
      <c r="O176" s="160"/>
    </row>
    <row r="177" spans="6:15">
      <c r="F177" s="160"/>
      <c r="O177" s="160"/>
    </row>
    <row r="178" spans="6:15">
      <c r="F178" s="160"/>
      <c r="O178" s="160"/>
    </row>
    <row r="179" spans="6:15">
      <c r="F179" s="160"/>
      <c r="O179" s="160"/>
    </row>
    <row r="180" spans="6:15">
      <c r="F180" s="160"/>
      <c r="O180" s="160"/>
    </row>
    <row r="181" spans="6:15">
      <c r="F181" s="160"/>
      <c r="O181" s="160"/>
    </row>
    <row r="182" spans="6:15">
      <c r="F182" s="160"/>
      <c r="O182" s="160"/>
    </row>
    <row r="183" spans="6:15">
      <c r="F183" s="160"/>
      <c r="O183" s="160"/>
    </row>
    <row r="184" spans="6:15">
      <c r="F184" s="160"/>
      <c r="O184" s="160"/>
    </row>
    <row r="185" spans="6:15">
      <c r="F185" s="160"/>
      <c r="O185" s="160"/>
    </row>
    <row r="186" spans="6:15">
      <c r="F186" s="160"/>
      <c r="O186" s="160"/>
    </row>
    <row r="187" spans="6:15">
      <c r="F187" s="160"/>
      <c r="O187" s="160"/>
    </row>
    <row r="188" spans="6:15">
      <c r="F188" s="160"/>
      <c r="O188" s="160"/>
    </row>
    <row r="189" spans="6:15">
      <c r="F189" s="160"/>
      <c r="O189" s="160"/>
    </row>
    <row r="190" spans="6:15">
      <c r="F190" s="160"/>
      <c r="O190" s="160"/>
    </row>
    <row r="191" spans="6:15">
      <c r="F191" s="160"/>
      <c r="O191" s="160"/>
    </row>
    <row r="192" spans="6:15">
      <c r="F192" s="160"/>
      <c r="O192" s="160"/>
    </row>
    <row r="193" spans="6:15">
      <c r="F193" s="160"/>
      <c r="O193" s="160"/>
    </row>
    <row r="194" spans="6:15">
      <c r="F194" s="160"/>
      <c r="O194" s="160"/>
    </row>
    <row r="195" spans="6:15">
      <c r="F195" s="160"/>
      <c r="O195" s="160"/>
    </row>
    <row r="196" spans="6:15">
      <c r="F196" s="160"/>
      <c r="O196" s="160"/>
    </row>
    <row r="197" spans="6:15">
      <c r="F197" s="160"/>
      <c r="O197" s="160"/>
    </row>
    <row r="198" spans="6:15">
      <c r="F198" s="160"/>
      <c r="O198" s="160"/>
    </row>
    <row r="199" spans="6:15">
      <c r="F199" s="160"/>
      <c r="O199" s="160"/>
    </row>
    <row r="200" spans="6:15">
      <c r="F200" s="160"/>
      <c r="O200" s="160"/>
    </row>
    <row r="201" spans="6:15">
      <c r="F201" s="160"/>
      <c r="O201" s="160"/>
    </row>
    <row r="202" spans="6:15">
      <c r="F202" s="160"/>
      <c r="O202" s="160"/>
    </row>
    <row r="203" spans="6:15">
      <c r="F203" s="160"/>
      <c r="O203" s="160"/>
    </row>
    <row r="204" spans="6:15">
      <c r="F204" s="160"/>
      <c r="O204" s="160"/>
    </row>
    <row r="205" spans="6:15">
      <c r="F205" s="160"/>
      <c r="O205" s="160"/>
    </row>
    <row r="206" spans="6:15">
      <c r="F206" s="160"/>
      <c r="O206" s="160"/>
    </row>
    <row r="207" spans="6:15">
      <c r="F207" s="160"/>
      <c r="O207" s="160"/>
    </row>
    <row r="208" spans="6:15">
      <c r="F208" s="160"/>
      <c r="O208" s="160"/>
    </row>
    <row r="209" spans="6:15">
      <c r="F209" s="160"/>
      <c r="O209" s="160"/>
    </row>
    <row r="210" spans="6:15">
      <c r="F210" s="160"/>
      <c r="O210" s="160"/>
    </row>
    <row r="211" spans="6:15">
      <c r="F211" s="160"/>
      <c r="O211" s="160"/>
    </row>
    <row r="212" spans="6:15">
      <c r="F212" s="160"/>
      <c r="O212" s="160"/>
    </row>
    <row r="213" spans="6:15">
      <c r="F213" s="160"/>
      <c r="O213" s="160"/>
    </row>
    <row r="214" spans="6:15">
      <c r="F214" s="160"/>
      <c r="O214" s="160"/>
    </row>
    <row r="215" spans="6:15">
      <c r="F215" s="160"/>
      <c r="O215" s="160"/>
    </row>
    <row r="216" spans="6:15">
      <c r="F216" s="160"/>
      <c r="O216" s="160"/>
    </row>
    <row r="217" spans="6:15">
      <c r="F217" s="160"/>
      <c r="O217" s="160"/>
    </row>
    <row r="218" spans="6:15">
      <c r="F218" s="160"/>
      <c r="O218" s="160"/>
    </row>
    <row r="219" spans="6:15">
      <c r="F219" s="160"/>
      <c r="O219" s="160"/>
    </row>
    <row r="220" spans="6:15">
      <c r="F220" s="160"/>
      <c r="O220" s="160"/>
    </row>
    <row r="221" spans="6:15">
      <c r="F221" s="160"/>
      <c r="O221" s="160"/>
    </row>
    <row r="222" spans="6:15">
      <c r="F222" s="160"/>
      <c r="O222" s="160"/>
    </row>
    <row r="223" spans="6:15">
      <c r="F223" s="160"/>
      <c r="O223" s="160"/>
    </row>
    <row r="224" spans="6:15">
      <c r="F224" s="160"/>
      <c r="O224" s="160"/>
    </row>
    <row r="225" spans="6:15">
      <c r="F225" s="160"/>
      <c r="O225" s="160"/>
    </row>
    <row r="226" spans="6:15">
      <c r="F226" s="160"/>
      <c r="O226" s="160"/>
    </row>
    <row r="227" spans="6:15">
      <c r="F227" s="160"/>
      <c r="O227" s="160"/>
    </row>
    <row r="228" spans="6:15">
      <c r="F228" s="160"/>
      <c r="O228" s="160"/>
    </row>
    <row r="229" spans="6:15">
      <c r="F229" s="160"/>
      <c r="O229" s="160"/>
    </row>
    <row r="230" spans="6:15">
      <c r="F230" s="160"/>
      <c r="O230" s="160"/>
    </row>
    <row r="231" spans="6:15">
      <c r="F231" s="160"/>
      <c r="O231" s="160"/>
    </row>
    <row r="232" spans="6:15">
      <c r="F232" s="160"/>
      <c r="O232" s="160"/>
    </row>
    <row r="233" spans="6:15">
      <c r="F233" s="160"/>
      <c r="O233" s="160"/>
    </row>
    <row r="234" spans="6:15">
      <c r="F234" s="160"/>
      <c r="O234" s="160"/>
    </row>
    <row r="235" spans="6:15">
      <c r="F235" s="160"/>
      <c r="O235" s="160"/>
    </row>
    <row r="236" spans="6:15">
      <c r="F236" s="160"/>
      <c r="O236" s="160"/>
    </row>
    <row r="237" spans="6:15">
      <c r="F237" s="160"/>
    </row>
    <row r="238" spans="6:15">
      <c r="F238" s="160"/>
    </row>
    <row r="239" spans="6:15">
      <c r="F239" s="160"/>
    </row>
    <row r="240" spans="6:15">
      <c r="F240" s="160"/>
    </row>
    <row r="241" spans="6:6">
      <c r="F241" s="160"/>
    </row>
    <row r="242" spans="6:6">
      <c r="F242" s="160"/>
    </row>
    <row r="243" spans="6:6">
      <c r="F243" s="160"/>
    </row>
    <row r="244" spans="6:6">
      <c r="F244" s="160"/>
    </row>
    <row r="245" spans="6:6">
      <c r="F245" s="160"/>
    </row>
  </sheetData>
  <mergeCells count="2">
    <mergeCell ref="C87:H87"/>
    <mergeCell ref="C70:H70"/>
  </mergeCells>
  <printOptions horizontalCentered="1"/>
  <pageMargins left="0.7" right="0.7" top="1" bottom="0.75" header="0.35" footer="0.3"/>
  <pageSetup scale="76" firstPageNumber="7" fitToWidth="2" fitToHeight="0" orientation="portrait" useFirstPageNumber="1" r:id="rId1"/>
  <headerFooter>
    <oddHeader>&amp;CAvista Corporation Decoupling Mechanism
Washington Jurisdiction
Quarterly Report for 4th Quarter 2016</oddHeader>
    <oddFooter>&amp;Cfile: &amp;F / &amp;A&amp;RPage &amp;P of 9</oddFooter>
  </headerFooter>
  <colBreaks count="1" manualBreakCount="1">
    <brk id="9" max="15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Layout" topLeftCell="A19" zoomScaleNormal="100" workbookViewId="0">
      <selection activeCell="T15" sqref="T15"/>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5" customWidth="1"/>
    <col min="9" max="12" width="8.5546875" customWidth="1"/>
  </cols>
  <sheetData>
    <row r="1" spans="1:12">
      <c r="A1" t="s">
        <v>64</v>
      </c>
    </row>
    <row r="2" spans="1:12" s="35" customFormat="1" ht="14.4" customHeight="1">
      <c r="A2" s="55"/>
      <c r="B2" s="55"/>
      <c r="C2" s="55"/>
      <c r="D2" s="55"/>
      <c r="E2" s="55"/>
      <c r="F2" s="55"/>
      <c r="G2" s="55"/>
      <c r="H2" s="82"/>
      <c r="I2" s="55"/>
      <c r="J2" s="55"/>
      <c r="K2" s="55"/>
    </row>
    <row r="3" spans="1:12" s="35" customFormat="1" ht="62.4" customHeight="1">
      <c r="A3" s="196" t="s">
        <v>179</v>
      </c>
      <c r="B3" s="196"/>
      <c r="C3" s="196"/>
      <c r="D3" s="196"/>
      <c r="E3" s="196"/>
      <c r="F3" s="196"/>
      <c r="G3" s="196"/>
      <c r="H3" s="196"/>
      <c r="I3" s="196"/>
      <c r="J3" s="196"/>
      <c r="K3" s="196"/>
    </row>
    <row r="4" spans="1:12" ht="14.4" customHeight="1"/>
    <row r="5" spans="1:12" ht="14.4" customHeight="1">
      <c r="A5" s="195" t="s">
        <v>84</v>
      </c>
      <c r="B5" s="195"/>
      <c r="C5" s="195"/>
      <c r="D5" s="195"/>
      <c r="E5" s="195"/>
      <c r="F5" s="195"/>
      <c r="G5" s="195"/>
      <c r="H5" s="195"/>
      <c r="I5" s="195"/>
      <c r="J5" s="195"/>
      <c r="K5" s="195"/>
    </row>
    <row r="6" spans="1:12" s="35" customFormat="1" ht="13.95" customHeight="1">
      <c r="A6" s="195" t="s">
        <v>85</v>
      </c>
      <c r="B6" s="195"/>
      <c r="C6" s="195"/>
      <c r="D6" s="195"/>
      <c r="E6" s="195"/>
      <c r="F6" s="195"/>
      <c r="G6" s="195"/>
      <c r="H6" s="195"/>
      <c r="I6" s="195"/>
      <c r="J6" s="195"/>
      <c r="K6" s="195"/>
    </row>
    <row r="7" spans="1:12" ht="28.95" customHeight="1">
      <c r="A7" s="52"/>
      <c r="B7" s="52"/>
      <c r="C7" s="52"/>
      <c r="E7" s="57" t="s">
        <v>78</v>
      </c>
      <c r="F7" s="57" t="s">
        <v>79</v>
      </c>
      <c r="G7" s="61" t="s">
        <v>88</v>
      </c>
      <c r="H7" s="81" t="s">
        <v>94</v>
      </c>
      <c r="I7" s="105" t="s">
        <v>138</v>
      </c>
      <c r="J7" s="57" t="s">
        <v>80</v>
      </c>
      <c r="K7" s="52"/>
      <c r="L7" s="52"/>
    </row>
    <row r="8" spans="1:12" ht="14.4" customHeight="1">
      <c r="A8" s="56" t="s">
        <v>76</v>
      </c>
      <c r="B8" s="24"/>
      <c r="C8" s="24"/>
      <c r="E8" s="24"/>
      <c r="F8" s="24"/>
      <c r="G8" s="24"/>
      <c r="H8" s="24"/>
      <c r="I8" s="24"/>
      <c r="J8" s="24"/>
      <c r="K8" s="24"/>
      <c r="L8" s="24"/>
    </row>
    <row r="9" spans="1:12" ht="14.4" customHeight="1">
      <c r="A9" s="53"/>
      <c r="B9" s="53" t="s">
        <v>77</v>
      </c>
      <c r="C9" s="53"/>
      <c r="E9" s="59">
        <v>-346</v>
      </c>
      <c r="F9" s="59">
        <v>-196</v>
      </c>
      <c r="G9" s="77">
        <v>108</v>
      </c>
      <c r="H9" s="102">
        <v>-231</v>
      </c>
      <c r="I9" s="77">
        <f>AVERAGE(E9:H9)</f>
        <v>-166.25</v>
      </c>
      <c r="J9" s="104">
        <v>-5.8000000000000003E-2</v>
      </c>
      <c r="K9" s="53"/>
      <c r="L9" s="53"/>
    </row>
    <row r="10" spans="1:12" ht="14.4" customHeight="1">
      <c r="A10" s="53"/>
      <c r="B10" s="53" t="s">
        <v>86</v>
      </c>
      <c r="C10" s="53"/>
      <c r="E10" s="58">
        <v>-17.63</v>
      </c>
      <c r="F10" s="58">
        <v>-19.86</v>
      </c>
      <c r="G10" s="78">
        <v>2.4500000000000002</v>
      </c>
      <c r="H10" s="103">
        <v>-15.34</v>
      </c>
      <c r="I10" s="77">
        <f t="shared" ref="I10:I26" si="0">AVERAGE(E10:H10)</f>
        <v>-12.594999999999999</v>
      </c>
      <c r="J10" s="104">
        <v>-6.9000000000000006E-2</v>
      </c>
      <c r="K10" s="53"/>
      <c r="L10" s="53"/>
    </row>
    <row r="11" spans="1:12">
      <c r="B11" s="35" t="s">
        <v>87</v>
      </c>
      <c r="E11" s="58">
        <v>17.63</v>
      </c>
      <c r="F11" s="58">
        <v>19.86</v>
      </c>
      <c r="G11" s="58">
        <v>-2.4500000000000002</v>
      </c>
      <c r="H11" s="58">
        <v>15.34</v>
      </c>
      <c r="I11" s="77">
        <f t="shared" si="0"/>
        <v>12.594999999999999</v>
      </c>
    </row>
    <row r="12" spans="1:12" s="35" customFormat="1" ht="6" customHeight="1">
      <c r="E12" s="58"/>
      <c r="F12" s="58"/>
      <c r="G12" s="78"/>
      <c r="H12" s="99"/>
      <c r="I12" s="77"/>
    </row>
    <row r="13" spans="1:12">
      <c r="A13" s="56" t="s">
        <v>81</v>
      </c>
      <c r="B13" s="24"/>
      <c r="C13" s="24"/>
      <c r="E13" s="24"/>
      <c r="F13" s="24"/>
      <c r="G13" s="79"/>
      <c r="H13" s="100"/>
      <c r="I13" s="77"/>
      <c r="J13" s="24"/>
      <c r="K13" s="54"/>
      <c r="L13" s="54"/>
    </row>
    <row r="14" spans="1:12">
      <c r="A14" s="53"/>
      <c r="B14" s="53" t="s">
        <v>77</v>
      </c>
      <c r="C14" s="53"/>
      <c r="E14" s="59">
        <v>-461</v>
      </c>
      <c r="F14" s="59">
        <v>-255</v>
      </c>
      <c r="G14" s="77">
        <v>-174</v>
      </c>
      <c r="H14" s="102">
        <v>-134</v>
      </c>
      <c r="I14" s="77">
        <f t="shared" si="0"/>
        <v>-256</v>
      </c>
      <c r="J14" s="104">
        <v>-1.7000000000000001E-2</v>
      </c>
      <c r="K14" s="54"/>
      <c r="L14" s="54"/>
    </row>
    <row r="15" spans="1:12" ht="14.4" customHeight="1">
      <c r="A15" s="53"/>
      <c r="B15" s="53" t="s">
        <v>86</v>
      </c>
      <c r="C15" s="53"/>
      <c r="E15" s="58">
        <v>-16.47</v>
      </c>
      <c r="F15" s="58">
        <v>-18.29</v>
      </c>
      <c r="G15" s="78">
        <v>-21.4</v>
      </c>
      <c r="H15" s="103">
        <v>-0.49</v>
      </c>
      <c r="I15" s="77">
        <f t="shared" si="0"/>
        <v>-14.1625</v>
      </c>
      <c r="J15" s="104">
        <v>-1.2999999999999999E-2</v>
      </c>
      <c r="K15" s="54"/>
      <c r="L15" s="54"/>
    </row>
    <row r="16" spans="1:12">
      <c r="B16" s="35" t="s">
        <v>87</v>
      </c>
      <c r="E16" s="58">
        <v>16.47</v>
      </c>
      <c r="F16" s="58">
        <v>18.29</v>
      </c>
      <c r="G16" s="58">
        <v>21.4</v>
      </c>
      <c r="H16" s="58">
        <v>0.49</v>
      </c>
      <c r="I16" s="77">
        <f t="shared" si="0"/>
        <v>14.1625</v>
      </c>
    </row>
    <row r="17" spans="1:11" s="35" customFormat="1" ht="9" customHeight="1">
      <c r="G17" s="39"/>
      <c r="H17" s="101"/>
      <c r="I17" s="77"/>
    </row>
    <row r="18" spans="1:11" ht="14.4" customHeight="1">
      <c r="A18" s="56" t="s">
        <v>82</v>
      </c>
      <c r="B18" s="24"/>
      <c r="C18" s="24"/>
      <c r="E18" s="24"/>
      <c r="F18" s="24"/>
      <c r="G18" s="79"/>
      <c r="H18" s="100"/>
      <c r="I18" s="77"/>
      <c r="J18" s="24"/>
    </row>
    <row r="19" spans="1:11" ht="14.4" customHeight="1">
      <c r="A19" s="53"/>
      <c r="B19" s="53" t="s">
        <v>77</v>
      </c>
      <c r="C19" s="53"/>
      <c r="E19" s="59">
        <v>-47</v>
      </c>
      <c r="F19" s="59">
        <v>-31</v>
      </c>
      <c r="G19" s="77">
        <v>4</v>
      </c>
      <c r="H19" s="102">
        <v>-28</v>
      </c>
      <c r="I19" s="77">
        <f t="shared" si="0"/>
        <v>-25.5</v>
      </c>
      <c r="J19" s="104">
        <v>-0.126</v>
      </c>
    </row>
    <row r="20" spans="1:11">
      <c r="A20" s="53"/>
      <c r="B20" s="53" t="s">
        <v>86</v>
      </c>
      <c r="C20" s="53"/>
      <c r="E20" s="58">
        <v>-17.48</v>
      </c>
      <c r="F20" s="58">
        <v>-17.48</v>
      </c>
      <c r="G20" s="78">
        <v>0.67</v>
      </c>
      <c r="H20" s="103">
        <v>-13.41</v>
      </c>
      <c r="I20" s="77">
        <f t="shared" si="0"/>
        <v>-11.925000000000001</v>
      </c>
      <c r="J20" s="104">
        <v>-0.13800000000000001</v>
      </c>
    </row>
    <row r="21" spans="1:11" s="35" customFormat="1">
      <c r="A21" s="53"/>
      <c r="B21" s="35" t="s">
        <v>87</v>
      </c>
      <c r="C21" s="53"/>
      <c r="E21" s="58">
        <v>17.48</v>
      </c>
      <c r="F21" s="58">
        <v>17.48</v>
      </c>
      <c r="G21" s="58">
        <v>-0.67</v>
      </c>
      <c r="H21" s="58">
        <v>13.41</v>
      </c>
      <c r="I21" s="77">
        <f t="shared" si="0"/>
        <v>11.925000000000001</v>
      </c>
      <c r="J21" s="60"/>
    </row>
    <row r="22" spans="1:11" ht="9" customHeight="1">
      <c r="A22" s="35"/>
      <c r="B22" s="35"/>
      <c r="C22" s="35"/>
      <c r="E22" s="35"/>
      <c r="F22" s="35"/>
      <c r="G22" s="39"/>
      <c r="H22" s="101"/>
      <c r="I22" s="77"/>
      <c r="J22" s="35"/>
    </row>
    <row r="23" spans="1:11">
      <c r="A23" s="56" t="s">
        <v>83</v>
      </c>
      <c r="B23" s="24"/>
      <c r="C23" s="24"/>
      <c r="E23" s="24"/>
      <c r="F23" s="24"/>
      <c r="G23" s="79"/>
      <c r="H23" s="100"/>
      <c r="I23" s="77"/>
      <c r="J23" s="24"/>
    </row>
    <row r="24" spans="1:11">
      <c r="A24" s="53"/>
      <c r="B24" s="53" t="s">
        <v>77</v>
      </c>
      <c r="C24" s="53"/>
      <c r="E24" s="59">
        <v>-1121</v>
      </c>
      <c r="F24" s="59">
        <v>-899</v>
      </c>
      <c r="G24" s="77">
        <v>-18</v>
      </c>
      <c r="H24" s="102">
        <v>-832</v>
      </c>
      <c r="I24" s="77">
        <f t="shared" si="0"/>
        <v>-717.5</v>
      </c>
      <c r="J24" s="104">
        <v>-0.14099999999999999</v>
      </c>
    </row>
    <row r="25" spans="1:11">
      <c r="A25" s="53"/>
      <c r="B25" s="53" t="s">
        <v>86</v>
      </c>
      <c r="C25" s="53"/>
      <c r="E25" s="58">
        <v>-238.26</v>
      </c>
      <c r="F25" s="58">
        <v>-254.35</v>
      </c>
      <c r="G25" s="78">
        <v>-49.65</v>
      </c>
      <c r="H25" s="103">
        <v>-202.28</v>
      </c>
      <c r="I25" s="77">
        <f t="shared" si="0"/>
        <v>-186.13499999999999</v>
      </c>
      <c r="J25" s="104">
        <v>-0.14599999999999999</v>
      </c>
    </row>
    <row r="26" spans="1:11">
      <c r="B26" s="35" t="s">
        <v>87</v>
      </c>
      <c r="E26" s="58">
        <v>238.26</v>
      </c>
      <c r="F26" s="58">
        <v>254.35</v>
      </c>
      <c r="G26" s="58">
        <v>49.65</v>
      </c>
      <c r="H26" s="58">
        <v>202.28</v>
      </c>
      <c r="I26" s="77">
        <f t="shared" si="0"/>
        <v>186.13499999999999</v>
      </c>
    </row>
    <row r="29" spans="1:11" ht="140.25" customHeight="1">
      <c r="A29" s="197" t="s">
        <v>203</v>
      </c>
      <c r="B29" s="197"/>
      <c r="C29" s="197"/>
      <c r="D29" s="197"/>
      <c r="E29" s="197"/>
      <c r="F29" s="197"/>
      <c r="G29" s="197"/>
      <c r="H29" s="197"/>
      <c r="I29" s="197"/>
      <c r="J29" s="197"/>
      <c r="K29" s="197"/>
    </row>
  </sheetData>
  <mergeCells count="4">
    <mergeCell ref="A5:K5"/>
    <mergeCell ref="A6:K6"/>
    <mergeCell ref="A3:K3"/>
    <mergeCell ref="A29:K29"/>
  </mergeCells>
  <pageMargins left="0.7" right="0.7" top="1.43" bottom="0.75" header="0.75" footer="0.73"/>
  <pageSetup scale="90" orientation="portrait" r:id="rId1"/>
  <headerFooter>
    <oddHeader>&amp;CAvista Corporation Decoupling Mechanism
Washington Jurisdiction
Quarterly Report for 4th Quarter 2016</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2017-06-02T07:00:00+00:00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B46EAD4-4191-4B64-A5FD-5277C07EA5E7}"/>
</file>

<file path=customXml/itemProps2.xml><?xml version="1.0" encoding="utf-8"?>
<ds:datastoreItem xmlns:ds="http://schemas.openxmlformats.org/officeDocument/2006/customXml" ds:itemID="{B8A6C5EE-7C3E-473D-854D-0AFF7730471D}"/>
</file>

<file path=customXml/itemProps3.xml><?xml version="1.0" encoding="utf-8"?>
<ds:datastoreItem xmlns:ds="http://schemas.openxmlformats.org/officeDocument/2006/customXml" ds:itemID="{88679209-F50A-4D46-BE53-EB1A6C97C01B}"/>
</file>

<file path=customXml/itemProps4.xml><?xml version="1.0" encoding="utf-8"?>
<ds:datastoreItem xmlns:ds="http://schemas.openxmlformats.org/officeDocument/2006/customXml" ds:itemID="{46BF5961-5F0C-4DF3-8BCF-AAFCB4C82E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2017-02-22T20:45:30Z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